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nekb13\Documents\BiomathGent\"/>
    </mc:Choice>
  </mc:AlternateContent>
  <bookViews>
    <workbookView xWindow="0" yWindow="0" windowWidth="23040" windowHeight="9372" tabRatio="836"/>
  </bookViews>
  <sheets>
    <sheet name="Data_nieuwveer" sheetId="1" r:id="rId1"/>
    <sheet name="Additional data LabMET" sheetId="17" r:id="rId2"/>
    <sheet name="Edited data A" sheetId="2" r:id="rId3"/>
    <sheet name="Edited data B" sheetId="19" r:id="rId4"/>
    <sheet name="Summary per week" sheetId="20" r:id="rId5"/>
  </sheets>
  <definedNames>
    <definedName name="_xlnm._FilterDatabase" localSheetId="1" hidden="1">'Additional data LabMET'!$P$45:$P$230</definedName>
    <definedName name="_xlnm._FilterDatabase" localSheetId="2" hidden="1">'Edited data A'!$AA$144:$AF$222</definedName>
    <definedName name="_xlnm._FilterDatabase" localSheetId="3" hidden="1">'Edited data B'!$Q$150:$AF$220</definedName>
  </definedNames>
  <calcPr calcId="152511"/>
</workbook>
</file>

<file path=xl/calcChain.xml><?xml version="1.0" encoding="utf-8"?>
<calcChain xmlns="http://schemas.openxmlformats.org/spreadsheetml/2006/main">
  <c r="R17" i="2" l="1"/>
  <c r="G9" i="1"/>
  <c r="B10" i="1" l="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9" i="1"/>
  <c r="AK7" i="1" l="1"/>
  <c r="AJ7" i="1" l="1"/>
  <c r="G10" i="1" l="1"/>
  <c r="G11"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12" i="1"/>
  <c r="AL8" i="1" l="1"/>
  <c r="F7" i="1"/>
  <c r="AS46" i="20" l="1"/>
  <c r="AS45" i="20"/>
  <c r="AS44" i="20"/>
  <c r="AS43" i="20"/>
  <c r="AS42" i="20"/>
  <c r="AS41" i="20"/>
  <c r="AS40" i="20"/>
  <c r="AS39" i="20"/>
  <c r="AS38" i="20"/>
  <c r="AS37" i="20"/>
  <c r="AS36" i="20"/>
  <c r="AS35" i="20"/>
  <c r="AS34" i="20"/>
  <c r="AS33" i="20"/>
  <c r="AR46" i="20"/>
  <c r="AR45" i="20"/>
  <c r="AR44" i="20"/>
  <c r="AR43" i="20"/>
  <c r="AR42" i="20"/>
  <c r="AR41" i="20"/>
  <c r="AR40" i="20"/>
  <c r="AR39" i="20"/>
  <c r="AR38" i="20"/>
  <c r="AR37" i="20"/>
  <c r="AR36" i="20"/>
  <c r="AR35" i="20"/>
  <c r="AR34" i="20"/>
  <c r="AR33" i="20"/>
  <c r="AQ46" i="20"/>
  <c r="AQ45" i="20"/>
  <c r="AQ44" i="20"/>
  <c r="AQ43" i="20"/>
  <c r="AQ42" i="20"/>
  <c r="AQ41" i="20"/>
  <c r="AQ40" i="20"/>
  <c r="AQ39" i="20"/>
  <c r="AQ38" i="20"/>
  <c r="AQ37" i="20"/>
  <c r="AQ36" i="20"/>
  <c r="AQ35" i="20"/>
  <c r="AQ34" i="20"/>
  <c r="AQ33" i="20"/>
  <c r="AP46" i="20"/>
  <c r="AP45" i="20"/>
  <c r="AP44" i="20"/>
  <c r="AP43" i="20"/>
  <c r="AP42" i="20"/>
  <c r="AP41" i="20"/>
  <c r="AP40" i="20"/>
  <c r="AP39" i="20"/>
  <c r="AP38" i="20"/>
  <c r="AP37" i="20"/>
  <c r="AP36" i="20"/>
  <c r="AP35" i="20"/>
  <c r="AP34" i="20"/>
  <c r="AP33" i="20"/>
  <c r="AO46" i="20"/>
  <c r="AO45" i="20"/>
  <c r="AO44" i="20"/>
  <c r="AO43" i="20"/>
  <c r="AO42" i="20"/>
  <c r="AO41" i="20"/>
  <c r="AO40" i="20"/>
  <c r="AO39" i="20"/>
  <c r="AO38" i="20"/>
  <c r="AO37" i="20"/>
  <c r="AO36" i="20"/>
  <c r="AO35" i="20"/>
  <c r="AO34" i="20"/>
  <c r="AO33" i="20"/>
  <c r="AN46" i="20"/>
  <c r="AN45" i="20"/>
  <c r="AN44" i="20"/>
  <c r="AN43" i="20"/>
  <c r="AN42" i="20"/>
  <c r="AN41" i="20"/>
  <c r="AN40" i="20"/>
  <c r="AN39" i="20"/>
  <c r="AN38" i="20"/>
  <c r="AN37" i="20"/>
  <c r="AN36" i="20"/>
  <c r="AN35" i="20"/>
  <c r="AN34" i="20"/>
  <c r="AN33" i="20"/>
  <c r="AL46" i="20"/>
  <c r="AL45" i="20"/>
  <c r="AL44" i="20"/>
  <c r="AL43" i="20"/>
  <c r="AL42" i="20"/>
  <c r="AL41" i="20"/>
  <c r="AL40" i="20"/>
  <c r="AL39" i="20"/>
  <c r="AL38" i="20"/>
  <c r="AL37" i="20"/>
  <c r="AL36" i="20"/>
  <c r="AL35" i="20"/>
  <c r="AL34" i="20"/>
  <c r="AL33" i="20"/>
  <c r="AM46" i="20"/>
  <c r="AM45" i="20"/>
  <c r="AM44" i="20"/>
  <c r="AM43" i="20"/>
  <c r="AM42" i="20"/>
  <c r="AM41" i="20"/>
  <c r="AM40" i="20"/>
  <c r="AM39" i="20"/>
  <c r="AM38" i="20"/>
  <c r="AM37" i="20"/>
  <c r="AM36" i="20"/>
  <c r="AM35" i="20"/>
  <c r="AM34" i="20"/>
  <c r="AM33" i="20"/>
  <c r="AK46" i="20"/>
  <c r="AK45" i="20"/>
  <c r="AK44" i="20"/>
  <c r="AK43" i="20"/>
  <c r="AK42" i="20"/>
  <c r="AK41" i="20"/>
  <c r="AK40" i="20"/>
  <c r="AK39" i="20"/>
  <c r="AK38" i="20"/>
  <c r="AK37" i="20"/>
  <c r="AK36" i="20"/>
  <c r="AK35" i="20"/>
  <c r="AK34" i="20"/>
  <c r="AJ46" i="20"/>
  <c r="AJ45" i="20"/>
  <c r="AJ44" i="20"/>
  <c r="AJ43" i="20"/>
  <c r="AJ42" i="20"/>
  <c r="AJ41" i="20"/>
  <c r="AJ40" i="20"/>
  <c r="AJ39" i="20"/>
  <c r="AJ38" i="20"/>
  <c r="AJ37" i="20"/>
  <c r="AJ36" i="20"/>
  <c r="AJ35" i="20"/>
  <c r="AJ34" i="20"/>
  <c r="AJ33" i="20"/>
  <c r="AI46" i="20"/>
  <c r="AI45" i="20"/>
  <c r="AI44" i="20"/>
  <c r="AI43" i="20"/>
  <c r="AI42" i="20"/>
  <c r="AI41" i="20"/>
  <c r="AI40" i="20"/>
  <c r="AI39" i="20"/>
  <c r="AI38" i="20"/>
  <c r="AI37" i="20"/>
  <c r="AI36" i="20"/>
  <c r="AI35" i="20"/>
  <c r="AI34" i="20"/>
  <c r="AI33" i="20"/>
  <c r="AH46" i="20"/>
  <c r="AH45" i="20"/>
  <c r="AH44" i="20"/>
  <c r="AH43" i="20"/>
  <c r="AH42" i="20"/>
  <c r="AH41" i="20"/>
  <c r="AH40" i="20"/>
  <c r="AH39" i="20"/>
  <c r="AH38" i="20"/>
  <c r="AH37" i="20"/>
  <c r="AH36" i="20"/>
  <c r="AH35" i="20"/>
  <c r="AH34" i="20"/>
  <c r="AH33" i="20"/>
  <c r="AG46" i="20"/>
  <c r="AG45" i="20"/>
  <c r="AG44" i="20"/>
  <c r="AG43" i="20"/>
  <c r="AG42" i="20"/>
  <c r="AG41" i="20"/>
  <c r="AG40" i="20"/>
  <c r="AG39" i="20"/>
  <c r="AG38" i="20"/>
  <c r="AG37" i="20"/>
  <c r="AG36" i="20"/>
  <c r="AG35" i="20"/>
  <c r="AG34" i="20"/>
  <c r="AG33" i="20"/>
  <c r="F46" i="20"/>
  <c r="F45" i="20"/>
  <c r="F44" i="20"/>
  <c r="F43" i="20"/>
  <c r="F42" i="20"/>
  <c r="F41" i="20"/>
  <c r="F40" i="20"/>
  <c r="F39" i="20"/>
  <c r="F38" i="20"/>
  <c r="F37" i="20"/>
  <c r="F36" i="20"/>
  <c r="F35" i="20"/>
  <c r="F34" i="20"/>
  <c r="AE46" i="20"/>
  <c r="AE45" i="20"/>
  <c r="AE44" i="20"/>
  <c r="AE43" i="20"/>
  <c r="AE42" i="20"/>
  <c r="AE41" i="20"/>
  <c r="AE40" i="20"/>
  <c r="AE39" i="20"/>
  <c r="AE38" i="20"/>
  <c r="AE37" i="20"/>
  <c r="AE36" i="20"/>
  <c r="AE35" i="20"/>
  <c r="AE34" i="20"/>
  <c r="AE33" i="20"/>
  <c r="AD46" i="20"/>
  <c r="AD45" i="20"/>
  <c r="AD44" i="20"/>
  <c r="AD43" i="20"/>
  <c r="AD42" i="20"/>
  <c r="AD41" i="20"/>
  <c r="AD40" i="20"/>
  <c r="AD39" i="20"/>
  <c r="AD38" i="20"/>
  <c r="AD37" i="20"/>
  <c r="AD36" i="20"/>
  <c r="AD35" i="20"/>
  <c r="AD34" i="20"/>
  <c r="AC46" i="20"/>
  <c r="AC45" i="20"/>
  <c r="AC44" i="20"/>
  <c r="AC43" i="20"/>
  <c r="AC42" i="20"/>
  <c r="AC41" i="20"/>
  <c r="AC40" i="20"/>
  <c r="AC39" i="20"/>
  <c r="AC38" i="20"/>
  <c r="AC37" i="20"/>
  <c r="AC36" i="20"/>
  <c r="AC35" i="20"/>
  <c r="AC34" i="20"/>
  <c r="AC33" i="20"/>
  <c r="A46" i="20"/>
  <c r="A45" i="20"/>
  <c r="A44" i="20"/>
  <c r="A43" i="20"/>
  <c r="A42" i="20"/>
  <c r="A41" i="20"/>
  <c r="A40" i="20"/>
  <c r="A39" i="20"/>
  <c r="A38" i="20"/>
  <c r="A37" i="20"/>
  <c r="A36" i="20"/>
  <c r="A35" i="20"/>
  <c r="A34" i="20"/>
  <c r="A33" i="20"/>
  <c r="S46" i="20"/>
  <c r="S45" i="20"/>
  <c r="S44" i="20"/>
  <c r="S43" i="20"/>
  <c r="S42" i="20"/>
  <c r="S41" i="20"/>
  <c r="S40" i="20"/>
  <c r="S39" i="20"/>
  <c r="S38" i="20"/>
  <c r="S37" i="20"/>
  <c r="S36" i="20"/>
  <c r="S35" i="20"/>
  <c r="S34" i="20"/>
  <c r="S33" i="20"/>
  <c r="R46" i="20"/>
  <c r="R45" i="20"/>
  <c r="R44" i="20"/>
  <c r="R43" i="20"/>
  <c r="R42" i="20"/>
  <c r="R41" i="20"/>
  <c r="R40" i="20"/>
  <c r="R39" i="20"/>
  <c r="R38" i="20"/>
  <c r="R37" i="20"/>
  <c r="R36" i="20"/>
  <c r="R35" i="20"/>
  <c r="R34" i="20"/>
  <c r="R33" i="20"/>
  <c r="Q46" i="20"/>
  <c r="Q45" i="20"/>
  <c r="Q44" i="20"/>
  <c r="Q43" i="20"/>
  <c r="Q42" i="20"/>
  <c r="Q41" i="20"/>
  <c r="Q40" i="20"/>
  <c r="Q39" i="20"/>
  <c r="Q38" i="20"/>
  <c r="Q37" i="20"/>
  <c r="Q36" i="20"/>
  <c r="Q35" i="20"/>
  <c r="Q34" i="20"/>
  <c r="Q33" i="20"/>
  <c r="P46" i="20"/>
  <c r="P45" i="20"/>
  <c r="P44" i="20"/>
  <c r="P43" i="20"/>
  <c r="P42" i="20"/>
  <c r="P41" i="20"/>
  <c r="P40" i="20"/>
  <c r="P39" i="20"/>
  <c r="P38" i="20"/>
  <c r="P37" i="20"/>
  <c r="P36" i="20"/>
  <c r="P35" i="20"/>
  <c r="P34" i="20"/>
  <c r="P33" i="20"/>
  <c r="O46" i="20"/>
  <c r="O45" i="20"/>
  <c r="O44" i="20"/>
  <c r="O43" i="20"/>
  <c r="O42" i="20"/>
  <c r="O41" i="20"/>
  <c r="O40" i="20"/>
  <c r="O39" i="20"/>
  <c r="O38" i="20"/>
  <c r="O37" i="20"/>
  <c r="O36" i="20"/>
  <c r="O35" i="20"/>
  <c r="O34" i="20"/>
  <c r="O33" i="20"/>
  <c r="N46" i="20"/>
  <c r="N45" i="20"/>
  <c r="N44" i="20"/>
  <c r="N43" i="20"/>
  <c r="N42" i="20"/>
  <c r="N41" i="20"/>
  <c r="N40" i="20"/>
  <c r="N39" i="20"/>
  <c r="N38" i="20"/>
  <c r="N37" i="20"/>
  <c r="N36" i="20"/>
  <c r="N35" i="20"/>
  <c r="N34" i="20"/>
  <c r="N33" i="20"/>
  <c r="M46" i="20"/>
  <c r="M45" i="20"/>
  <c r="M44" i="20"/>
  <c r="M43" i="20"/>
  <c r="M42" i="20"/>
  <c r="M41" i="20"/>
  <c r="M40" i="20"/>
  <c r="M39" i="20"/>
  <c r="M38" i="20"/>
  <c r="M37" i="20"/>
  <c r="M36" i="20"/>
  <c r="M35" i="20"/>
  <c r="M34" i="20"/>
  <c r="M33" i="20"/>
  <c r="L46" i="20"/>
  <c r="L45" i="20"/>
  <c r="L44" i="20"/>
  <c r="L43" i="20"/>
  <c r="L42" i="20"/>
  <c r="L41" i="20"/>
  <c r="L40" i="20"/>
  <c r="L39" i="20"/>
  <c r="L38" i="20"/>
  <c r="L37" i="20"/>
  <c r="L36" i="20"/>
  <c r="L35" i="20"/>
  <c r="L34" i="20"/>
  <c r="L33" i="20"/>
  <c r="K46" i="20"/>
  <c r="K45" i="20"/>
  <c r="K44" i="20"/>
  <c r="K43" i="20"/>
  <c r="K42" i="20"/>
  <c r="K41" i="20"/>
  <c r="K40" i="20"/>
  <c r="K39" i="20"/>
  <c r="K38" i="20"/>
  <c r="K37" i="20"/>
  <c r="K36" i="20"/>
  <c r="K35" i="20"/>
  <c r="K34" i="20"/>
  <c r="J46" i="20"/>
  <c r="J45" i="20"/>
  <c r="J44" i="20"/>
  <c r="J43" i="20"/>
  <c r="J42" i="20"/>
  <c r="J41" i="20"/>
  <c r="J40" i="20"/>
  <c r="J39" i="20"/>
  <c r="J38" i="20"/>
  <c r="J37" i="20"/>
  <c r="J36" i="20"/>
  <c r="J35" i="20"/>
  <c r="J34" i="20"/>
  <c r="J33" i="20"/>
  <c r="I46" i="20"/>
  <c r="I45" i="20"/>
  <c r="I44" i="20"/>
  <c r="I43" i="20"/>
  <c r="I42" i="20"/>
  <c r="I41" i="20"/>
  <c r="I40" i="20"/>
  <c r="I39" i="20"/>
  <c r="I38" i="20"/>
  <c r="I37" i="20"/>
  <c r="I36" i="20"/>
  <c r="I35" i="20"/>
  <c r="I34" i="20"/>
  <c r="I33" i="20"/>
  <c r="H46" i="20"/>
  <c r="H45" i="20"/>
  <c r="H44" i="20"/>
  <c r="H43" i="20"/>
  <c r="H42" i="20"/>
  <c r="H41" i="20"/>
  <c r="H40" i="20"/>
  <c r="H39" i="20"/>
  <c r="H38" i="20"/>
  <c r="H37" i="20"/>
  <c r="H36" i="20"/>
  <c r="H35" i="20"/>
  <c r="H34" i="20"/>
  <c r="H33" i="20"/>
  <c r="G46" i="20"/>
  <c r="G45" i="20"/>
  <c r="G44" i="20"/>
  <c r="G43" i="20"/>
  <c r="G42" i="20"/>
  <c r="G41" i="20"/>
  <c r="G40" i="20"/>
  <c r="G39" i="20"/>
  <c r="G38" i="20"/>
  <c r="G37" i="20"/>
  <c r="G36" i="20"/>
  <c r="G35" i="20"/>
  <c r="G34" i="20"/>
  <c r="G33" i="20"/>
  <c r="AF46" i="20"/>
  <c r="AF45" i="20"/>
  <c r="AF44" i="20"/>
  <c r="AF43" i="20"/>
  <c r="AF42" i="20"/>
  <c r="AF41" i="20"/>
  <c r="AF40" i="20"/>
  <c r="AF39" i="20"/>
  <c r="AF38" i="20"/>
  <c r="AF37" i="20"/>
  <c r="AF36" i="20"/>
  <c r="AF35" i="20"/>
  <c r="AF34" i="20"/>
  <c r="E46" i="20"/>
  <c r="E45" i="20"/>
  <c r="E44" i="20"/>
  <c r="E43" i="20"/>
  <c r="E42" i="20"/>
  <c r="E41" i="20"/>
  <c r="E40" i="20"/>
  <c r="E39" i="20"/>
  <c r="E38" i="20"/>
  <c r="E37" i="20"/>
  <c r="E36" i="20"/>
  <c r="E35" i="20"/>
  <c r="E34" i="20"/>
  <c r="E33" i="20"/>
  <c r="D46" i="20"/>
  <c r="D45" i="20"/>
  <c r="D44" i="20"/>
  <c r="D43" i="20"/>
  <c r="D42" i="20"/>
  <c r="D41" i="20"/>
  <c r="D40" i="20"/>
  <c r="D39" i="20"/>
  <c r="D38" i="20"/>
  <c r="D37" i="20"/>
  <c r="D36" i="20"/>
  <c r="D35" i="20"/>
  <c r="D34" i="20"/>
  <c r="D33" i="20"/>
  <c r="C46" i="20"/>
  <c r="C45" i="20"/>
  <c r="C44" i="20"/>
  <c r="C43" i="20"/>
  <c r="C42" i="20"/>
  <c r="C41" i="20"/>
  <c r="C40" i="20"/>
  <c r="C39" i="20"/>
  <c r="C38" i="20"/>
  <c r="C37" i="20"/>
  <c r="C36" i="20"/>
  <c r="C35" i="20"/>
  <c r="C34" i="20"/>
  <c r="C33" i="20"/>
  <c r="U4" i="20"/>
  <c r="T3" i="20"/>
  <c r="U46" i="20"/>
  <c r="U45" i="20"/>
  <c r="U44" i="20"/>
  <c r="U43" i="20"/>
  <c r="U42" i="20"/>
  <c r="U41" i="20"/>
  <c r="U40" i="20"/>
  <c r="U39" i="20"/>
  <c r="U38" i="20"/>
  <c r="U37" i="20"/>
  <c r="U36" i="20"/>
  <c r="U35" i="20"/>
  <c r="U34" i="20"/>
  <c r="U33" i="20"/>
  <c r="U32" i="20"/>
  <c r="U31" i="20"/>
  <c r="U30" i="20"/>
  <c r="U29" i="20"/>
  <c r="U28" i="20"/>
  <c r="U27" i="20"/>
  <c r="U26" i="20"/>
  <c r="U25" i="20"/>
  <c r="U24" i="20"/>
  <c r="U23" i="20"/>
  <c r="U22" i="20"/>
  <c r="U21" i="20"/>
  <c r="U20" i="20"/>
  <c r="U19" i="20"/>
  <c r="U18" i="20"/>
  <c r="U17" i="20"/>
  <c r="U16" i="20"/>
  <c r="U15" i="20"/>
  <c r="U14" i="20"/>
  <c r="U13" i="20"/>
  <c r="U12" i="20"/>
  <c r="U11" i="20"/>
  <c r="U10" i="20"/>
  <c r="U9" i="20"/>
  <c r="U8" i="20"/>
  <c r="U7" i="20"/>
  <c r="U6" i="20"/>
  <c r="U5" i="20"/>
  <c r="U3" i="20"/>
  <c r="T46" i="20"/>
  <c r="T45" i="20"/>
  <c r="T44" i="20"/>
  <c r="T43" i="20"/>
  <c r="T42" i="20"/>
  <c r="T41" i="20"/>
  <c r="T40" i="20"/>
  <c r="T39" i="20"/>
  <c r="T38" i="20"/>
  <c r="T37" i="20"/>
  <c r="T36" i="20"/>
  <c r="T35" i="20"/>
  <c r="T34" i="20"/>
  <c r="T33" i="20"/>
  <c r="T32" i="20"/>
  <c r="T31" i="20"/>
  <c r="T30" i="20"/>
  <c r="T29" i="20"/>
  <c r="T28" i="20"/>
  <c r="T27" i="20"/>
  <c r="T26" i="20"/>
  <c r="T25" i="20"/>
  <c r="T24" i="20"/>
  <c r="T23" i="20"/>
  <c r="T22" i="20"/>
  <c r="T21" i="20"/>
  <c r="T20" i="20"/>
  <c r="T19" i="20"/>
  <c r="T18" i="20"/>
  <c r="T17" i="20"/>
  <c r="T16" i="20"/>
  <c r="T15" i="20"/>
  <c r="T14" i="20"/>
  <c r="T13" i="20"/>
  <c r="T12" i="20"/>
  <c r="T11" i="20"/>
  <c r="T10" i="20"/>
  <c r="T9" i="20"/>
  <c r="T8" i="20"/>
  <c r="T7" i="20"/>
  <c r="T6" i="20"/>
  <c r="T5" i="20"/>
  <c r="T4" i="20"/>
  <c r="AA46" i="20"/>
  <c r="AA34" i="20"/>
  <c r="A3" i="20"/>
  <c r="AA35" i="20"/>
  <c r="AA36" i="20"/>
  <c r="AA37" i="20"/>
  <c r="AA38" i="20"/>
  <c r="B38" i="20" s="1"/>
  <c r="AA39" i="20"/>
  <c r="AA40" i="20"/>
  <c r="AA41" i="20"/>
  <c r="AA42" i="20"/>
  <c r="B42" i="20" s="1"/>
  <c r="AA43" i="20"/>
  <c r="AA44" i="20"/>
  <c r="AA45" i="20"/>
  <c r="AA33" i="20"/>
  <c r="A4" i="20"/>
  <c r="A5" i="20"/>
  <c r="A6" i="20"/>
  <c r="A7" i="20"/>
  <c r="B7" i="20" s="1"/>
  <c r="A8" i="20"/>
  <c r="A9" i="20"/>
  <c r="A10" i="20"/>
  <c r="A11" i="20"/>
  <c r="A12" i="20"/>
  <c r="A13" i="20"/>
  <c r="A14" i="20"/>
  <c r="A15" i="20"/>
  <c r="A16" i="20"/>
  <c r="A17" i="20"/>
  <c r="A18" i="20"/>
  <c r="A19" i="20"/>
  <c r="A20" i="20"/>
  <c r="A21" i="20"/>
  <c r="A22" i="20"/>
  <c r="A23" i="20"/>
  <c r="A24" i="20"/>
  <c r="A25" i="20"/>
  <c r="A26" i="20"/>
  <c r="A27" i="20"/>
  <c r="A28" i="20"/>
  <c r="A29" i="20"/>
  <c r="A30" i="20"/>
  <c r="A31" i="20"/>
  <c r="A32" i="20"/>
  <c r="AA6" i="20"/>
  <c r="AA3" i="20"/>
  <c r="AB3" i="20" s="1"/>
  <c r="AA5" i="20"/>
  <c r="AA4" i="20"/>
  <c r="AQ74" i="1"/>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E211" i="2"/>
  <c r="I211" i="2" s="1"/>
  <c r="M211" i="2" s="1"/>
  <c r="E32" i="20" s="1"/>
  <c r="E204" i="2"/>
  <c r="F204" i="2" s="1"/>
  <c r="F205" i="2" s="1"/>
  <c r="I204" i="2"/>
  <c r="M204" i="2" s="1"/>
  <c r="E207" i="2"/>
  <c r="I207" i="2" s="1"/>
  <c r="M207" i="2" s="1"/>
  <c r="E197" i="2"/>
  <c r="I197" i="2" s="1"/>
  <c r="M197" i="2" s="1"/>
  <c r="E200" i="2"/>
  <c r="I200" i="2" s="1"/>
  <c r="E190" i="2"/>
  <c r="I190" i="2" s="1"/>
  <c r="E193" i="2"/>
  <c r="I193" i="2" s="1"/>
  <c r="M193" i="2" s="1"/>
  <c r="E183" i="2"/>
  <c r="F183" i="2" s="1"/>
  <c r="F184" i="2" s="1"/>
  <c r="E186" i="2"/>
  <c r="I186" i="2" s="1"/>
  <c r="E176" i="2"/>
  <c r="F176" i="2" s="1"/>
  <c r="F177" i="2" s="1"/>
  <c r="F178" i="2" s="1"/>
  <c r="E179" i="2"/>
  <c r="I179" i="2" s="1"/>
  <c r="M179" i="2" s="1"/>
  <c r="E169" i="2"/>
  <c r="I169" i="2" s="1"/>
  <c r="M169" i="2" s="1"/>
  <c r="E172" i="2"/>
  <c r="F172" i="2" s="1"/>
  <c r="F173" i="2" s="1"/>
  <c r="F174" i="2" s="1"/>
  <c r="E162" i="2"/>
  <c r="I162" i="2" s="1"/>
  <c r="M162" i="2" s="1"/>
  <c r="E165" i="2"/>
  <c r="I165" i="2" s="1"/>
  <c r="M165" i="2" s="1"/>
  <c r="E155" i="2"/>
  <c r="F155" i="2" s="1"/>
  <c r="F156" i="2" s="1"/>
  <c r="E158" i="2"/>
  <c r="I158" i="2" s="1"/>
  <c r="E151" i="2"/>
  <c r="D23" i="20" s="1"/>
  <c r="E141" i="2"/>
  <c r="I141" i="2" s="1"/>
  <c r="E143" i="2"/>
  <c r="I143" i="2" s="1"/>
  <c r="M143" i="2" s="1"/>
  <c r="E134" i="2"/>
  <c r="E137" i="2"/>
  <c r="I137" i="2" s="1"/>
  <c r="M137" i="2" s="1"/>
  <c r="E127" i="2"/>
  <c r="I127" i="2" s="1"/>
  <c r="E130" i="2"/>
  <c r="I130" i="2" s="1"/>
  <c r="M130" i="2" s="1"/>
  <c r="E120" i="2"/>
  <c r="I120" i="2" s="1"/>
  <c r="M120" i="2" s="1"/>
  <c r="E123" i="2"/>
  <c r="E113" i="2"/>
  <c r="I113" i="2" s="1"/>
  <c r="M113" i="2" s="1"/>
  <c r="E117" i="2"/>
  <c r="I117" i="2" s="1"/>
  <c r="M117" i="2" s="1"/>
  <c r="E106" i="2"/>
  <c r="F106" i="2" s="1"/>
  <c r="F107" i="2" s="1"/>
  <c r="F108" i="2" s="1"/>
  <c r="G108" i="2" s="1"/>
  <c r="E109" i="2"/>
  <c r="I109" i="2" s="1"/>
  <c r="E99" i="2"/>
  <c r="I99" i="2" s="1"/>
  <c r="E102" i="2"/>
  <c r="I102" i="2" s="1"/>
  <c r="M102" i="2" s="1"/>
  <c r="E92" i="2"/>
  <c r="I92" i="2" s="1"/>
  <c r="M92" i="2" s="1"/>
  <c r="E95" i="2"/>
  <c r="I95" i="2" s="1"/>
  <c r="E85" i="2"/>
  <c r="I85" i="2" s="1"/>
  <c r="M85" i="2" s="1"/>
  <c r="E88" i="2"/>
  <c r="I88" i="2" s="1"/>
  <c r="M88" i="2" s="1"/>
  <c r="E78" i="2"/>
  <c r="E81" i="2"/>
  <c r="I81" i="2" s="1"/>
  <c r="E71" i="2"/>
  <c r="I71" i="2" s="1"/>
  <c r="E74" i="2"/>
  <c r="I74" i="2" s="1"/>
  <c r="M74" i="2" s="1"/>
  <c r="E64" i="2"/>
  <c r="I64" i="2" s="1"/>
  <c r="M64" i="2" s="1"/>
  <c r="E67" i="2"/>
  <c r="I67" i="2" s="1"/>
  <c r="E57" i="2"/>
  <c r="I57" i="2" s="1"/>
  <c r="M57" i="2" s="1"/>
  <c r="E60" i="2"/>
  <c r="I60" i="2" s="1"/>
  <c r="M60" i="2" s="1"/>
  <c r="E50" i="2"/>
  <c r="F50" i="2" s="1"/>
  <c r="F51" i="2" s="1"/>
  <c r="F52" i="2" s="1"/>
  <c r="G52" i="2" s="1"/>
  <c r="E53" i="2"/>
  <c r="I53" i="2" s="1"/>
  <c r="M53" i="2" s="1"/>
  <c r="E43" i="2"/>
  <c r="I43" i="2" s="1"/>
  <c r="E46" i="2"/>
  <c r="I46" i="2" s="1"/>
  <c r="M46" i="2" s="1"/>
  <c r="E36" i="2"/>
  <c r="I36" i="2" s="1"/>
  <c r="M36" i="2" s="1"/>
  <c r="E39" i="2"/>
  <c r="E29" i="2"/>
  <c r="I29" i="2" s="1"/>
  <c r="M29" i="2" s="1"/>
  <c r="E32" i="2"/>
  <c r="I32" i="2" s="1"/>
  <c r="M32" i="2" s="1"/>
  <c r="E22" i="2"/>
  <c r="E25" i="2"/>
  <c r="I25" i="2" s="1"/>
  <c r="E15" i="2"/>
  <c r="E18" i="2"/>
  <c r="I18" i="2" s="1"/>
  <c r="M18" i="2" s="1"/>
  <c r="E11" i="2"/>
  <c r="I11" i="2" s="1"/>
  <c r="M11" i="2" s="1"/>
  <c r="E3" i="20" s="1"/>
  <c r="AC74" i="19"/>
  <c r="B49" i="19"/>
  <c r="B87" i="19"/>
  <c r="B102" i="19"/>
  <c r="B138" i="19"/>
  <c r="B162" i="19"/>
  <c r="B198" i="19"/>
  <c r="J12" i="19"/>
  <c r="K12" i="19"/>
  <c r="L12" i="19"/>
  <c r="M12" i="19"/>
  <c r="AE3" i="20" s="1"/>
  <c r="J25" i="19"/>
  <c r="K25" i="19"/>
  <c r="L25" i="19"/>
  <c r="M25" i="19"/>
  <c r="AE5" i="20" s="1"/>
  <c r="J47" i="19"/>
  <c r="K47" i="19"/>
  <c r="L47" i="19"/>
  <c r="M47" i="19"/>
  <c r="AE8" i="20" s="1"/>
  <c r="J61" i="19"/>
  <c r="K61" i="19"/>
  <c r="L61" i="19"/>
  <c r="M61" i="19"/>
  <c r="AE10" i="20" s="1"/>
  <c r="J73" i="19"/>
  <c r="K73" i="19"/>
  <c r="L73" i="19"/>
  <c r="M73" i="19"/>
  <c r="AE12" i="20" s="1"/>
  <c r="J85" i="19"/>
  <c r="K85" i="19"/>
  <c r="L85" i="19"/>
  <c r="M85" i="19"/>
  <c r="AE14" i="20" s="1"/>
  <c r="J97" i="19"/>
  <c r="K97" i="19"/>
  <c r="L97" i="19"/>
  <c r="M97" i="19"/>
  <c r="AE15" i="20" s="1"/>
  <c r="J102" i="19"/>
  <c r="K102" i="19"/>
  <c r="L102" i="19"/>
  <c r="M102" i="19"/>
  <c r="AE16" i="20" s="1"/>
  <c r="J114" i="19"/>
  <c r="K114" i="19"/>
  <c r="L114" i="19"/>
  <c r="M114" i="19"/>
  <c r="AE18" i="20" s="1"/>
  <c r="J126" i="19"/>
  <c r="K126" i="19"/>
  <c r="L126" i="19"/>
  <c r="M126" i="19"/>
  <c r="AE19" i="20" s="1"/>
  <c r="J138" i="19"/>
  <c r="K138" i="19"/>
  <c r="L138" i="19"/>
  <c r="M138" i="19"/>
  <c r="AE21" i="20" s="1"/>
  <c r="J150" i="19"/>
  <c r="K150" i="19"/>
  <c r="L150" i="19"/>
  <c r="M150" i="19"/>
  <c r="AE23" i="20" s="1"/>
  <c r="J162" i="19"/>
  <c r="K162" i="19"/>
  <c r="L162" i="19"/>
  <c r="M162" i="19"/>
  <c r="AE25" i="20" s="1"/>
  <c r="J173" i="19"/>
  <c r="K173" i="19"/>
  <c r="L173" i="19"/>
  <c r="M173" i="19"/>
  <c r="AE26" i="20" s="1"/>
  <c r="J186" i="19"/>
  <c r="K186" i="19"/>
  <c r="L186" i="19"/>
  <c r="M186" i="19"/>
  <c r="AE28" i="20" s="1"/>
  <c r="J198" i="19"/>
  <c r="K198" i="19"/>
  <c r="L198" i="19"/>
  <c r="M198" i="19"/>
  <c r="AE30" i="20" s="1"/>
  <c r="J210" i="19"/>
  <c r="K210" i="19"/>
  <c r="L210" i="19"/>
  <c r="M210" i="19"/>
  <c r="AE31" i="20" s="1"/>
  <c r="D216" i="19"/>
  <c r="E216" i="19"/>
  <c r="D204" i="19"/>
  <c r="E204" i="19"/>
  <c r="D210" i="19"/>
  <c r="E210" i="19"/>
  <c r="D198" i="19"/>
  <c r="E198" i="19"/>
  <c r="D192" i="19"/>
  <c r="E192" i="19"/>
  <c r="D186" i="19"/>
  <c r="E186" i="19"/>
  <c r="D180" i="19"/>
  <c r="E180" i="19"/>
  <c r="D174" i="19"/>
  <c r="E174" i="19"/>
  <c r="D162" i="19"/>
  <c r="E162" i="19"/>
  <c r="D168" i="19"/>
  <c r="E168" i="19"/>
  <c r="D156" i="19"/>
  <c r="E156" i="19"/>
  <c r="D150" i="19"/>
  <c r="E150" i="19"/>
  <c r="D144" i="19"/>
  <c r="E144" i="19"/>
  <c r="D138" i="19"/>
  <c r="E138" i="19"/>
  <c r="D132" i="19"/>
  <c r="E132" i="19"/>
  <c r="D120" i="19"/>
  <c r="E120" i="19"/>
  <c r="D126" i="19"/>
  <c r="E126" i="19"/>
  <c r="D114" i="19"/>
  <c r="E114" i="19"/>
  <c r="D108" i="19"/>
  <c r="E108" i="19"/>
  <c r="D102" i="19"/>
  <c r="E102" i="19"/>
  <c r="D97" i="19"/>
  <c r="E97" i="19"/>
  <c r="D85" i="19"/>
  <c r="E85" i="19"/>
  <c r="D87" i="19"/>
  <c r="E87" i="19"/>
  <c r="D91" i="19"/>
  <c r="E91" i="19"/>
  <c r="AD91" i="19" s="1"/>
  <c r="D79" i="19"/>
  <c r="E79" i="19"/>
  <c r="AI12" i="20"/>
  <c r="D67" i="19"/>
  <c r="E67" i="19"/>
  <c r="D61" i="19"/>
  <c r="E61" i="19"/>
  <c r="D55" i="19"/>
  <c r="E55" i="19"/>
  <c r="D43" i="19"/>
  <c r="E43" i="19"/>
  <c r="D49" i="19"/>
  <c r="E49" i="19"/>
  <c r="D37" i="19"/>
  <c r="E37" i="19"/>
  <c r="D31" i="19"/>
  <c r="E31" i="19"/>
  <c r="D25" i="19"/>
  <c r="E25" i="19"/>
  <c r="D19" i="19"/>
  <c r="E19" i="19"/>
  <c r="D13" i="19"/>
  <c r="E13" i="19"/>
  <c r="AJ12" i="20"/>
  <c r="D185" i="17"/>
  <c r="C185" i="17"/>
  <c r="Z9" i="2"/>
  <c r="Z10" i="2"/>
  <c r="Z11" i="2"/>
  <c r="Z12" i="2"/>
  <c r="Z13" i="2"/>
  <c r="Z14" i="2"/>
  <c r="Z15" i="2"/>
  <c r="Z16" i="2"/>
  <c r="Z17" i="2"/>
  <c r="Z18" i="2"/>
  <c r="K4" i="20" s="1"/>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K8" i="20" s="1"/>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K16" i="20" s="1"/>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K20" i="20" s="1"/>
  <c r="Z131" i="2"/>
  <c r="Z132" i="2"/>
  <c r="Z133" i="2"/>
  <c r="Z134" i="2"/>
  <c r="Z135" i="2"/>
  <c r="Z136" i="2"/>
  <c r="Z137" i="2"/>
  <c r="Z138" i="2"/>
  <c r="Z139" i="2"/>
  <c r="Z140" i="2"/>
  <c r="Z141" i="2"/>
  <c r="Z142" i="2"/>
  <c r="Z143" i="2"/>
  <c r="Z144" i="2"/>
  <c r="Z145" i="2"/>
  <c r="Z146" i="2"/>
  <c r="Z147" i="2"/>
  <c r="Z148" i="2"/>
  <c r="Z149" i="2"/>
  <c r="Z150" i="2"/>
  <c r="K23" i="20" s="1"/>
  <c r="Z151" i="2"/>
  <c r="Z152" i="2"/>
  <c r="Z153" i="2"/>
  <c r="Z154" i="2"/>
  <c r="Z155" i="2"/>
  <c r="Z156" i="2"/>
  <c r="Z157" i="2"/>
  <c r="Z158" i="2"/>
  <c r="K24" i="20" s="1"/>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R10" i="2"/>
  <c r="S10" i="2" s="1"/>
  <c r="S11" i="2" s="1"/>
  <c r="S12" i="2" s="1"/>
  <c r="S13" i="2" s="1"/>
  <c r="S17" i="2"/>
  <c r="S18" i="2" s="1"/>
  <c r="S19" i="2" s="1"/>
  <c r="N13" i="2"/>
  <c r="R24" i="2"/>
  <c r="S24" i="2" s="1"/>
  <c r="S25" i="2" s="1"/>
  <c r="N19" i="2"/>
  <c r="O19" i="2" s="1"/>
  <c r="O20" i="2" s="1"/>
  <c r="O21" i="2" s="1"/>
  <c r="O22" i="2" s="1"/>
  <c r="R31" i="2"/>
  <c r="S31" i="2" s="1"/>
  <c r="S32" i="2" s="1"/>
  <c r="N25" i="2"/>
  <c r="O25" i="2" s="1"/>
  <c r="R38" i="2"/>
  <c r="S38" i="2" s="1"/>
  <c r="S39" i="2" s="1"/>
  <c r="S40" i="2" s="1"/>
  <c r="S41" i="2" s="1"/>
  <c r="S42" i="2" s="1"/>
  <c r="S43" i="2" s="1"/>
  <c r="N31" i="2"/>
  <c r="O31" i="2" s="1"/>
  <c r="O32" i="2" s="1"/>
  <c r="F36" i="2"/>
  <c r="F37" i="2" s="1"/>
  <c r="N37" i="2"/>
  <c r="O37" i="2" s="1"/>
  <c r="O38" i="2" s="1"/>
  <c r="O39" i="2" s="1"/>
  <c r="R59" i="2"/>
  <c r="S59" i="2" s="1"/>
  <c r="S60" i="2" s="1"/>
  <c r="S61" i="2" s="1"/>
  <c r="N43" i="2"/>
  <c r="O43" i="2" s="1"/>
  <c r="N49" i="2"/>
  <c r="O49" i="2" s="1"/>
  <c r="O50" i="2" s="1"/>
  <c r="N55" i="2"/>
  <c r="O55" i="2" s="1"/>
  <c r="O56" i="2" s="1"/>
  <c r="R66" i="2"/>
  <c r="S66" i="2" s="1"/>
  <c r="S67" i="2" s="1"/>
  <c r="R80" i="2"/>
  <c r="S80" i="2" s="1"/>
  <c r="S81" i="2" s="1"/>
  <c r="S82" i="2" s="1"/>
  <c r="S83" i="2" s="1"/>
  <c r="S84" i="2" s="1"/>
  <c r="S85" i="2" s="1"/>
  <c r="N61" i="2"/>
  <c r="O61" i="2" s="1"/>
  <c r="O62" i="2" s="1"/>
  <c r="O63" i="2" s="1"/>
  <c r="O64" i="2" s="1"/>
  <c r="O65" i="2" s="1"/>
  <c r="F67" i="2"/>
  <c r="F68" i="2" s="1"/>
  <c r="F69" i="2" s="1"/>
  <c r="F70" i="2" s="1"/>
  <c r="G70" i="2" s="1"/>
  <c r="H70" i="2" s="1"/>
  <c r="N67" i="2"/>
  <c r="O67" i="2" s="1"/>
  <c r="O68" i="2" s="1"/>
  <c r="F78" i="2"/>
  <c r="F79" i="2" s="1"/>
  <c r="N79" i="2"/>
  <c r="O79" i="2" s="1"/>
  <c r="O80" i="2" s="1"/>
  <c r="R87" i="2"/>
  <c r="S87" i="2" s="1"/>
  <c r="S88" i="2" s="1"/>
  <c r="S89" i="2" s="1"/>
  <c r="S90" i="2" s="1"/>
  <c r="S91" i="2" s="1"/>
  <c r="N85" i="2"/>
  <c r="O85" i="2" s="1"/>
  <c r="R108" i="2"/>
  <c r="S108" i="2" s="1"/>
  <c r="N87" i="2"/>
  <c r="O87" i="2" s="1"/>
  <c r="O88" i="2" s="1"/>
  <c r="O89" i="2" s="1"/>
  <c r="N91" i="2"/>
  <c r="O91" i="2" s="1"/>
  <c r="N97" i="2"/>
  <c r="O97" i="2" s="1"/>
  <c r="O98" i="2" s="1"/>
  <c r="O99" i="2" s="1"/>
  <c r="N102" i="2"/>
  <c r="O102" i="2" s="1"/>
  <c r="R115" i="2"/>
  <c r="S115" i="2" s="1"/>
  <c r="S116" i="2" s="1"/>
  <c r="S117" i="2" s="1"/>
  <c r="S118" i="2" s="1"/>
  <c r="S119" i="2" s="1"/>
  <c r="S120" i="2" s="1"/>
  <c r="N108" i="2"/>
  <c r="O108" i="2" s="1"/>
  <c r="O109" i="2" s="1"/>
  <c r="N114" i="2"/>
  <c r="O114" i="2" s="1"/>
  <c r="O115" i="2" s="1"/>
  <c r="R122" i="2"/>
  <c r="S122" i="2" s="1"/>
  <c r="S123" i="2" s="1"/>
  <c r="S124" i="2" s="1"/>
  <c r="S125" i="2" s="1"/>
  <c r="S126" i="2" s="1"/>
  <c r="N120" i="2"/>
  <c r="R136" i="2"/>
  <c r="S136" i="2" s="1"/>
  <c r="S137" i="2" s="1"/>
  <c r="S138" i="2" s="1"/>
  <c r="N126" i="2"/>
  <c r="O126" i="2" s="1"/>
  <c r="F130" i="2"/>
  <c r="F131" i="2" s="1"/>
  <c r="F132" i="2" s="1"/>
  <c r="N132" i="2"/>
  <c r="R143" i="2"/>
  <c r="S143" i="2" s="1"/>
  <c r="S144" i="2" s="1"/>
  <c r="N138" i="2"/>
  <c r="R157" i="2"/>
  <c r="S157" i="2" s="1"/>
  <c r="S158" i="2" s="1"/>
  <c r="S159" i="2" s="1"/>
  <c r="S160" i="2" s="1"/>
  <c r="S161" i="2" s="1"/>
  <c r="S162" i="2" s="1"/>
  <c r="N144" i="2"/>
  <c r="O144" i="2" s="1"/>
  <c r="N150" i="2"/>
  <c r="O150" i="2" s="1"/>
  <c r="O151" i="2" s="1"/>
  <c r="O152" i="2" s="1"/>
  <c r="O153" i="2" s="1"/>
  <c r="O154" i="2" s="1"/>
  <c r="O155" i="2" s="1"/>
  <c r="N156" i="2"/>
  <c r="O156" i="2" s="1"/>
  <c r="O157" i="2" s="1"/>
  <c r="R171" i="2"/>
  <c r="S171" i="2" s="1"/>
  <c r="S172" i="2" s="1"/>
  <c r="S173" i="2" s="1"/>
  <c r="S174" i="2" s="1"/>
  <c r="N162" i="2"/>
  <c r="O162" i="2" s="1"/>
  <c r="O163" i="2" s="1"/>
  <c r="N168" i="2"/>
  <c r="O168" i="2" s="1"/>
  <c r="R178" i="2"/>
  <c r="S178" i="2" s="1"/>
  <c r="S179" i="2" s="1"/>
  <c r="S180" i="2" s="1"/>
  <c r="N174" i="2"/>
  <c r="O174" i="2" s="1"/>
  <c r="O175" i="2" s="1"/>
  <c r="R185" i="2"/>
  <c r="S185" i="2" s="1"/>
  <c r="S186" i="2" s="1"/>
  <c r="N180" i="2"/>
  <c r="O180" i="2" s="1"/>
  <c r="O181" i="2" s="1"/>
  <c r="R192" i="2"/>
  <c r="S192" i="2" s="1"/>
  <c r="S193" i="2" s="1"/>
  <c r="N186" i="2"/>
  <c r="R199" i="2"/>
  <c r="S199" i="2" s="1"/>
  <c r="S200" i="2" s="1"/>
  <c r="S201" i="2" s="1"/>
  <c r="S202" i="2" s="1"/>
  <c r="S203" i="2" s="1"/>
  <c r="S204" i="2" s="1"/>
  <c r="N192" i="2"/>
  <c r="O192" i="2" s="1"/>
  <c r="N198" i="2"/>
  <c r="R206" i="2"/>
  <c r="S206" i="2" s="1"/>
  <c r="S207" i="2" s="1"/>
  <c r="S208" i="2" s="1"/>
  <c r="S209" i="2" s="1"/>
  <c r="S210" i="2" s="1"/>
  <c r="N204" i="2"/>
  <c r="O204" i="2" s="1"/>
  <c r="O205" i="2" s="1"/>
  <c r="N210" i="2"/>
  <c r="O210" i="2" s="1"/>
  <c r="O211" i="2" s="1"/>
  <c r="N216" i="2"/>
  <c r="O216" i="2" s="1"/>
  <c r="O13" i="2"/>
  <c r="O14" i="2" s="1"/>
  <c r="O15" i="2" s="1"/>
  <c r="O16" i="2" s="1"/>
  <c r="O17" i="2" s="1"/>
  <c r="O120" i="2"/>
  <c r="O132" i="2"/>
  <c r="O133" i="2" s="1"/>
  <c r="O186" i="2"/>
  <c r="O187" i="2" s="1"/>
  <c r="AH12" i="20"/>
  <c r="B13" i="2"/>
  <c r="B49" i="2"/>
  <c r="B87" i="2"/>
  <c r="B102" i="2"/>
  <c r="B138" i="2"/>
  <c r="B162" i="2"/>
  <c r="B198" i="2"/>
  <c r="H24" i="20"/>
  <c r="H12" i="20"/>
  <c r="D211" i="2"/>
  <c r="D212" i="2"/>
  <c r="D213" i="2"/>
  <c r="D214" i="2"/>
  <c r="D215" i="2"/>
  <c r="D216" i="2"/>
  <c r="D217" i="2"/>
  <c r="D204" i="2"/>
  <c r="D205" i="2"/>
  <c r="D206" i="2"/>
  <c r="D207" i="2"/>
  <c r="D208" i="2"/>
  <c r="D209" i="2"/>
  <c r="D210" i="2"/>
  <c r="D197" i="2"/>
  <c r="D198" i="2"/>
  <c r="D199" i="2"/>
  <c r="D200" i="2"/>
  <c r="D201" i="2"/>
  <c r="D202" i="2"/>
  <c r="D203" i="2"/>
  <c r="D190" i="2"/>
  <c r="D191" i="2"/>
  <c r="D192" i="2"/>
  <c r="D193" i="2"/>
  <c r="D194" i="2"/>
  <c r="D195" i="2"/>
  <c r="D196" i="2"/>
  <c r="D183" i="2"/>
  <c r="D184" i="2"/>
  <c r="D185" i="2"/>
  <c r="D186" i="2"/>
  <c r="D187" i="2"/>
  <c r="D188" i="2"/>
  <c r="D189" i="2"/>
  <c r="D176" i="2"/>
  <c r="D177" i="2"/>
  <c r="D178" i="2"/>
  <c r="D179" i="2"/>
  <c r="D180" i="2"/>
  <c r="D181" i="2"/>
  <c r="D182" i="2"/>
  <c r="D169" i="2"/>
  <c r="D170" i="2"/>
  <c r="D171" i="2"/>
  <c r="D172" i="2"/>
  <c r="D173" i="2"/>
  <c r="D174" i="2"/>
  <c r="D175" i="2"/>
  <c r="D162" i="2"/>
  <c r="D163" i="2"/>
  <c r="D164" i="2"/>
  <c r="D165" i="2"/>
  <c r="D166" i="2"/>
  <c r="D167" i="2"/>
  <c r="D168" i="2"/>
  <c r="D155" i="2"/>
  <c r="D156" i="2"/>
  <c r="D157" i="2"/>
  <c r="D158" i="2"/>
  <c r="D159" i="2"/>
  <c r="D160" i="2"/>
  <c r="D161" i="2"/>
  <c r="D148" i="2"/>
  <c r="D149" i="2"/>
  <c r="D150" i="2"/>
  <c r="D151" i="2"/>
  <c r="D152" i="2"/>
  <c r="D153" i="2"/>
  <c r="D154" i="2"/>
  <c r="D141" i="2"/>
  <c r="D142" i="2"/>
  <c r="D143" i="2"/>
  <c r="D144" i="2"/>
  <c r="D145" i="2"/>
  <c r="D146" i="2"/>
  <c r="D147" i="2"/>
  <c r="D134" i="2"/>
  <c r="D135" i="2"/>
  <c r="D136" i="2"/>
  <c r="D137" i="2"/>
  <c r="D138" i="2"/>
  <c r="D139" i="2"/>
  <c r="D140" i="2"/>
  <c r="D127" i="2"/>
  <c r="D128" i="2"/>
  <c r="D129" i="2"/>
  <c r="D130" i="2"/>
  <c r="D131" i="2"/>
  <c r="D132" i="2"/>
  <c r="D133" i="2"/>
  <c r="D120" i="2"/>
  <c r="D121" i="2"/>
  <c r="D122" i="2"/>
  <c r="D123" i="2"/>
  <c r="D124" i="2"/>
  <c r="D125" i="2"/>
  <c r="D126" i="2"/>
  <c r="D113" i="2"/>
  <c r="D114" i="2"/>
  <c r="D115" i="2"/>
  <c r="D116" i="2"/>
  <c r="D117" i="2"/>
  <c r="D118" i="2"/>
  <c r="D119" i="2"/>
  <c r="D106" i="2"/>
  <c r="D107" i="2"/>
  <c r="D108" i="2"/>
  <c r="D109" i="2"/>
  <c r="D110" i="2"/>
  <c r="D111" i="2"/>
  <c r="D112" i="2"/>
  <c r="D99" i="2"/>
  <c r="D100" i="2"/>
  <c r="D101" i="2"/>
  <c r="D102" i="2"/>
  <c r="D103" i="2"/>
  <c r="D104" i="2"/>
  <c r="D105" i="2"/>
  <c r="D92" i="2"/>
  <c r="D93" i="2"/>
  <c r="D94" i="2"/>
  <c r="D95" i="2"/>
  <c r="D96" i="2"/>
  <c r="D97" i="2"/>
  <c r="D98" i="2"/>
  <c r="D85" i="2"/>
  <c r="D86" i="2"/>
  <c r="D87" i="2"/>
  <c r="D88" i="2"/>
  <c r="D89" i="2"/>
  <c r="D90" i="2"/>
  <c r="D91" i="2"/>
  <c r="D78" i="2"/>
  <c r="D79" i="2"/>
  <c r="D80" i="2"/>
  <c r="D81" i="2"/>
  <c r="D82" i="2"/>
  <c r="D83" i="2"/>
  <c r="D84" i="2"/>
  <c r="D71" i="2"/>
  <c r="D72" i="2"/>
  <c r="D73" i="2"/>
  <c r="D74" i="2"/>
  <c r="D75" i="2"/>
  <c r="D76" i="2"/>
  <c r="D77" i="2"/>
  <c r="D64" i="2"/>
  <c r="D65" i="2"/>
  <c r="D66" i="2"/>
  <c r="D67" i="2"/>
  <c r="D68" i="2"/>
  <c r="D69" i="2"/>
  <c r="D70" i="2"/>
  <c r="D57" i="2"/>
  <c r="D58" i="2"/>
  <c r="D59" i="2"/>
  <c r="D60" i="2"/>
  <c r="D61" i="2"/>
  <c r="D62" i="2"/>
  <c r="D63" i="2"/>
  <c r="D50" i="2"/>
  <c r="D51" i="2"/>
  <c r="D52" i="2"/>
  <c r="D53" i="2"/>
  <c r="D54" i="2"/>
  <c r="D55" i="2"/>
  <c r="D56" i="2"/>
  <c r="D43" i="2"/>
  <c r="D44" i="2"/>
  <c r="D45" i="2"/>
  <c r="D46" i="2"/>
  <c r="D47" i="2"/>
  <c r="D48" i="2"/>
  <c r="D49" i="2"/>
  <c r="D36" i="2"/>
  <c r="D37" i="2"/>
  <c r="D38" i="2"/>
  <c r="D39" i="2"/>
  <c r="D40" i="2"/>
  <c r="D41" i="2"/>
  <c r="D42" i="2"/>
  <c r="D29" i="2"/>
  <c r="D30" i="2"/>
  <c r="D31" i="2"/>
  <c r="D32" i="2"/>
  <c r="D33" i="2"/>
  <c r="D34" i="2"/>
  <c r="D35" i="2"/>
  <c r="D22" i="2"/>
  <c r="D23" i="2"/>
  <c r="D24" i="2"/>
  <c r="D25" i="2"/>
  <c r="D26" i="2"/>
  <c r="D27" i="2"/>
  <c r="D28" i="2"/>
  <c r="D15" i="2"/>
  <c r="D16" i="2"/>
  <c r="D17" i="2"/>
  <c r="D18" i="2"/>
  <c r="D19" i="2"/>
  <c r="D20" i="2"/>
  <c r="D21" i="2"/>
  <c r="D9" i="2"/>
  <c r="D10" i="2"/>
  <c r="D11" i="2"/>
  <c r="D12" i="2"/>
  <c r="D13" i="2"/>
  <c r="D14" i="2"/>
  <c r="AM12" i="20"/>
  <c r="F178" i="17"/>
  <c r="P178" i="17"/>
  <c r="F213" i="17"/>
  <c r="F206" i="17"/>
  <c r="F199" i="17"/>
  <c r="F191" i="17"/>
  <c r="F185" i="17"/>
  <c r="F171" i="17"/>
  <c r="E161" i="19"/>
  <c r="E167" i="19"/>
  <c r="E173" i="19"/>
  <c r="E179" i="19"/>
  <c r="E185" i="19"/>
  <c r="E191" i="19"/>
  <c r="E197" i="19"/>
  <c r="E203" i="19"/>
  <c r="E209" i="19"/>
  <c r="E215" i="19"/>
  <c r="E155" i="19"/>
  <c r="D84" i="19"/>
  <c r="E84" i="19"/>
  <c r="D86" i="19"/>
  <c r="E86" i="19"/>
  <c r="AD87" i="19" s="1"/>
  <c r="D90" i="19"/>
  <c r="E90" i="19"/>
  <c r="D78" i="19"/>
  <c r="E78" i="19"/>
  <c r="AD79" i="19" s="1"/>
  <c r="D66" i="19"/>
  <c r="E66" i="19"/>
  <c r="D42" i="19"/>
  <c r="E42" i="19"/>
  <c r="D24" i="19"/>
  <c r="E24" i="19"/>
  <c r="D18" i="19"/>
  <c r="E18" i="19"/>
  <c r="D12" i="19"/>
  <c r="E12" i="19"/>
  <c r="AB170" i="19"/>
  <c r="AB186" i="19"/>
  <c r="AB202" i="19"/>
  <c r="AB218" i="19"/>
  <c r="S162" i="19"/>
  <c r="T162" i="19"/>
  <c r="U162" i="19"/>
  <c r="X162" i="19"/>
  <c r="Y162" i="19" s="1"/>
  <c r="S168" i="19"/>
  <c r="T168" i="19"/>
  <c r="U168" i="19"/>
  <c r="X168" i="19"/>
  <c r="Y168" i="19" s="1"/>
  <c r="S174" i="19"/>
  <c r="T174" i="19"/>
  <c r="U174" i="19"/>
  <c r="X174" i="19"/>
  <c r="Y174" i="19" s="1"/>
  <c r="S180" i="19"/>
  <c r="T180" i="19"/>
  <c r="U180" i="19"/>
  <c r="X180" i="19"/>
  <c r="Y180" i="19" s="1"/>
  <c r="S186" i="19"/>
  <c r="T186" i="19"/>
  <c r="U186" i="19"/>
  <c r="X186" i="19"/>
  <c r="Y186" i="19" s="1"/>
  <c r="S192" i="19"/>
  <c r="T192" i="19"/>
  <c r="U192" i="19"/>
  <c r="X192" i="19"/>
  <c r="Y192" i="19" s="1"/>
  <c r="S198" i="19"/>
  <c r="T198" i="19"/>
  <c r="U198" i="19"/>
  <c r="X198" i="19"/>
  <c r="Y198" i="19" s="1"/>
  <c r="S204" i="19"/>
  <c r="T204" i="19"/>
  <c r="U204" i="19"/>
  <c r="X204" i="19"/>
  <c r="Y204" i="19" s="1"/>
  <c r="S210" i="19"/>
  <c r="T210" i="19"/>
  <c r="U210" i="19"/>
  <c r="X210" i="19"/>
  <c r="Y210" i="19" s="1"/>
  <c r="S216" i="19"/>
  <c r="T216" i="19"/>
  <c r="U216" i="19"/>
  <c r="X216" i="19"/>
  <c r="Y216" i="19" s="1"/>
  <c r="X156" i="19"/>
  <c r="Y156" i="19" s="1"/>
  <c r="U156" i="19"/>
  <c r="T156" i="19"/>
  <c r="S156" i="19"/>
  <c r="S144" i="19"/>
  <c r="E207" i="19"/>
  <c r="H162" i="19"/>
  <c r="H173" i="19"/>
  <c r="H186" i="19"/>
  <c r="H198" i="19"/>
  <c r="H210" i="19"/>
  <c r="H150" i="19"/>
  <c r="G173" i="19"/>
  <c r="G186" i="19"/>
  <c r="G198" i="19"/>
  <c r="G210" i="19"/>
  <c r="G126" i="19"/>
  <c r="G138" i="19"/>
  <c r="G150" i="19"/>
  <c r="G162" i="19"/>
  <c r="G114" i="19"/>
  <c r="G102" i="19"/>
  <c r="D160" i="19"/>
  <c r="E160" i="19"/>
  <c r="D161" i="19"/>
  <c r="D163" i="19"/>
  <c r="E163" i="19"/>
  <c r="D164" i="19"/>
  <c r="E164" i="19"/>
  <c r="D165" i="19"/>
  <c r="E165" i="19"/>
  <c r="D166" i="19"/>
  <c r="E166" i="19"/>
  <c r="D167" i="19"/>
  <c r="D169" i="19"/>
  <c r="E169" i="19"/>
  <c r="D170" i="19"/>
  <c r="E170" i="19"/>
  <c r="D171" i="19"/>
  <c r="E171" i="19"/>
  <c r="D172" i="19"/>
  <c r="E172" i="19"/>
  <c r="D173" i="19"/>
  <c r="D175" i="19"/>
  <c r="E175" i="19"/>
  <c r="D176" i="19"/>
  <c r="E176" i="19"/>
  <c r="D177" i="19"/>
  <c r="E177" i="19"/>
  <c r="D178" i="19"/>
  <c r="E178" i="19"/>
  <c r="D179" i="19"/>
  <c r="D181" i="19"/>
  <c r="E181" i="19"/>
  <c r="D182" i="19"/>
  <c r="E182" i="19"/>
  <c r="D183" i="19"/>
  <c r="E183" i="19"/>
  <c r="D184" i="19"/>
  <c r="E184" i="19"/>
  <c r="D185" i="19"/>
  <c r="D187" i="19"/>
  <c r="E187" i="19"/>
  <c r="D188" i="19"/>
  <c r="E188" i="19"/>
  <c r="D189" i="19"/>
  <c r="E189" i="19"/>
  <c r="D190" i="19"/>
  <c r="E190" i="19"/>
  <c r="D191" i="19"/>
  <c r="D193" i="19"/>
  <c r="E193" i="19"/>
  <c r="D194" i="19"/>
  <c r="E194" i="19"/>
  <c r="D195" i="19"/>
  <c r="E195" i="19"/>
  <c r="D196" i="19"/>
  <c r="E196" i="19"/>
  <c r="D197" i="19"/>
  <c r="D199" i="19"/>
  <c r="E199" i="19"/>
  <c r="D200" i="19"/>
  <c r="E200" i="19"/>
  <c r="D201" i="19"/>
  <c r="E201" i="19"/>
  <c r="D202" i="19"/>
  <c r="E202" i="19"/>
  <c r="D203" i="19"/>
  <c r="D205" i="19"/>
  <c r="E205" i="19"/>
  <c r="D206" i="19"/>
  <c r="E206" i="19"/>
  <c r="D207" i="19"/>
  <c r="D208" i="19"/>
  <c r="E208" i="19"/>
  <c r="D209" i="19"/>
  <c r="D211" i="19"/>
  <c r="E211" i="19"/>
  <c r="D212" i="19"/>
  <c r="E212" i="19"/>
  <c r="D213" i="19"/>
  <c r="E213" i="19"/>
  <c r="D214" i="19"/>
  <c r="E214" i="19"/>
  <c r="D215" i="19"/>
  <c r="D217" i="19"/>
  <c r="E217" i="19"/>
  <c r="D218" i="19"/>
  <c r="E218" i="19"/>
  <c r="D219" i="19"/>
  <c r="E219" i="19"/>
  <c r="D220" i="19"/>
  <c r="E220" i="19"/>
  <c r="D159" i="19"/>
  <c r="E159" i="19"/>
  <c r="A214" i="19"/>
  <c r="A215" i="19"/>
  <c r="A216" i="19"/>
  <c r="A217" i="19"/>
  <c r="A218" i="19"/>
  <c r="A219" i="19"/>
  <c r="A220" i="19"/>
  <c r="A203" i="19"/>
  <c r="A204" i="19"/>
  <c r="A205" i="19"/>
  <c r="A206" i="19"/>
  <c r="A207" i="19"/>
  <c r="A208" i="19"/>
  <c r="A209" i="19"/>
  <c r="A210" i="19"/>
  <c r="A211" i="19"/>
  <c r="A212" i="19"/>
  <c r="A213" i="19"/>
  <c r="A159" i="19"/>
  <c r="A160" i="19"/>
  <c r="A161" i="19"/>
  <c r="A162" i="19"/>
  <c r="A163" i="19"/>
  <c r="A164" i="19"/>
  <c r="A165" i="19"/>
  <c r="A166" i="19"/>
  <c r="A167" i="19"/>
  <c r="A168" i="19"/>
  <c r="A169" i="19"/>
  <c r="A170" i="19"/>
  <c r="A171" i="19"/>
  <c r="A172" i="19"/>
  <c r="A173" i="19"/>
  <c r="A174" i="19"/>
  <c r="A175" i="19"/>
  <c r="A176" i="19"/>
  <c r="A177" i="19"/>
  <c r="A178" i="19"/>
  <c r="A179" i="19"/>
  <c r="A180" i="19"/>
  <c r="A181" i="19"/>
  <c r="A182" i="19"/>
  <c r="A183" i="19"/>
  <c r="A184" i="19"/>
  <c r="A185" i="19"/>
  <c r="A186" i="19"/>
  <c r="A187" i="19"/>
  <c r="A188" i="19"/>
  <c r="A189" i="19"/>
  <c r="A190" i="19"/>
  <c r="A191" i="19"/>
  <c r="A192" i="19"/>
  <c r="A193" i="19"/>
  <c r="A194" i="19"/>
  <c r="A195" i="19"/>
  <c r="A196" i="19"/>
  <c r="A197" i="19"/>
  <c r="A198" i="19"/>
  <c r="A199" i="19"/>
  <c r="A200" i="19"/>
  <c r="A201" i="19"/>
  <c r="A202" i="19"/>
  <c r="AA168" i="2"/>
  <c r="AB168" i="2"/>
  <c r="AA174" i="2"/>
  <c r="AA180" i="2"/>
  <c r="AA186" i="2"/>
  <c r="AA192" i="2"/>
  <c r="AA198" i="2"/>
  <c r="AA204" i="2"/>
  <c r="AA210" i="2"/>
  <c r="AA216" i="2"/>
  <c r="AA162" i="2"/>
  <c r="AA150" i="2"/>
  <c r="AA144" i="2"/>
  <c r="AA13" i="2"/>
  <c r="AD13" i="2"/>
  <c r="AD156" i="2"/>
  <c r="AD162" i="2"/>
  <c r="AD168" i="2"/>
  <c r="AD174" i="2"/>
  <c r="AD180" i="2"/>
  <c r="AD186" i="2"/>
  <c r="AD192" i="2"/>
  <c r="AD198" i="2"/>
  <c r="AD204" i="2"/>
  <c r="AD210" i="2"/>
  <c r="AD216" i="2"/>
  <c r="AD150" i="2"/>
  <c r="AC186" i="2"/>
  <c r="J9" i="2"/>
  <c r="E140" i="19"/>
  <c r="E151" i="19"/>
  <c r="E131" i="19"/>
  <c r="E103" i="19"/>
  <c r="E75" i="19"/>
  <c r="E48" i="19"/>
  <c r="E17" i="19"/>
  <c r="E118" i="19"/>
  <c r="E60" i="19"/>
  <c r="E32" i="19"/>
  <c r="E139" i="19"/>
  <c r="E59" i="19"/>
  <c r="E28" i="19"/>
  <c r="E9" i="19"/>
  <c r="E148" i="19"/>
  <c r="E127" i="19"/>
  <c r="E71" i="19"/>
  <c r="E15" i="19"/>
  <c r="E147" i="19"/>
  <c r="E135" i="19"/>
  <c r="E124" i="19"/>
  <c r="E112" i="19"/>
  <c r="E96" i="19"/>
  <c r="E82" i="19"/>
  <c r="E70" i="19"/>
  <c r="E54" i="19"/>
  <c r="E39" i="19"/>
  <c r="E27" i="19"/>
  <c r="E10" i="19"/>
  <c r="E143" i="19"/>
  <c r="E123" i="19"/>
  <c r="E107" i="19"/>
  <c r="E92" i="19"/>
  <c r="E80" i="19"/>
  <c r="E64" i="19"/>
  <c r="E50" i="19"/>
  <c r="E38" i="19"/>
  <c r="E21" i="19"/>
  <c r="E16" i="19"/>
  <c r="E20" i="19"/>
  <c r="E29" i="19"/>
  <c r="E33" i="19"/>
  <c r="E41" i="19"/>
  <c r="E45" i="19"/>
  <c r="E53" i="19"/>
  <c r="E57" i="19"/>
  <c r="E65" i="19"/>
  <c r="E69" i="19"/>
  <c r="E73" i="19"/>
  <c r="E77" i="19"/>
  <c r="E81" i="19"/>
  <c r="E89" i="19"/>
  <c r="E93" i="19"/>
  <c r="E101" i="19"/>
  <c r="E105" i="19"/>
  <c r="E109" i="19"/>
  <c r="E113" i="19"/>
  <c r="E117" i="19"/>
  <c r="E121" i="19"/>
  <c r="E23" i="19"/>
  <c r="E30" i="19"/>
  <c r="E35" i="19"/>
  <c r="E40" i="19"/>
  <c r="E46" i="19"/>
  <c r="E51" i="19"/>
  <c r="E56" i="19"/>
  <c r="E62" i="19"/>
  <c r="E72" i="19"/>
  <c r="E83" i="19"/>
  <c r="E88" i="19"/>
  <c r="E94" i="19"/>
  <c r="E99" i="19"/>
  <c r="E104" i="19"/>
  <c r="E110" i="19"/>
  <c r="E115" i="19"/>
  <c r="E125" i="19"/>
  <c r="E129" i="19"/>
  <c r="E133" i="19"/>
  <c r="E137" i="19"/>
  <c r="E141" i="19"/>
  <c r="E145" i="19"/>
  <c r="E149" i="19"/>
  <c r="E153" i="19"/>
  <c r="E157" i="19"/>
  <c r="E26" i="19"/>
  <c r="E14" i="19"/>
  <c r="E36" i="19"/>
  <c r="AD37" i="19" s="1"/>
  <c r="E47" i="19"/>
  <c r="E52" i="19"/>
  <c r="E58" i="19"/>
  <c r="E63" i="19"/>
  <c r="E68" i="19"/>
  <c r="E74" i="19"/>
  <c r="E95" i="19"/>
  <c r="E100" i="19"/>
  <c r="E106" i="19"/>
  <c r="AD17" i="20" s="1"/>
  <c r="E111" i="19"/>
  <c r="E116" i="19"/>
  <c r="E122" i="19"/>
  <c r="E130" i="19"/>
  <c r="F130" i="19" s="1"/>
  <c r="E134" i="19"/>
  <c r="E142" i="19"/>
  <c r="E146" i="19"/>
  <c r="E154" i="19"/>
  <c r="E158" i="19"/>
  <c r="E152" i="19"/>
  <c r="E136" i="19"/>
  <c r="E128" i="19"/>
  <c r="E119" i="19"/>
  <c r="E98" i="19"/>
  <c r="E76" i="19"/>
  <c r="E44" i="19"/>
  <c r="E34" i="19"/>
  <c r="E22" i="19"/>
  <c r="E11" i="19"/>
  <c r="AD3" i="20" s="1"/>
  <c r="J10" i="2"/>
  <c r="K9" i="2" s="1"/>
  <c r="F9" i="2"/>
  <c r="D218" i="2"/>
  <c r="D219" i="2"/>
  <c r="D220" i="2"/>
  <c r="F10" i="2"/>
  <c r="G10" i="2" s="1"/>
  <c r="F200" i="2"/>
  <c r="F201" i="2" s="1"/>
  <c r="F202" i="2" s="1"/>
  <c r="J204" i="2"/>
  <c r="J205" i="2" s="1"/>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Q160" i="1"/>
  <c r="AQ161" i="1"/>
  <c r="AQ162" i="1"/>
  <c r="AB162" i="19" s="1"/>
  <c r="AQ163" i="1"/>
  <c r="AQ164" i="1"/>
  <c r="AQ165" i="1"/>
  <c r="AQ166" i="1"/>
  <c r="AQ167" i="1"/>
  <c r="AC167" i="19" s="1"/>
  <c r="AQ168" i="1"/>
  <c r="AC168" i="19" s="1"/>
  <c r="AQ169" i="1"/>
  <c r="AQ170" i="1"/>
  <c r="AC170" i="19" s="1"/>
  <c r="AQ171" i="1"/>
  <c r="AQ172" i="1"/>
  <c r="AQ173" i="1"/>
  <c r="AQ174" i="1"/>
  <c r="AB174" i="2" s="1"/>
  <c r="AQ175" i="1"/>
  <c r="AC175" i="19" s="1"/>
  <c r="AQ176" i="1"/>
  <c r="AQ177" i="1"/>
  <c r="AQ178" i="1"/>
  <c r="AC178" i="19" s="1"/>
  <c r="AQ179" i="1"/>
  <c r="AQ180" i="1"/>
  <c r="AQ181" i="1"/>
  <c r="AQ182" i="1"/>
  <c r="AQ183" i="1"/>
  <c r="AC183" i="19" s="1"/>
  <c r="AQ184" i="1"/>
  <c r="AQ185" i="1"/>
  <c r="AQ186" i="1"/>
  <c r="AQ187" i="1"/>
  <c r="AQ188" i="1"/>
  <c r="AQ189" i="1"/>
  <c r="AQ190" i="1"/>
  <c r="AQ191" i="1"/>
  <c r="AC191" i="19" s="1"/>
  <c r="AQ192" i="1"/>
  <c r="AC192" i="19" s="1"/>
  <c r="AQ193" i="1"/>
  <c r="AQ194" i="1"/>
  <c r="AC194" i="19" s="1"/>
  <c r="AQ195" i="1"/>
  <c r="AQ196" i="1"/>
  <c r="AQ197" i="1"/>
  <c r="AQ198" i="1"/>
  <c r="AF198" i="19" s="1"/>
  <c r="AL30" i="20" s="1"/>
  <c r="AQ199" i="1"/>
  <c r="AC199" i="19" s="1"/>
  <c r="AQ200" i="1"/>
  <c r="AQ201" i="1"/>
  <c r="AQ202" i="1"/>
  <c r="AC202" i="19" s="1"/>
  <c r="AQ203" i="1"/>
  <c r="AQ204" i="1"/>
  <c r="AC204" i="2" s="1"/>
  <c r="AQ205" i="1"/>
  <c r="AQ206" i="1"/>
  <c r="AQ207" i="1"/>
  <c r="AC207" i="19" s="1"/>
  <c r="AQ208" i="1"/>
  <c r="AQ209" i="1"/>
  <c r="AQ210" i="1"/>
  <c r="AB210" i="19" s="1"/>
  <c r="AQ211" i="1"/>
  <c r="AQ212" i="1"/>
  <c r="AQ213" i="1"/>
  <c r="AQ214" i="1"/>
  <c r="AQ215" i="1"/>
  <c r="AC215" i="19" s="1"/>
  <c r="AQ216" i="1"/>
  <c r="AQ217" i="1"/>
  <c r="AQ218" i="1"/>
  <c r="AC218" i="19" s="1"/>
  <c r="AQ219" i="1"/>
  <c r="AQ220" i="1"/>
  <c r="AB220" i="19" s="1"/>
  <c r="AQ9" i="1"/>
  <c r="G178" i="2"/>
  <c r="P32" i="20"/>
  <c r="P31" i="20"/>
  <c r="P30" i="20"/>
  <c r="P29" i="20"/>
  <c r="P28" i="20"/>
  <c r="P27" i="20"/>
  <c r="P26" i="20"/>
  <c r="P25" i="20"/>
  <c r="P24" i="20"/>
  <c r="P23" i="20"/>
  <c r="P22" i="20"/>
  <c r="P21" i="20"/>
  <c r="P20" i="20"/>
  <c r="P19" i="20"/>
  <c r="P18" i="20"/>
  <c r="P17" i="20"/>
  <c r="P16" i="20"/>
  <c r="P15" i="20"/>
  <c r="P14" i="20"/>
  <c r="P13" i="20"/>
  <c r="P12" i="20"/>
  <c r="P11" i="20"/>
  <c r="P10" i="20"/>
  <c r="P9" i="20"/>
  <c r="P8" i="20"/>
  <c r="P7" i="20"/>
  <c r="P6" i="20"/>
  <c r="P5" i="20"/>
  <c r="P4" i="20"/>
  <c r="P3" i="20"/>
  <c r="Q32" i="20"/>
  <c r="Q31" i="20"/>
  <c r="Q30" i="20"/>
  <c r="Q29" i="20"/>
  <c r="Q28" i="20"/>
  <c r="Q27" i="20"/>
  <c r="Q26" i="20"/>
  <c r="Q25" i="20"/>
  <c r="Q24" i="20"/>
  <c r="Q23" i="20"/>
  <c r="Q22" i="20"/>
  <c r="Q21" i="20"/>
  <c r="Q20" i="20"/>
  <c r="AQ32" i="20"/>
  <c r="AQ31" i="20"/>
  <c r="AQ30" i="20"/>
  <c r="AQ29" i="20"/>
  <c r="AQ28" i="20"/>
  <c r="AQ27" i="20"/>
  <c r="AQ26" i="20"/>
  <c r="AQ25" i="20"/>
  <c r="AQ24" i="20"/>
  <c r="AQ23" i="20"/>
  <c r="AQ22" i="20"/>
  <c r="AQ21" i="20"/>
  <c r="AQ20" i="20"/>
  <c r="AS32" i="20"/>
  <c r="AS31" i="20"/>
  <c r="AS30" i="20"/>
  <c r="AS29" i="20"/>
  <c r="AS28" i="20"/>
  <c r="AS27" i="20"/>
  <c r="AS26" i="20"/>
  <c r="AS25" i="20"/>
  <c r="AS24" i="20"/>
  <c r="AS23" i="20"/>
  <c r="AS22" i="20"/>
  <c r="AS21" i="20"/>
  <c r="AS20" i="20"/>
  <c r="AR32" i="20"/>
  <c r="AR31" i="20"/>
  <c r="AR30" i="20"/>
  <c r="AR29" i="20"/>
  <c r="AR28" i="20"/>
  <c r="AR27" i="20"/>
  <c r="AR26" i="20"/>
  <c r="AR25" i="20"/>
  <c r="AR24" i="20"/>
  <c r="AR23" i="20"/>
  <c r="AR22" i="20"/>
  <c r="AR21" i="20"/>
  <c r="AR20" i="20"/>
  <c r="AS18" i="20"/>
  <c r="AR18" i="20"/>
  <c r="S32" i="20"/>
  <c r="S31" i="20"/>
  <c r="S30" i="20"/>
  <c r="S29" i="20"/>
  <c r="S28" i="20"/>
  <c r="S27" i="20"/>
  <c r="S26" i="20"/>
  <c r="S25" i="20"/>
  <c r="S24" i="20"/>
  <c r="S23" i="20"/>
  <c r="S22" i="20"/>
  <c r="S21" i="20"/>
  <c r="S20" i="20"/>
  <c r="R32" i="20"/>
  <c r="R31" i="20"/>
  <c r="R30" i="20"/>
  <c r="R29" i="20"/>
  <c r="R28" i="20"/>
  <c r="R27" i="20"/>
  <c r="R26" i="20"/>
  <c r="R25" i="20"/>
  <c r="R24" i="20"/>
  <c r="R23" i="20"/>
  <c r="R22" i="20"/>
  <c r="R21" i="20"/>
  <c r="R20" i="20"/>
  <c r="S18" i="20"/>
  <c r="R18" i="20"/>
  <c r="P206" i="17"/>
  <c r="AS19" i="20"/>
  <c r="AS17" i="20"/>
  <c r="AS16" i="20"/>
  <c r="AS15" i="20"/>
  <c r="AS14" i="20"/>
  <c r="AS13" i="20"/>
  <c r="AS12" i="20"/>
  <c r="AS11" i="20"/>
  <c r="AS10" i="20"/>
  <c r="AS9" i="20"/>
  <c r="AS8" i="20"/>
  <c r="AS7" i="20"/>
  <c r="AS6" i="20"/>
  <c r="AS5" i="20"/>
  <c r="AS4" i="20"/>
  <c r="AS3" i="20"/>
  <c r="AR19" i="20"/>
  <c r="AR17" i="20"/>
  <c r="AR16" i="20"/>
  <c r="AR15" i="20"/>
  <c r="AR14" i="20"/>
  <c r="AR13" i="20"/>
  <c r="AR12" i="20"/>
  <c r="AR11" i="20"/>
  <c r="AR10" i="20"/>
  <c r="AR9" i="20"/>
  <c r="AR8" i="20"/>
  <c r="AR7" i="20"/>
  <c r="AR6" i="20"/>
  <c r="AR5" i="20"/>
  <c r="AR4" i="20"/>
  <c r="AR3" i="20"/>
  <c r="AQ19" i="20"/>
  <c r="AQ18" i="20"/>
  <c r="AQ17" i="20"/>
  <c r="AQ16" i="20"/>
  <c r="AQ15" i="20"/>
  <c r="AQ14" i="20"/>
  <c r="AQ13" i="20"/>
  <c r="AQ12" i="20"/>
  <c r="AQ11" i="20"/>
  <c r="AQ10" i="20"/>
  <c r="AQ9" i="20"/>
  <c r="AQ8" i="20"/>
  <c r="AQ7" i="20"/>
  <c r="AQ6" i="20"/>
  <c r="AQ5" i="20"/>
  <c r="AQ4" i="20"/>
  <c r="AQ3" i="20"/>
  <c r="AP32" i="20"/>
  <c r="AP31" i="20"/>
  <c r="AP30" i="20"/>
  <c r="AP29" i="20"/>
  <c r="AP28" i="20"/>
  <c r="AP27" i="20"/>
  <c r="AP26" i="20"/>
  <c r="AP25" i="20"/>
  <c r="AP24" i="20"/>
  <c r="AP23" i="20"/>
  <c r="AP22" i="20"/>
  <c r="AP21" i="20"/>
  <c r="AP20" i="20"/>
  <c r="AP19" i="20"/>
  <c r="AP18" i="20"/>
  <c r="AP17" i="20"/>
  <c r="AP16" i="20"/>
  <c r="AP15" i="20"/>
  <c r="AP14" i="20"/>
  <c r="AP13" i="20"/>
  <c r="AP12" i="20"/>
  <c r="AP11" i="20"/>
  <c r="AP10" i="20"/>
  <c r="AP9" i="20"/>
  <c r="AP8" i="20"/>
  <c r="AP7" i="20"/>
  <c r="AP6" i="20"/>
  <c r="AP5" i="20"/>
  <c r="AP4" i="20"/>
  <c r="AP3" i="20"/>
  <c r="AO31" i="20"/>
  <c r="AO24" i="20"/>
  <c r="AO22" i="20"/>
  <c r="AO21" i="20"/>
  <c r="AO19" i="20"/>
  <c r="AO17" i="20"/>
  <c r="AO16" i="20"/>
  <c r="AO15" i="20"/>
  <c r="AO12" i="20"/>
  <c r="AO7" i="20"/>
  <c r="AO6" i="20"/>
  <c r="AO5" i="20"/>
  <c r="AO4" i="20"/>
  <c r="AO3" i="20"/>
  <c r="AN32" i="20"/>
  <c r="AN31" i="20"/>
  <c r="AN30" i="20"/>
  <c r="AN29" i="20"/>
  <c r="AN28" i="20"/>
  <c r="AN27" i="20"/>
  <c r="AN26" i="20"/>
  <c r="AN25" i="20"/>
  <c r="AN24" i="20"/>
  <c r="AN23" i="20"/>
  <c r="AN22" i="20"/>
  <c r="AN21" i="20"/>
  <c r="AN20" i="20"/>
  <c r="AN19" i="20"/>
  <c r="AN18" i="20"/>
  <c r="AN17" i="20"/>
  <c r="AN16" i="20"/>
  <c r="AN15" i="20"/>
  <c r="AN14" i="20"/>
  <c r="AN13" i="20"/>
  <c r="AN12" i="20"/>
  <c r="AN11" i="20"/>
  <c r="AN10" i="20"/>
  <c r="AN9" i="20"/>
  <c r="AN8" i="20"/>
  <c r="AN7" i="20"/>
  <c r="AN6" i="20"/>
  <c r="AN5" i="20"/>
  <c r="AN4" i="20"/>
  <c r="AN3" i="20"/>
  <c r="AL12" i="20"/>
  <c r="AG32" i="20"/>
  <c r="AG31" i="20"/>
  <c r="AG30" i="20"/>
  <c r="AG29" i="20"/>
  <c r="AG28" i="20"/>
  <c r="AG27" i="20"/>
  <c r="AG26" i="20"/>
  <c r="AG25" i="20"/>
  <c r="AG24" i="20"/>
  <c r="AG23" i="20"/>
  <c r="AG22" i="20"/>
  <c r="AG21" i="20"/>
  <c r="AG20" i="20"/>
  <c r="AG19" i="20"/>
  <c r="AG18" i="20"/>
  <c r="AG17" i="20"/>
  <c r="AG16" i="20"/>
  <c r="AG15" i="20"/>
  <c r="AG14" i="20"/>
  <c r="AG13" i="20"/>
  <c r="AG12" i="20"/>
  <c r="AG11" i="20"/>
  <c r="AG10" i="20"/>
  <c r="AG9" i="20"/>
  <c r="AG8" i="20"/>
  <c r="AG7" i="20"/>
  <c r="AG6" i="20"/>
  <c r="AG5" i="20"/>
  <c r="AG4" i="20"/>
  <c r="AG3" i="20"/>
  <c r="AE32" i="20"/>
  <c r="AE29" i="20"/>
  <c r="AE27" i="20"/>
  <c r="AE24" i="20"/>
  <c r="AE22" i="20"/>
  <c r="AE20" i="20"/>
  <c r="AE17" i="20"/>
  <c r="AE13" i="20"/>
  <c r="AE11" i="20"/>
  <c r="AE9" i="20"/>
  <c r="AE7" i="20"/>
  <c r="AE6" i="20"/>
  <c r="AE4"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C7" i="20"/>
  <c r="C6" i="20"/>
  <c r="C5" i="20"/>
  <c r="C4" i="20"/>
  <c r="C3" i="20"/>
  <c r="AA32" i="20"/>
  <c r="AA31" i="20"/>
  <c r="AA30" i="20"/>
  <c r="AB30" i="20" s="1"/>
  <c r="AA29" i="20"/>
  <c r="AB29" i="20" s="1"/>
  <c r="AA28" i="20"/>
  <c r="AA27" i="20"/>
  <c r="AA26" i="20"/>
  <c r="AB26" i="20" s="1"/>
  <c r="AA25" i="20"/>
  <c r="AB25" i="20" s="1"/>
  <c r="AA24" i="20"/>
  <c r="AA23" i="20"/>
  <c r="AB23" i="20" s="1"/>
  <c r="AA22" i="20"/>
  <c r="AB22" i="20" s="1"/>
  <c r="AA21" i="20"/>
  <c r="AB21" i="20" s="1"/>
  <c r="AA20" i="20"/>
  <c r="AA19" i="20"/>
  <c r="AA18" i="20"/>
  <c r="AB18" i="20" s="1"/>
  <c r="AA17" i="20"/>
  <c r="AB17" i="20" s="1"/>
  <c r="AA16" i="20"/>
  <c r="AA15" i="20"/>
  <c r="AA14" i="20"/>
  <c r="AB14" i="20" s="1"/>
  <c r="AA13" i="20"/>
  <c r="AB13" i="20" s="1"/>
  <c r="AA12" i="20"/>
  <c r="AA11" i="20"/>
  <c r="AA10" i="20"/>
  <c r="AB10" i="20" s="1"/>
  <c r="AA9" i="20"/>
  <c r="AB9" i="20" s="1"/>
  <c r="AA8" i="20"/>
  <c r="AB8" i="20" s="1"/>
  <c r="AA7" i="20"/>
  <c r="L24" i="20"/>
  <c r="L12" i="20"/>
  <c r="S19" i="20"/>
  <c r="S17" i="20"/>
  <c r="S16" i="20"/>
  <c r="S15" i="20"/>
  <c r="S14" i="20"/>
  <c r="S13" i="20"/>
  <c r="S12" i="20"/>
  <c r="S11" i="20"/>
  <c r="S10" i="20"/>
  <c r="S9" i="20"/>
  <c r="S8" i="20"/>
  <c r="S7" i="20"/>
  <c r="S6" i="20"/>
  <c r="S5" i="20"/>
  <c r="S4" i="20"/>
  <c r="S3" i="20"/>
  <c r="R19" i="20"/>
  <c r="R17" i="20"/>
  <c r="R16" i="20"/>
  <c r="R15" i="20"/>
  <c r="R14" i="20"/>
  <c r="R13" i="20"/>
  <c r="R12" i="20"/>
  <c r="R11" i="20"/>
  <c r="R10" i="20"/>
  <c r="R9" i="20"/>
  <c r="R8" i="20"/>
  <c r="R7" i="20"/>
  <c r="R6" i="20"/>
  <c r="R5" i="20"/>
  <c r="R4" i="20"/>
  <c r="R3" i="20"/>
  <c r="Q19" i="20"/>
  <c r="Q18" i="20"/>
  <c r="Q17" i="20"/>
  <c r="Q16" i="20"/>
  <c r="Q15" i="20"/>
  <c r="Q14" i="20"/>
  <c r="Q13" i="20"/>
  <c r="Q12" i="20"/>
  <c r="Q11" i="20"/>
  <c r="Q10" i="20"/>
  <c r="Q9" i="20"/>
  <c r="Q8" i="20"/>
  <c r="Q7" i="20"/>
  <c r="Q6" i="20"/>
  <c r="Q5" i="20"/>
  <c r="Q4" i="20"/>
  <c r="Q3" i="20"/>
  <c r="O32" i="20"/>
  <c r="O31" i="20"/>
  <c r="O30" i="20"/>
  <c r="O29" i="20"/>
  <c r="O28" i="20"/>
  <c r="O27" i="20"/>
  <c r="O22" i="20"/>
  <c r="O19" i="20"/>
  <c r="O18" i="20"/>
  <c r="O17" i="20"/>
  <c r="O16" i="20"/>
  <c r="O15" i="20"/>
  <c r="O12" i="20"/>
  <c r="O7" i="20"/>
  <c r="O6" i="20"/>
  <c r="O5" i="20"/>
  <c r="O4" i="20"/>
  <c r="O3" i="20"/>
  <c r="N32" i="20"/>
  <c r="N31" i="20"/>
  <c r="N30" i="20"/>
  <c r="N29" i="20"/>
  <c r="N28" i="20"/>
  <c r="N27" i="20"/>
  <c r="N26" i="20"/>
  <c r="N25" i="20"/>
  <c r="N24" i="20"/>
  <c r="N23" i="20"/>
  <c r="N22" i="20"/>
  <c r="N21" i="20"/>
  <c r="N20" i="20"/>
  <c r="N19" i="20"/>
  <c r="N18" i="20"/>
  <c r="N17" i="20"/>
  <c r="N16" i="20"/>
  <c r="N15" i="20"/>
  <c r="N14" i="20"/>
  <c r="N13" i="20"/>
  <c r="N12" i="20"/>
  <c r="N11" i="20"/>
  <c r="N10" i="20"/>
  <c r="N9" i="20"/>
  <c r="N8" i="20"/>
  <c r="N7" i="20"/>
  <c r="N6" i="20"/>
  <c r="N5" i="20"/>
  <c r="N4" i="20"/>
  <c r="N3" i="20"/>
  <c r="J12" i="20"/>
  <c r="I12" i="20"/>
  <c r="G32" i="20"/>
  <c r="G31" i="20"/>
  <c r="G30" i="20"/>
  <c r="G29" i="20"/>
  <c r="G28" i="20"/>
  <c r="G27" i="20"/>
  <c r="G26" i="20"/>
  <c r="G25" i="20"/>
  <c r="G24" i="20"/>
  <c r="G23" i="20"/>
  <c r="G22" i="20"/>
  <c r="G21" i="20"/>
  <c r="G20" i="20"/>
  <c r="G19" i="20"/>
  <c r="G18" i="20"/>
  <c r="G17" i="20"/>
  <c r="G16" i="20"/>
  <c r="G15" i="20"/>
  <c r="G14" i="20"/>
  <c r="G13" i="20"/>
  <c r="G12" i="20"/>
  <c r="G11" i="20"/>
  <c r="G10" i="20"/>
  <c r="G9" i="20"/>
  <c r="G8" i="20"/>
  <c r="G7" i="20"/>
  <c r="G6" i="20"/>
  <c r="G5" i="20"/>
  <c r="G4" i="20"/>
  <c r="G3" i="20"/>
  <c r="AC32" i="20"/>
  <c r="AC31" i="20"/>
  <c r="AC30" i="20"/>
  <c r="AC29" i="20"/>
  <c r="AC28" i="20"/>
  <c r="AC27" i="20"/>
  <c r="AC26" i="20"/>
  <c r="AC25" i="20"/>
  <c r="AC24" i="20"/>
  <c r="AC23" i="20"/>
  <c r="AC22" i="20"/>
  <c r="AC21" i="20"/>
  <c r="AC20" i="20"/>
  <c r="AC19" i="20"/>
  <c r="AC18" i="20"/>
  <c r="AC17" i="20"/>
  <c r="AC16" i="20"/>
  <c r="AC15" i="20"/>
  <c r="AC14" i="20"/>
  <c r="AC13" i="20"/>
  <c r="AC12" i="20"/>
  <c r="AC11" i="20"/>
  <c r="AC10" i="20"/>
  <c r="AC9" i="20"/>
  <c r="AC8" i="20"/>
  <c r="AC7" i="20"/>
  <c r="AC6" i="20"/>
  <c r="AC5" i="20"/>
  <c r="AC4" i="20"/>
  <c r="AC3" i="20"/>
  <c r="S19" i="19"/>
  <c r="T19" i="19"/>
  <c r="U19" i="19"/>
  <c r="X19" i="19"/>
  <c r="Y19" i="19" s="1"/>
  <c r="S25" i="19"/>
  <c r="T25" i="19"/>
  <c r="U25" i="19"/>
  <c r="X25" i="19"/>
  <c r="Y25" i="19" s="1"/>
  <c r="S31" i="19"/>
  <c r="T31" i="19"/>
  <c r="U31" i="19"/>
  <c r="X31" i="19"/>
  <c r="Y31" i="19" s="1"/>
  <c r="S37" i="19"/>
  <c r="T37" i="19"/>
  <c r="U37" i="19"/>
  <c r="X37" i="19"/>
  <c r="Y37" i="19" s="1"/>
  <c r="S43" i="19"/>
  <c r="T43" i="19"/>
  <c r="U43" i="19"/>
  <c r="X43" i="19"/>
  <c r="Y43" i="19" s="1"/>
  <c r="S49" i="19"/>
  <c r="T49" i="19"/>
  <c r="U49" i="19"/>
  <c r="X49" i="19"/>
  <c r="Y49" i="19" s="1"/>
  <c r="S55" i="19"/>
  <c r="T55" i="19"/>
  <c r="U55" i="19"/>
  <c r="X55" i="19"/>
  <c r="Y55" i="19" s="1"/>
  <c r="S61" i="19"/>
  <c r="T61" i="19"/>
  <c r="U61" i="19"/>
  <c r="X61" i="19"/>
  <c r="S67" i="19"/>
  <c r="T67" i="19"/>
  <c r="U67" i="19"/>
  <c r="X67" i="19"/>
  <c r="Y67" i="19" s="1"/>
  <c r="S79" i="19"/>
  <c r="T79" i="19"/>
  <c r="U79" i="19"/>
  <c r="X79" i="19"/>
  <c r="Y79" i="19" s="1"/>
  <c r="S85" i="19"/>
  <c r="T85" i="19"/>
  <c r="U85" i="19"/>
  <c r="X85" i="19"/>
  <c r="Y85" i="19" s="1"/>
  <c r="S87" i="19"/>
  <c r="T87" i="19"/>
  <c r="U87" i="19"/>
  <c r="X87" i="19"/>
  <c r="Y87" i="19" s="1"/>
  <c r="S91" i="19"/>
  <c r="T91" i="19"/>
  <c r="U91" i="19"/>
  <c r="X91" i="19"/>
  <c r="Y91" i="19" s="1"/>
  <c r="S97" i="19"/>
  <c r="T97" i="19"/>
  <c r="U97" i="19"/>
  <c r="X97" i="19"/>
  <c r="S102" i="19"/>
  <c r="T102" i="19"/>
  <c r="U102" i="19"/>
  <c r="X102" i="19"/>
  <c r="Y102" i="19" s="1"/>
  <c r="S108" i="19"/>
  <c r="T108" i="19"/>
  <c r="U108" i="19"/>
  <c r="X108" i="19"/>
  <c r="Y108" i="19" s="1"/>
  <c r="Z108" i="19" s="1"/>
  <c r="S114" i="19"/>
  <c r="T114" i="19"/>
  <c r="U114" i="19"/>
  <c r="X114" i="19"/>
  <c r="Y114" i="19" s="1"/>
  <c r="S120" i="19"/>
  <c r="T120" i="19"/>
  <c r="U120" i="19"/>
  <c r="X120" i="19"/>
  <c r="Y120" i="19" s="1"/>
  <c r="S126" i="19"/>
  <c r="T126" i="19"/>
  <c r="U126" i="19"/>
  <c r="X126" i="19"/>
  <c r="Y126" i="19" s="1"/>
  <c r="S132" i="19"/>
  <c r="T132" i="19"/>
  <c r="U132" i="19"/>
  <c r="X132" i="19"/>
  <c r="Y132" i="19" s="1"/>
  <c r="S138" i="19"/>
  <c r="T138" i="19"/>
  <c r="U138" i="19"/>
  <c r="X138" i="19"/>
  <c r="Y138" i="19" s="1"/>
  <c r="T144" i="19"/>
  <c r="U144" i="19"/>
  <c r="X144" i="19"/>
  <c r="Y144" i="19" s="1"/>
  <c r="Z144" i="19" s="1"/>
  <c r="S150" i="19"/>
  <c r="T150" i="19"/>
  <c r="U150" i="19"/>
  <c r="X150" i="19"/>
  <c r="Y150" i="19" s="1"/>
  <c r="Z150" i="19" s="1"/>
  <c r="X13" i="19"/>
  <c r="Y13" i="19" s="1"/>
  <c r="U13" i="19"/>
  <c r="T13" i="19"/>
  <c r="S13" i="19"/>
  <c r="H12" i="19"/>
  <c r="H25" i="19"/>
  <c r="H47" i="19"/>
  <c r="H61" i="19"/>
  <c r="H73" i="19"/>
  <c r="H85" i="19"/>
  <c r="H97" i="19"/>
  <c r="H102" i="19"/>
  <c r="H114" i="19"/>
  <c r="H126" i="19"/>
  <c r="H138" i="19"/>
  <c r="G12" i="19"/>
  <c r="G25" i="19"/>
  <c r="G47" i="19"/>
  <c r="G61" i="19"/>
  <c r="G73" i="19"/>
  <c r="G85" i="19"/>
  <c r="G97" i="19"/>
  <c r="D10" i="19"/>
  <c r="F10" i="19" s="1"/>
  <c r="D11" i="19"/>
  <c r="D14" i="19"/>
  <c r="F14" i="19" s="1"/>
  <c r="D15" i="19"/>
  <c r="F15" i="19" s="1"/>
  <c r="D16" i="19"/>
  <c r="D17" i="19"/>
  <c r="D20" i="19"/>
  <c r="D21" i="19"/>
  <c r="F21" i="19" s="1"/>
  <c r="D22" i="19"/>
  <c r="D23" i="19"/>
  <c r="D26" i="19"/>
  <c r="D27" i="19"/>
  <c r="D28" i="19"/>
  <c r="F28" i="19" s="1"/>
  <c r="D29" i="19"/>
  <c r="F29" i="19" s="1"/>
  <c r="D30" i="19"/>
  <c r="F30" i="19" s="1"/>
  <c r="D32" i="19"/>
  <c r="F32" i="19" s="1"/>
  <c r="D33" i="19"/>
  <c r="D34" i="19"/>
  <c r="F34" i="19" s="1"/>
  <c r="D35" i="19"/>
  <c r="F35" i="19" s="1"/>
  <c r="D36" i="19"/>
  <c r="D38" i="19"/>
  <c r="F38" i="19" s="1"/>
  <c r="D39" i="19"/>
  <c r="D40" i="19"/>
  <c r="D41" i="19"/>
  <c r="D44" i="19"/>
  <c r="D45" i="19"/>
  <c r="D46" i="19"/>
  <c r="D47" i="19"/>
  <c r="D48" i="19"/>
  <c r="F48" i="19" s="1"/>
  <c r="D50" i="19"/>
  <c r="D51" i="19"/>
  <c r="F51" i="19" s="1"/>
  <c r="D52" i="19"/>
  <c r="F52" i="19" s="1"/>
  <c r="D53" i="19"/>
  <c r="F53" i="19" s="1"/>
  <c r="D54" i="19"/>
  <c r="D56" i="19"/>
  <c r="F56" i="19" s="1"/>
  <c r="D57" i="19"/>
  <c r="F57" i="19" s="1"/>
  <c r="D58" i="19"/>
  <c r="F58" i="19" s="1"/>
  <c r="D59" i="19"/>
  <c r="D60" i="19"/>
  <c r="F60" i="19" s="1"/>
  <c r="D62" i="19"/>
  <c r="D63" i="19"/>
  <c r="D64" i="19"/>
  <c r="D65" i="19"/>
  <c r="D68" i="19"/>
  <c r="D69" i="19"/>
  <c r="D70" i="19"/>
  <c r="F70" i="19" s="1"/>
  <c r="D71" i="19"/>
  <c r="F71" i="19" s="1"/>
  <c r="D72" i="19"/>
  <c r="D73" i="19"/>
  <c r="D74" i="19"/>
  <c r="F74" i="19" s="1"/>
  <c r="D75" i="19"/>
  <c r="F75" i="19" s="1"/>
  <c r="D76" i="19"/>
  <c r="D77" i="19"/>
  <c r="F77" i="19" s="1"/>
  <c r="D80" i="19"/>
  <c r="F80" i="19" s="1"/>
  <c r="D81" i="19"/>
  <c r="D82" i="19"/>
  <c r="D83" i="19"/>
  <c r="F83" i="19" s="1"/>
  <c r="D88" i="19"/>
  <c r="F88" i="19" s="1"/>
  <c r="D89" i="19"/>
  <c r="D92" i="19"/>
  <c r="F92" i="19" s="1"/>
  <c r="D93" i="19"/>
  <c r="F93" i="19" s="1"/>
  <c r="D94" i="19"/>
  <c r="D95" i="19"/>
  <c r="F95" i="19" s="1"/>
  <c r="D96" i="19"/>
  <c r="F96" i="19" s="1"/>
  <c r="D98" i="19"/>
  <c r="D99" i="19"/>
  <c r="D100" i="19"/>
  <c r="D101" i="19"/>
  <c r="F101" i="19" s="1"/>
  <c r="D103" i="19"/>
  <c r="D104" i="19"/>
  <c r="F104" i="19" s="1"/>
  <c r="D105" i="19"/>
  <c r="D106" i="19"/>
  <c r="D107" i="19"/>
  <c r="D109" i="19"/>
  <c r="D110" i="19"/>
  <c r="F110" i="19" s="1"/>
  <c r="D111" i="19"/>
  <c r="D112" i="19"/>
  <c r="F112" i="19" s="1"/>
  <c r="D113" i="19"/>
  <c r="F113" i="19" s="1"/>
  <c r="D115" i="19"/>
  <c r="D116" i="19"/>
  <c r="F116" i="19" s="1"/>
  <c r="D117" i="19"/>
  <c r="D118" i="19"/>
  <c r="D119" i="19"/>
  <c r="F119" i="19" s="1"/>
  <c r="D121" i="19"/>
  <c r="D122" i="19"/>
  <c r="D123" i="19"/>
  <c r="D124" i="19"/>
  <c r="F124" i="19" s="1"/>
  <c r="D125" i="19"/>
  <c r="D127" i="19"/>
  <c r="D128" i="19"/>
  <c r="D129" i="19"/>
  <c r="F129" i="19" s="1"/>
  <c r="D130" i="19"/>
  <c r="D131" i="19"/>
  <c r="D133" i="19"/>
  <c r="F133" i="19" s="1"/>
  <c r="D134" i="19"/>
  <c r="F134" i="19" s="1"/>
  <c r="D135" i="19"/>
  <c r="D136" i="19"/>
  <c r="D137" i="19"/>
  <c r="D139" i="19"/>
  <c r="D140" i="19"/>
  <c r="F140" i="19" s="1"/>
  <c r="D141" i="19"/>
  <c r="D142" i="19"/>
  <c r="F142" i="19" s="1"/>
  <c r="D143" i="19"/>
  <c r="F143" i="19" s="1"/>
  <c r="D145" i="19"/>
  <c r="F145" i="19" s="1"/>
  <c r="D146" i="19"/>
  <c r="D147" i="19"/>
  <c r="D148" i="19"/>
  <c r="D149" i="19"/>
  <c r="F149" i="19" s="1"/>
  <c r="D151" i="19"/>
  <c r="F151" i="19" s="1"/>
  <c r="D152" i="19"/>
  <c r="F152" i="19" s="1"/>
  <c r="D153" i="19"/>
  <c r="D154" i="19"/>
  <c r="D155" i="19"/>
  <c r="F155" i="19" s="1"/>
  <c r="D157" i="19"/>
  <c r="D158" i="19"/>
  <c r="F158" i="19" s="1"/>
  <c r="D9" i="19"/>
  <c r="F9" i="19" s="1"/>
  <c r="A158" i="19"/>
  <c r="A157" i="19"/>
  <c r="A156" i="19"/>
  <c r="A155" i="19"/>
  <c r="A154" i="19"/>
  <c r="A153" i="19"/>
  <c r="A152" i="19"/>
  <c r="A151" i="19"/>
  <c r="A150" i="19"/>
  <c r="A149" i="19"/>
  <c r="A148" i="19"/>
  <c r="A147" i="19"/>
  <c r="A146" i="19"/>
  <c r="A145" i="19"/>
  <c r="A144" i="19"/>
  <c r="A143" i="19"/>
  <c r="A142" i="19"/>
  <c r="A141" i="19"/>
  <c r="A140" i="19"/>
  <c r="A139" i="19"/>
  <c r="A138" i="19"/>
  <c r="A137" i="19"/>
  <c r="A136" i="19"/>
  <c r="A135" i="19"/>
  <c r="A134" i="19"/>
  <c r="A133" i="19"/>
  <c r="A132" i="19"/>
  <c r="A131" i="19"/>
  <c r="A130" i="19"/>
  <c r="A129" i="19"/>
  <c r="A128" i="19"/>
  <c r="A127" i="19"/>
  <c r="A126" i="19"/>
  <c r="A125" i="19"/>
  <c r="A124" i="19"/>
  <c r="A123" i="19"/>
  <c r="A122" i="19"/>
  <c r="A121" i="19"/>
  <c r="A120" i="19"/>
  <c r="A119" i="19"/>
  <c r="A118" i="19"/>
  <c r="A117" i="19"/>
  <c r="A116" i="19"/>
  <c r="A115" i="19"/>
  <c r="A114" i="19"/>
  <c r="A113" i="19"/>
  <c r="A112" i="19"/>
  <c r="A111" i="19"/>
  <c r="A110" i="19"/>
  <c r="A109" i="19"/>
  <c r="A108" i="19"/>
  <c r="A107" i="19"/>
  <c r="A106" i="19"/>
  <c r="A105" i="19"/>
  <c r="A104" i="19"/>
  <c r="A103" i="19"/>
  <c r="A102" i="19"/>
  <c r="A101" i="19"/>
  <c r="A100" i="19"/>
  <c r="A99" i="19"/>
  <c r="A98" i="19"/>
  <c r="A97" i="19"/>
  <c r="A96" i="19"/>
  <c r="A95" i="19"/>
  <c r="A94" i="19"/>
  <c r="A93" i="19"/>
  <c r="A92" i="19"/>
  <c r="A91" i="19"/>
  <c r="A90" i="19"/>
  <c r="A89" i="19"/>
  <c r="A88" i="19"/>
  <c r="A87" i="19"/>
  <c r="A86" i="19"/>
  <c r="A85" i="19"/>
  <c r="A84" i="19"/>
  <c r="A83" i="19"/>
  <c r="A82" i="19"/>
  <c r="A81" i="19"/>
  <c r="A79" i="19"/>
  <c r="A78" i="19"/>
  <c r="A77" i="19"/>
  <c r="A76" i="19"/>
  <c r="A75" i="19"/>
  <c r="A74" i="19"/>
  <c r="A73" i="19"/>
  <c r="A72" i="19"/>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Y97" i="19"/>
  <c r="Y61" i="19"/>
  <c r="H4" i="19"/>
  <c r="D4" i="19"/>
  <c r="J2" i="19"/>
  <c r="F111" i="19"/>
  <c r="F73" i="19"/>
  <c r="P213" i="17"/>
  <c r="AO32" i="20"/>
  <c r="P199" i="17"/>
  <c r="AO30" i="20"/>
  <c r="P191" i="17"/>
  <c r="AO29" i="20"/>
  <c r="P185" i="17"/>
  <c r="AO28" i="20"/>
  <c r="P52" i="17"/>
  <c r="AO9" i="20"/>
  <c r="P60" i="17"/>
  <c r="AO10" i="20"/>
  <c r="P66" i="17"/>
  <c r="AO11" i="20"/>
  <c r="P80" i="17"/>
  <c r="AO13" i="20"/>
  <c r="P87" i="17"/>
  <c r="AO14" i="20"/>
  <c r="P115" i="17"/>
  <c r="AO18" i="20"/>
  <c r="P129" i="17"/>
  <c r="AO20" i="20"/>
  <c r="P150" i="17"/>
  <c r="AO23" i="20"/>
  <c r="P163" i="17"/>
  <c r="AO25" i="20"/>
  <c r="P171" i="17"/>
  <c r="AO26" i="20"/>
  <c r="AO27" i="20"/>
  <c r="P45" i="17"/>
  <c r="AO8" i="20" s="1"/>
  <c r="F87" i="17"/>
  <c r="O14" i="20" s="1"/>
  <c r="F59" i="17"/>
  <c r="O10" i="20" s="1"/>
  <c r="F52" i="17"/>
  <c r="O9" i="20" s="1"/>
  <c r="F66" i="17"/>
  <c r="O11" i="20" s="1"/>
  <c r="F80" i="17"/>
  <c r="O13" i="20" s="1"/>
  <c r="F129" i="17"/>
  <c r="O20" i="20" s="1"/>
  <c r="F136" i="17"/>
  <c r="O21" i="20" s="1"/>
  <c r="F150" i="17"/>
  <c r="O23" i="20" s="1"/>
  <c r="F157" i="17"/>
  <c r="O24" i="20" s="1"/>
  <c r="F163" i="17"/>
  <c r="O25" i="20" s="1"/>
  <c r="O26" i="20"/>
  <c r="F45" i="17"/>
  <c r="O8" i="20"/>
  <c r="AA19" i="2"/>
  <c r="AA25" i="2"/>
  <c r="AA31" i="2"/>
  <c r="AA37" i="2"/>
  <c r="AA43" i="2"/>
  <c r="AA49" i="2"/>
  <c r="AA55" i="2"/>
  <c r="AA61" i="2"/>
  <c r="AA67" i="2"/>
  <c r="AA79" i="2"/>
  <c r="AA85" i="2"/>
  <c r="AA87" i="2"/>
  <c r="AA91" i="2"/>
  <c r="AA97" i="2"/>
  <c r="AA102" i="2"/>
  <c r="AA108" i="2"/>
  <c r="AA114" i="2"/>
  <c r="AA120" i="2"/>
  <c r="AA126" i="2"/>
  <c r="AA132" i="2"/>
  <c r="AA138" i="2"/>
  <c r="AD19" i="2"/>
  <c r="AD25" i="2"/>
  <c r="AD31" i="2"/>
  <c r="AD37" i="2"/>
  <c r="AD43" i="2"/>
  <c r="AD49" i="2"/>
  <c r="AD55" i="2"/>
  <c r="AD61" i="2"/>
  <c r="AD67" i="2"/>
  <c r="AD79" i="2"/>
  <c r="AD85" i="2"/>
  <c r="AD87" i="2"/>
  <c r="AD91" i="2"/>
  <c r="AD97" i="2"/>
  <c r="AD102" i="2"/>
  <c r="AD108" i="2"/>
  <c r="AD114" i="2"/>
  <c r="AD120" i="2"/>
  <c r="AD126" i="2"/>
  <c r="AD132" i="2"/>
  <c r="AD138" i="2"/>
  <c r="AD144" i="2"/>
  <c r="S9" i="2"/>
  <c r="T9" i="2" s="1"/>
  <c r="O9" i="2"/>
  <c r="P154" i="2"/>
  <c r="P155" i="2"/>
  <c r="Q155" i="2" s="1"/>
  <c r="P152" i="2"/>
  <c r="P153" i="2"/>
  <c r="P151" i="2"/>
  <c r="E7" i="1"/>
  <c r="AQ159" i="1"/>
  <c r="AQ158" i="1"/>
  <c r="AQ157" i="1"/>
  <c r="AC157" i="19" s="1"/>
  <c r="AQ156" i="1"/>
  <c r="AQ155" i="1"/>
  <c r="AC155" i="19" s="1"/>
  <c r="AQ154" i="1"/>
  <c r="AQ153" i="1"/>
  <c r="AC153" i="19" s="1"/>
  <c r="AQ152" i="1"/>
  <c r="AC152" i="19" s="1"/>
  <c r="AQ151" i="1"/>
  <c r="AC151" i="19" s="1"/>
  <c r="AQ150" i="1"/>
  <c r="AQ149" i="1"/>
  <c r="AC149" i="19" s="1"/>
  <c r="AQ148" i="1"/>
  <c r="AQ147" i="1"/>
  <c r="AC147" i="19" s="1"/>
  <c r="AQ146" i="1"/>
  <c r="AC146" i="19" s="1"/>
  <c r="AQ145" i="1"/>
  <c r="AC145" i="19" s="1"/>
  <c r="AQ144" i="1"/>
  <c r="AQ143" i="1"/>
  <c r="AC143" i="19" s="1"/>
  <c r="AQ142" i="1"/>
  <c r="AQ141" i="1"/>
  <c r="AC141" i="19" s="1"/>
  <c r="AQ140" i="1"/>
  <c r="AQ139" i="1"/>
  <c r="AC139" i="19" s="1"/>
  <c r="AQ138" i="1"/>
  <c r="AQ137" i="1"/>
  <c r="AC137" i="19" s="1"/>
  <c r="AQ136" i="1"/>
  <c r="AC136" i="19" s="1"/>
  <c r="AQ135" i="1"/>
  <c r="AC135" i="19" s="1"/>
  <c r="AQ134" i="1"/>
  <c r="AC134" i="19" s="1"/>
  <c r="AQ133" i="1"/>
  <c r="AC133" i="19" s="1"/>
  <c r="AQ132" i="1"/>
  <c r="AQ131" i="1"/>
  <c r="AC131" i="19" s="1"/>
  <c r="AQ130" i="1"/>
  <c r="AC130" i="19" s="1"/>
  <c r="AQ129" i="1"/>
  <c r="AC129" i="19" s="1"/>
  <c r="AQ128" i="1"/>
  <c r="AQ127" i="1"/>
  <c r="AC127" i="19" s="1"/>
  <c r="AQ126" i="1"/>
  <c r="AB126" i="19" s="1"/>
  <c r="AQ125" i="1"/>
  <c r="AC125" i="19" s="1"/>
  <c r="AQ124" i="1"/>
  <c r="AC124" i="19" s="1"/>
  <c r="AQ123" i="1"/>
  <c r="AC123" i="19" s="1"/>
  <c r="AQ122" i="1"/>
  <c r="AQ121" i="1"/>
  <c r="AC121" i="19" s="1"/>
  <c r="AQ120" i="1"/>
  <c r="AB120" i="2" s="1"/>
  <c r="AF120" i="2" s="1"/>
  <c r="AQ119" i="1"/>
  <c r="AC119" i="19" s="1"/>
  <c r="AQ118" i="1"/>
  <c r="AC118" i="19" s="1"/>
  <c r="AQ117" i="1"/>
  <c r="AC117" i="19" s="1"/>
  <c r="AQ116" i="1"/>
  <c r="AC116" i="19" s="1"/>
  <c r="AQ115" i="1"/>
  <c r="AC115" i="19" s="1"/>
  <c r="AQ114" i="1"/>
  <c r="AQ113" i="1"/>
  <c r="AC113" i="19" s="1"/>
  <c r="AQ112" i="1"/>
  <c r="AQ111" i="1"/>
  <c r="AC111" i="19" s="1"/>
  <c r="AQ110" i="1"/>
  <c r="AQ109" i="1"/>
  <c r="AC109" i="19" s="1"/>
  <c r="AQ108" i="1"/>
  <c r="AQ107" i="1"/>
  <c r="AC107" i="19" s="1"/>
  <c r="AQ106" i="1"/>
  <c r="AC106" i="19" s="1"/>
  <c r="AQ105" i="1"/>
  <c r="AC105" i="19" s="1"/>
  <c r="AQ104" i="1"/>
  <c r="AQ103" i="1"/>
  <c r="AC103" i="19" s="1"/>
  <c r="AQ102" i="1"/>
  <c r="AB102" i="19" s="1"/>
  <c r="AQ101" i="1"/>
  <c r="AC101" i="19" s="1"/>
  <c r="AQ100" i="1"/>
  <c r="AC100" i="19" s="1"/>
  <c r="AQ99" i="1"/>
  <c r="AC99" i="19" s="1"/>
  <c r="AQ98" i="1"/>
  <c r="AQ97" i="1"/>
  <c r="AC97" i="19" s="1"/>
  <c r="AQ96" i="1"/>
  <c r="AQ95" i="1"/>
  <c r="AC95" i="19" s="1"/>
  <c r="AQ94" i="1"/>
  <c r="AQ93" i="1"/>
  <c r="AC93" i="19" s="1"/>
  <c r="AQ92" i="1"/>
  <c r="AC92" i="19" s="1"/>
  <c r="AQ91" i="1"/>
  <c r="AC91" i="19" s="1"/>
  <c r="AQ90" i="1"/>
  <c r="AC90" i="19" s="1"/>
  <c r="AQ89" i="1"/>
  <c r="AC89" i="19" s="1"/>
  <c r="AQ88" i="1"/>
  <c r="AQ87" i="1"/>
  <c r="AC87" i="19" s="1"/>
  <c r="AQ86" i="1"/>
  <c r="AC86" i="19" s="1"/>
  <c r="AQ85" i="1"/>
  <c r="AC85" i="19" s="1"/>
  <c r="AQ84" i="1"/>
  <c r="AC84" i="19" s="1"/>
  <c r="AQ83" i="1"/>
  <c r="AC83" i="19" s="1"/>
  <c r="AQ82" i="1"/>
  <c r="AQ81" i="1"/>
  <c r="AC81" i="19" s="1"/>
  <c r="AQ80" i="1"/>
  <c r="AQ79" i="1"/>
  <c r="AC79" i="19" s="1"/>
  <c r="AQ78" i="1"/>
  <c r="AQ77" i="1"/>
  <c r="AC77" i="19" s="1"/>
  <c r="AQ76" i="1"/>
  <c r="AC76" i="19" s="1"/>
  <c r="AQ75" i="1"/>
  <c r="AC75" i="19" s="1"/>
  <c r="AQ73" i="1"/>
  <c r="AQ72" i="1"/>
  <c r="AC72" i="19" s="1"/>
  <c r="AQ71" i="1"/>
  <c r="AQ70" i="1"/>
  <c r="AC70" i="19" s="1"/>
  <c r="AQ69" i="1"/>
  <c r="AC69" i="19" s="1"/>
  <c r="AQ68" i="1"/>
  <c r="AC68" i="19" s="1"/>
  <c r="AQ67" i="1"/>
  <c r="AQ66" i="1"/>
  <c r="AC66" i="19" s="1"/>
  <c r="AQ65" i="1"/>
  <c r="AQ64" i="1"/>
  <c r="AC64" i="19" s="1"/>
  <c r="AQ63" i="1"/>
  <c r="AQ62" i="1"/>
  <c r="AC62" i="19" s="1"/>
  <c r="AQ61" i="1"/>
  <c r="AB61" i="19" s="1"/>
  <c r="AQ60" i="1"/>
  <c r="AC60" i="19" s="1"/>
  <c r="AQ59" i="1"/>
  <c r="AC59" i="19" s="1"/>
  <c r="AQ58" i="1"/>
  <c r="AC58" i="19" s="1"/>
  <c r="AQ57" i="1"/>
  <c r="AC57" i="19" s="1"/>
  <c r="AQ56" i="1"/>
  <c r="AC56" i="19" s="1"/>
  <c r="AQ55" i="1"/>
  <c r="AC55" i="2" s="1"/>
  <c r="AQ54" i="1"/>
  <c r="AC54" i="19" s="1"/>
  <c r="AQ53" i="1"/>
  <c r="AQ52" i="1"/>
  <c r="AC52" i="19" s="1"/>
  <c r="AQ51" i="1"/>
  <c r="AC51" i="19" s="1"/>
  <c r="AQ50" i="1"/>
  <c r="AC50" i="19" s="1"/>
  <c r="AQ49" i="1"/>
  <c r="AF49" i="19" s="1"/>
  <c r="AQ48" i="1"/>
  <c r="AC48" i="19" s="1"/>
  <c r="AQ47" i="1"/>
  <c r="AQ46" i="1"/>
  <c r="AC46" i="19" s="1"/>
  <c r="AQ45" i="1"/>
  <c r="AC45" i="19" s="1"/>
  <c r="AQ44" i="1"/>
  <c r="AC44" i="19" s="1"/>
  <c r="AQ43" i="1"/>
  <c r="AQ42" i="1"/>
  <c r="AC42" i="19" s="1"/>
  <c r="AQ41" i="1"/>
  <c r="AC41" i="19" s="1"/>
  <c r="AQ40" i="1"/>
  <c r="AC40" i="19" s="1"/>
  <c r="AQ39" i="1"/>
  <c r="AQ38" i="1"/>
  <c r="AC38" i="19" s="1"/>
  <c r="AQ37" i="1"/>
  <c r="AF37" i="19" s="1"/>
  <c r="AL7" i="20" s="1"/>
  <c r="AQ36" i="1"/>
  <c r="AC36" i="19" s="1"/>
  <c r="AQ35" i="1"/>
  <c r="AC35" i="19" s="1"/>
  <c r="AQ34" i="1"/>
  <c r="AC34" i="19" s="1"/>
  <c r="AQ33" i="1"/>
  <c r="AQ32" i="1"/>
  <c r="AC32" i="19" s="1"/>
  <c r="AQ31" i="1"/>
  <c r="AQ30" i="1"/>
  <c r="AC30" i="19" s="1"/>
  <c r="AQ29" i="1"/>
  <c r="AQ28" i="1"/>
  <c r="AC28" i="19" s="1"/>
  <c r="AQ27" i="1"/>
  <c r="AQ26" i="1"/>
  <c r="AC26" i="19" s="1"/>
  <c r="AQ25" i="1"/>
  <c r="AQ24" i="1"/>
  <c r="AC24" i="19" s="1"/>
  <c r="AQ23" i="1"/>
  <c r="AC23" i="19" s="1"/>
  <c r="AQ22" i="1"/>
  <c r="AC22" i="19" s="1"/>
  <c r="AQ21" i="1"/>
  <c r="AC21" i="19" s="1"/>
  <c r="AQ20" i="1"/>
  <c r="AC20" i="19" s="1"/>
  <c r="AQ19" i="1"/>
  <c r="AQ18" i="1"/>
  <c r="AC18" i="19" s="1"/>
  <c r="AQ17" i="1"/>
  <c r="AQ16" i="1"/>
  <c r="AC16" i="19" s="1"/>
  <c r="AQ15" i="1"/>
  <c r="AQ14" i="1"/>
  <c r="AC14" i="19" s="1"/>
  <c r="AQ13" i="1"/>
  <c r="AQ12" i="1"/>
  <c r="AC12" i="19" s="1"/>
  <c r="AQ11" i="1"/>
  <c r="AC11" i="19" s="1"/>
  <c r="AQ10" i="1"/>
  <c r="AC10" i="19" s="1"/>
  <c r="AD13" i="19"/>
  <c r="AB21" i="19"/>
  <c r="AB45" i="19"/>
  <c r="AD61" i="19"/>
  <c r="AC61" i="2"/>
  <c r="AB81" i="19"/>
  <c r="AB89" i="19"/>
  <c r="AB93" i="19"/>
  <c r="AB101" i="19"/>
  <c r="AB109" i="19"/>
  <c r="AB117" i="19"/>
  <c r="AB125" i="19"/>
  <c r="AB133" i="19"/>
  <c r="AB141" i="19"/>
  <c r="AB149" i="19"/>
  <c r="AB153" i="19"/>
  <c r="AB18" i="19"/>
  <c r="AB26" i="19"/>
  <c r="AB34" i="19"/>
  <c r="AB38" i="19"/>
  <c r="AB46" i="19"/>
  <c r="AB54" i="19"/>
  <c r="AB62" i="19"/>
  <c r="AB70" i="19"/>
  <c r="AB86" i="19"/>
  <c r="AF102" i="19"/>
  <c r="AL16" i="20" s="1"/>
  <c r="AC102" i="2"/>
  <c r="AB118" i="19"/>
  <c r="AC126" i="2"/>
  <c r="AB134" i="19"/>
  <c r="AB12" i="19"/>
  <c r="AB16" i="19"/>
  <c r="AB20" i="19"/>
  <c r="AB24" i="19"/>
  <c r="AB28" i="19"/>
  <c r="AB32" i="19"/>
  <c r="AB36" i="19"/>
  <c r="AB40" i="19"/>
  <c r="AB44" i="19"/>
  <c r="AB48" i="19"/>
  <c r="AB52" i="19"/>
  <c r="AB56" i="19"/>
  <c r="AB60" i="19"/>
  <c r="AB64" i="19"/>
  <c r="AB68" i="19"/>
  <c r="AB72" i="19"/>
  <c r="AB92" i="19"/>
  <c r="AB108" i="2"/>
  <c r="AD132" i="19"/>
  <c r="AB144" i="19"/>
  <c r="AB9" i="19"/>
  <c r="AD25" i="19"/>
  <c r="AC25" i="2"/>
  <c r="AB41" i="19"/>
  <c r="AC49" i="2"/>
  <c r="AB57" i="19"/>
  <c r="AB69" i="19"/>
  <c r="AB77" i="19"/>
  <c r="AB85" i="19"/>
  <c r="AF85" i="19"/>
  <c r="AC85" i="2"/>
  <c r="AB85" i="2"/>
  <c r="AB97" i="19"/>
  <c r="AF97" i="19"/>
  <c r="AL15" i="20" s="1"/>
  <c r="AD97" i="19"/>
  <c r="AC97" i="2"/>
  <c r="AB97" i="2"/>
  <c r="AB105" i="19"/>
  <c r="AB113" i="19"/>
  <c r="AB121" i="19"/>
  <c r="AB129" i="19"/>
  <c r="AB137" i="19"/>
  <c r="AB145" i="19"/>
  <c r="AB157" i="19"/>
  <c r="AB10" i="19"/>
  <c r="AB14" i="19"/>
  <c r="AB22" i="19"/>
  <c r="AB30" i="19"/>
  <c r="AB42" i="19"/>
  <c r="AB50" i="19"/>
  <c r="AB58" i="19"/>
  <c r="AB66" i="19"/>
  <c r="AB74" i="19"/>
  <c r="AB90" i="19"/>
  <c r="AB106" i="19"/>
  <c r="AB114" i="19"/>
  <c r="AC114" i="2"/>
  <c r="AB130" i="19"/>
  <c r="AB138" i="2"/>
  <c r="AB146" i="19"/>
  <c r="AB31" i="19"/>
  <c r="AF43" i="19"/>
  <c r="AB55" i="19"/>
  <c r="AD67" i="19"/>
  <c r="AB75" i="19"/>
  <c r="AB79" i="19"/>
  <c r="AF79" i="19"/>
  <c r="AL13" i="20" s="1"/>
  <c r="AB79" i="2"/>
  <c r="AC79" i="2"/>
  <c r="AB83" i="19"/>
  <c r="AF87" i="19"/>
  <c r="AB87" i="19"/>
  <c r="AB87" i="2"/>
  <c r="AC87" i="2"/>
  <c r="AF91" i="19"/>
  <c r="AB91" i="19"/>
  <c r="AB91" i="2"/>
  <c r="AC91" i="2"/>
  <c r="AB95" i="19"/>
  <c r="AB99" i="19"/>
  <c r="AB103" i="19"/>
  <c r="AB107" i="19"/>
  <c r="AB111" i="19"/>
  <c r="AB115" i="19"/>
  <c r="AB119" i="19"/>
  <c r="AB123" i="19"/>
  <c r="AB127" i="19"/>
  <c r="AB131" i="19"/>
  <c r="AB135" i="19"/>
  <c r="AB139" i="19"/>
  <c r="AB143" i="19"/>
  <c r="AB147" i="19"/>
  <c r="AB151" i="19"/>
  <c r="AB155" i="19"/>
  <c r="U8" i="1"/>
  <c r="X8" i="1"/>
  <c r="W8" i="1"/>
  <c r="F15" i="2"/>
  <c r="F16" i="2" s="1"/>
  <c r="F17" i="2" s="1"/>
  <c r="F158" i="2"/>
  <c r="F159" i="2" s="1"/>
  <c r="F160" i="2" s="1"/>
  <c r="F161" i="2" s="1"/>
  <c r="G161" i="2" s="1"/>
  <c r="H161" i="2" s="1"/>
  <c r="F74" i="2"/>
  <c r="F75" i="2" s="1"/>
  <c r="F76" i="2" s="1"/>
  <c r="F77" i="2" s="1"/>
  <c r="F99" i="2"/>
  <c r="F100" i="2" s="1"/>
  <c r="F101" i="2" s="1"/>
  <c r="G101" i="2" s="1"/>
  <c r="F57" i="2"/>
  <c r="F58" i="2" s="1"/>
  <c r="F109" i="2"/>
  <c r="F110" i="2" s="1"/>
  <c r="F111" i="2" s="1"/>
  <c r="F112" i="2" s="1"/>
  <c r="F81" i="2"/>
  <c r="F82" i="2" s="1"/>
  <c r="F83" i="2" s="1"/>
  <c r="F134" i="2"/>
  <c r="F135" i="2" s="1"/>
  <c r="F92" i="2"/>
  <c r="F93" i="2" s="1"/>
  <c r="F22" i="2"/>
  <c r="J143" i="2"/>
  <c r="J144" i="2" s="1"/>
  <c r="J145" i="2" s="1"/>
  <c r="J92" i="2"/>
  <c r="J93" i="2" s="1"/>
  <c r="J94" i="2" s="1"/>
  <c r="K94" i="2" s="1"/>
  <c r="J46" i="2"/>
  <c r="J47" i="2" s="1"/>
  <c r="J48" i="2" s="1"/>
  <c r="J49" i="2" s="1"/>
  <c r="J53" i="2"/>
  <c r="J60" i="2"/>
  <c r="J61" i="2" s="1"/>
  <c r="A136" i="2"/>
  <c r="B2" i="2"/>
  <c r="G107" i="2"/>
  <c r="H107" i="2" s="1"/>
  <c r="M24" i="20"/>
  <c r="G69" i="2"/>
  <c r="H69" i="2" s="1"/>
  <c r="A155" i="2"/>
  <c r="A156" i="2"/>
  <c r="A157" i="2"/>
  <c r="A158" i="2"/>
  <c r="A159" i="2"/>
  <c r="A153" i="2"/>
  <c r="A154" i="2"/>
  <c r="A121" i="2"/>
  <c r="A122" i="2"/>
  <c r="A123" i="2"/>
  <c r="A124" i="2"/>
  <c r="A125" i="2"/>
  <c r="A126" i="2"/>
  <c r="A127" i="2"/>
  <c r="A128" i="2"/>
  <c r="A129" i="2"/>
  <c r="A130" i="2"/>
  <c r="A131" i="2"/>
  <c r="A132" i="2"/>
  <c r="A133" i="2"/>
  <c r="A134" i="2"/>
  <c r="A135" i="2"/>
  <c r="A137" i="2"/>
  <c r="A138" i="2"/>
  <c r="A139" i="2"/>
  <c r="A140" i="2"/>
  <c r="A141" i="2"/>
  <c r="A142" i="2"/>
  <c r="A143" i="2"/>
  <c r="A144" i="2"/>
  <c r="A145" i="2"/>
  <c r="A146" i="2"/>
  <c r="A147" i="2"/>
  <c r="A148" i="2"/>
  <c r="A149" i="2"/>
  <c r="A150" i="2"/>
  <c r="A151" i="2"/>
  <c r="A152"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9" i="2"/>
  <c r="I24" i="20"/>
  <c r="M12" i="20"/>
  <c r="J117" i="2" l="1"/>
  <c r="J118" i="2" s="1"/>
  <c r="J119" i="2" s="1"/>
  <c r="K118" i="2" s="1"/>
  <c r="L118" i="2" s="1"/>
  <c r="J32" i="2"/>
  <c r="J33" i="2" s="1"/>
  <c r="J34" i="2" s="1"/>
  <c r="F117" i="2"/>
  <c r="F118" i="2" s="1"/>
  <c r="F154" i="19"/>
  <c r="F72" i="19"/>
  <c r="F47" i="19"/>
  <c r="J88" i="2"/>
  <c r="J89" i="2" s="1"/>
  <c r="J90" i="2" s="1"/>
  <c r="J91" i="2" s="1"/>
  <c r="K91" i="2" s="1"/>
  <c r="L91" i="2" s="1"/>
  <c r="J130" i="2"/>
  <c r="J131" i="2" s="1"/>
  <c r="J132" i="2" s="1"/>
  <c r="J133" i="2" s="1"/>
  <c r="K133" i="2" s="1"/>
  <c r="F46" i="19"/>
  <c r="F169" i="2"/>
  <c r="F170" i="2" s="1"/>
  <c r="F60" i="2"/>
  <c r="F61" i="2" s="1"/>
  <c r="F62" i="2" s="1"/>
  <c r="J18" i="2"/>
  <c r="J19" i="2" s="1"/>
  <c r="J20" i="2" s="1"/>
  <c r="J21" i="2" s="1"/>
  <c r="K21" i="2" s="1"/>
  <c r="J102" i="2"/>
  <c r="J103" i="2" s="1"/>
  <c r="J104" i="2" s="1"/>
  <c r="J105" i="2" s="1"/>
  <c r="J74" i="2"/>
  <c r="J75" i="2" s="1"/>
  <c r="J76" i="2" s="1"/>
  <c r="J77" i="2" s="1"/>
  <c r="F32" i="2"/>
  <c r="F33" i="2" s="1"/>
  <c r="F34" i="2" s="1"/>
  <c r="F35" i="2" s="1"/>
  <c r="G34" i="2" s="1"/>
  <c r="H34" i="2" s="1"/>
  <c r="J169" i="2"/>
  <c r="J170" i="2" s="1"/>
  <c r="J171" i="2" s="1"/>
  <c r="K171" i="2" s="1"/>
  <c r="O116" i="2"/>
  <c r="M99" i="2"/>
  <c r="E16" i="20" s="1"/>
  <c r="J99" i="2"/>
  <c r="J100" i="2" s="1"/>
  <c r="M95" i="2"/>
  <c r="J95" i="2"/>
  <c r="J96" i="2" s="1"/>
  <c r="J97" i="2" s="1"/>
  <c r="J98" i="2" s="1"/>
  <c r="K95" i="2" s="1"/>
  <c r="L95" i="2" s="1"/>
  <c r="F179" i="2"/>
  <c r="F180" i="2" s="1"/>
  <c r="F165" i="2"/>
  <c r="F166" i="2" s="1"/>
  <c r="F167" i="2" s="1"/>
  <c r="F95" i="2"/>
  <c r="F96" i="2" s="1"/>
  <c r="F97" i="2" s="1"/>
  <c r="F98" i="2" s="1"/>
  <c r="G97" i="2" s="1"/>
  <c r="H97" i="2" s="1"/>
  <c r="I176" i="2"/>
  <c r="L94" i="2"/>
  <c r="J36" i="2"/>
  <c r="J37" i="2" s="1"/>
  <c r="J38" i="2" s="1"/>
  <c r="K38" i="2" s="1"/>
  <c r="L38" i="2" s="1"/>
  <c r="J64" i="2"/>
  <c r="J65" i="2" s="1"/>
  <c r="J66" i="2" s="1"/>
  <c r="K66" i="2" s="1"/>
  <c r="L66" i="2" s="1"/>
  <c r="F141" i="2"/>
  <c r="F127" i="2"/>
  <c r="F128" i="2" s="1"/>
  <c r="Q151" i="2"/>
  <c r="AD22" i="20"/>
  <c r="F64" i="2"/>
  <c r="F65" i="2" s="1"/>
  <c r="J113" i="2"/>
  <c r="J114" i="2" s="1"/>
  <c r="J115" i="2" s="1"/>
  <c r="J116" i="2" s="1"/>
  <c r="K116" i="2" s="1"/>
  <c r="L116" i="2" s="1"/>
  <c r="F141" i="19"/>
  <c r="F127" i="19"/>
  <c r="F122" i="19"/>
  <c r="F107" i="19"/>
  <c r="F103" i="19"/>
  <c r="F69" i="19"/>
  <c r="F63" i="19"/>
  <c r="F44" i="19"/>
  <c r="F16" i="19"/>
  <c r="J197" i="2"/>
  <c r="J198" i="2" s="1"/>
  <c r="D11" i="20"/>
  <c r="D7" i="20"/>
  <c r="M43" i="2"/>
  <c r="E8" i="20" s="1"/>
  <c r="J43" i="2"/>
  <c r="J44" i="2" s="1"/>
  <c r="J45" i="2" s="1"/>
  <c r="K45" i="2" s="1"/>
  <c r="L45" i="2" s="1"/>
  <c r="M200" i="2"/>
  <c r="J200" i="2"/>
  <c r="J201" i="2" s="1"/>
  <c r="J202" i="2" s="1"/>
  <c r="F121" i="19"/>
  <c r="F41" i="19"/>
  <c r="J211" i="2"/>
  <c r="J212" i="2" s="1"/>
  <c r="J213" i="2" s="1"/>
  <c r="J214" i="2" s="1"/>
  <c r="J162" i="2"/>
  <c r="J163" i="2" s="1"/>
  <c r="H10" i="2"/>
  <c r="F120" i="2"/>
  <c r="F121" i="2" s="1"/>
  <c r="F43" i="2"/>
  <c r="F44" i="2" s="1"/>
  <c r="F11" i="2"/>
  <c r="F12" i="2" s="1"/>
  <c r="F13" i="2" s="1"/>
  <c r="F14" i="2" s="1"/>
  <c r="G13" i="2" s="1"/>
  <c r="H13" i="2" s="1"/>
  <c r="D16" i="20"/>
  <c r="B30" i="20"/>
  <c r="B26" i="20"/>
  <c r="B22" i="20"/>
  <c r="B18" i="20"/>
  <c r="B14" i="20"/>
  <c r="B10" i="20"/>
  <c r="G68" i="2"/>
  <c r="H68" i="2" s="1"/>
  <c r="F39" i="2"/>
  <c r="F40" i="2" s="1"/>
  <c r="F41" i="2" s="1"/>
  <c r="F42" i="2" s="1"/>
  <c r="G42" i="2" s="1"/>
  <c r="H42" i="2" s="1"/>
  <c r="G51" i="2"/>
  <c r="H51" i="2" s="1"/>
  <c r="J11" i="2"/>
  <c r="J12" i="2" s="1"/>
  <c r="F71" i="2"/>
  <c r="F72" i="2" s="1"/>
  <c r="F73" i="2" s="1"/>
  <c r="G73" i="2" s="1"/>
  <c r="H73" i="2" s="1"/>
  <c r="F153" i="19"/>
  <c r="F139" i="19"/>
  <c r="F211" i="2"/>
  <c r="F212" i="2" s="1"/>
  <c r="F213" i="2" s="1"/>
  <c r="F214" i="2" s="1"/>
  <c r="F215" i="2" s="1"/>
  <c r="F216" i="2" s="1"/>
  <c r="D27" i="20"/>
  <c r="D4" i="20"/>
  <c r="D15" i="20"/>
  <c r="G106" i="2"/>
  <c r="H106" i="2" s="1"/>
  <c r="L9" i="2"/>
  <c r="F151" i="2"/>
  <c r="F152" i="2" s="1"/>
  <c r="F153" i="2" s="1"/>
  <c r="F154" i="2" s="1"/>
  <c r="G154" i="2" s="1"/>
  <c r="H154" i="2" s="1"/>
  <c r="J120" i="2"/>
  <c r="J121" i="2" s="1"/>
  <c r="J122" i="2" s="1"/>
  <c r="K120" i="2" s="1"/>
  <c r="L120" i="2" s="1"/>
  <c r="J57" i="2"/>
  <c r="J58" i="2" s="1"/>
  <c r="J59" i="2" s="1"/>
  <c r="K59" i="2" s="1"/>
  <c r="L59" i="2" s="1"/>
  <c r="AF91" i="2"/>
  <c r="AD19" i="19"/>
  <c r="AD43" i="19"/>
  <c r="F193" i="2"/>
  <c r="F194" i="2" s="1"/>
  <c r="F197" i="2"/>
  <c r="F198" i="2" s="1"/>
  <c r="F199" i="2" s="1"/>
  <c r="G198" i="2" s="1"/>
  <c r="H198" i="2" s="1"/>
  <c r="D6" i="20"/>
  <c r="D32" i="20"/>
  <c r="I39" i="2"/>
  <c r="I151" i="2"/>
  <c r="D30" i="20"/>
  <c r="M71" i="2"/>
  <c r="E12" i="20" s="1"/>
  <c r="J71" i="2"/>
  <c r="J72" i="2" s="1"/>
  <c r="J73" i="2" s="1"/>
  <c r="M67" i="2"/>
  <c r="E11" i="20" s="1"/>
  <c r="J67" i="2"/>
  <c r="M127" i="2"/>
  <c r="E20" i="20" s="1"/>
  <c r="J127" i="2"/>
  <c r="J128" i="2" s="1"/>
  <c r="J129" i="2" s="1"/>
  <c r="K129" i="2" s="1"/>
  <c r="L129" i="2" s="1"/>
  <c r="G50" i="2"/>
  <c r="H50" i="2" s="1"/>
  <c r="AD7" i="20"/>
  <c r="AD15" i="20"/>
  <c r="F40" i="19"/>
  <c r="D19" i="20"/>
  <c r="K31" i="20"/>
  <c r="K29" i="20"/>
  <c r="K27" i="20"/>
  <c r="K25" i="20"/>
  <c r="K21" i="20"/>
  <c r="K18" i="20"/>
  <c r="AD85" i="19"/>
  <c r="AD120" i="19"/>
  <c r="AD150" i="19"/>
  <c r="AF97" i="2"/>
  <c r="L15" i="20" s="1"/>
  <c r="AD12" i="20"/>
  <c r="AD10" i="20"/>
  <c r="I15" i="2"/>
  <c r="I123" i="2"/>
  <c r="I172" i="2"/>
  <c r="M81" i="2"/>
  <c r="J81" i="2"/>
  <c r="J82" i="2" s="1"/>
  <c r="J83" i="2" s="1"/>
  <c r="J84" i="2" s="1"/>
  <c r="K84" i="2" s="1"/>
  <c r="L84" i="2" s="1"/>
  <c r="M141" i="2"/>
  <c r="E22" i="20" s="1"/>
  <c r="J141" i="2"/>
  <c r="J142" i="2" s="1"/>
  <c r="K142" i="2" s="1"/>
  <c r="L142" i="2" s="1"/>
  <c r="M190" i="2"/>
  <c r="E29" i="20" s="1"/>
  <c r="J190" i="2"/>
  <c r="J191" i="2" s="1"/>
  <c r="J192" i="2" s="1"/>
  <c r="K192" i="2" s="1"/>
  <c r="F94" i="2"/>
  <c r="G93" i="2" s="1"/>
  <c r="H93" i="2" s="1"/>
  <c r="M25" i="2"/>
  <c r="J25" i="2"/>
  <c r="J26" i="2" s="1"/>
  <c r="J27" i="2" s="1"/>
  <c r="J28" i="2" s="1"/>
  <c r="K28" i="2" s="1"/>
  <c r="L28" i="2" s="1"/>
  <c r="M186" i="2"/>
  <c r="J186" i="2"/>
  <c r="J187" i="2" s="1"/>
  <c r="J85" i="2"/>
  <c r="J86" i="2" s="1"/>
  <c r="J87" i="2" s="1"/>
  <c r="K86" i="2" s="1"/>
  <c r="L86" i="2" s="1"/>
  <c r="J137" i="2"/>
  <c r="J138" i="2" s="1"/>
  <c r="J139" i="2" s="1"/>
  <c r="J29" i="2"/>
  <c r="J30" i="2" s="1"/>
  <c r="J31" i="2" s="1"/>
  <c r="M109" i="2"/>
  <c r="J109" i="2"/>
  <c r="J110" i="2" s="1"/>
  <c r="M158" i="2"/>
  <c r="J158" i="2"/>
  <c r="J159" i="2" s="1"/>
  <c r="J160" i="2" s="1"/>
  <c r="J161" i="2" s="1"/>
  <c r="K160" i="2" s="1"/>
  <c r="L160" i="2" s="1"/>
  <c r="F135" i="19"/>
  <c r="F106" i="19"/>
  <c r="F27" i="19"/>
  <c r="F146" i="19"/>
  <c r="K26" i="20"/>
  <c r="K17" i="20"/>
  <c r="K15" i="20"/>
  <c r="K14" i="20"/>
  <c r="K13" i="20"/>
  <c r="K11" i="20"/>
  <c r="K10" i="20"/>
  <c r="K9" i="20"/>
  <c r="K7" i="20"/>
  <c r="K5" i="20"/>
  <c r="K3" i="20"/>
  <c r="AD138" i="19"/>
  <c r="H52" i="2"/>
  <c r="H101" i="2"/>
  <c r="Q153" i="2"/>
  <c r="Q154" i="2"/>
  <c r="F115" i="19"/>
  <c r="F105" i="19"/>
  <c r="F100" i="19"/>
  <c r="F81" i="19"/>
  <c r="F65" i="19"/>
  <c r="F20" i="19"/>
  <c r="AB7" i="20"/>
  <c r="AB11" i="20"/>
  <c r="AB15" i="20"/>
  <c r="AB19" i="20"/>
  <c r="AB27" i="20"/>
  <c r="AB31" i="20"/>
  <c r="J207" i="2"/>
  <c r="J208" i="2" s="1"/>
  <c r="J179" i="2"/>
  <c r="J180" i="2" s="1"/>
  <c r="J181" i="2" s="1"/>
  <c r="J182" i="2" s="1"/>
  <c r="K182" i="2" s="1"/>
  <c r="F117" i="19"/>
  <c r="F33" i="19"/>
  <c r="F186" i="2"/>
  <c r="F187" i="2" s="1"/>
  <c r="F53" i="2"/>
  <c r="F18" i="2"/>
  <c r="F19" i="2" s="1"/>
  <c r="F20" i="2" s="1"/>
  <c r="D10" i="20"/>
  <c r="D20" i="20"/>
  <c r="D31" i="20"/>
  <c r="H108" i="2"/>
  <c r="F125" i="19"/>
  <c r="F82" i="19"/>
  <c r="F68" i="19"/>
  <c r="K30" i="20"/>
  <c r="F157" i="19"/>
  <c r="F147" i="19"/>
  <c r="F137" i="19"/>
  <c r="F128" i="19"/>
  <c r="F123" i="19"/>
  <c r="F118" i="19"/>
  <c r="F109" i="19"/>
  <c r="F99" i="19"/>
  <c r="F94" i="19"/>
  <c r="F64" i="19"/>
  <c r="F59" i="19"/>
  <c r="F50" i="19"/>
  <c r="F45" i="19"/>
  <c r="F39" i="19"/>
  <c r="F23" i="19"/>
  <c r="F17" i="19"/>
  <c r="F11" i="19"/>
  <c r="V150" i="19"/>
  <c r="W150" i="19" s="1"/>
  <c r="V144" i="19"/>
  <c r="W144" i="19" s="1"/>
  <c r="V25" i="19"/>
  <c r="W25" i="19" s="1"/>
  <c r="AB28" i="20"/>
  <c r="AB20" i="20"/>
  <c r="AB12" i="20"/>
  <c r="AB16" i="20"/>
  <c r="AB24" i="20"/>
  <c r="AB32" i="20"/>
  <c r="H178" i="2"/>
  <c r="AD25" i="20"/>
  <c r="F207" i="2"/>
  <c r="F190" i="2"/>
  <c r="F137" i="2"/>
  <c r="F138" i="2" s="1"/>
  <c r="F139" i="2" s="1"/>
  <c r="F25" i="2"/>
  <c r="F26" i="2" s="1"/>
  <c r="D22" i="20"/>
  <c r="D8" i="20"/>
  <c r="D12" i="20"/>
  <c r="F162" i="2"/>
  <c r="F163" i="2" s="1"/>
  <c r="F113" i="2"/>
  <c r="F102" i="2"/>
  <c r="F103" i="2" s="1"/>
  <c r="F104" i="2" s="1"/>
  <c r="F85" i="2"/>
  <c r="F86" i="2" s="1"/>
  <c r="F46" i="2"/>
  <c r="F29" i="2"/>
  <c r="D26" i="20"/>
  <c r="G111" i="2"/>
  <c r="H111" i="2" s="1"/>
  <c r="G112" i="2"/>
  <c r="H112" i="2" s="1"/>
  <c r="K46" i="2"/>
  <c r="K49" i="2"/>
  <c r="S33" i="2"/>
  <c r="O198" i="2"/>
  <c r="O199" i="2" s="1"/>
  <c r="K97" i="2"/>
  <c r="L97" i="2" s="1"/>
  <c r="AD23" i="20"/>
  <c r="AD32" i="20"/>
  <c r="AD26" i="20"/>
  <c r="F208" i="2"/>
  <c r="K32" i="20"/>
  <c r="K28" i="20"/>
  <c r="K22" i="20"/>
  <c r="K19" i="20"/>
  <c r="K12" i="20"/>
  <c r="K6" i="20"/>
  <c r="M172" i="2"/>
  <c r="E26" i="20" s="1"/>
  <c r="J172" i="2"/>
  <c r="J173" i="2" s="1"/>
  <c r="J174" i="2" s="1"/>
  <c r="J175" i="2" s="1"/>
  <c r="M176" i="2"/>
  <c r="E27" i="20" s="1"/>
  <c r="J176" i="2"/>
  <c r="J177" i="2" s="1"/>
  <c r="O164" i="2"/>
  <c r="K92" i="2"/>
  <c r="L92" i="2" s="1"/>
  <c r="K47" i="2"/>
  <c r="AL8" i="20"/>
  <c r="V13" i="19"/>
  <c r="W13" i="19" s="1"/>
  <c r="AD4" i="20"/>
  <c r="AD6" i="20"/>
  <c r="F185" i="19"/>
  <c r="V210" i="19"/>
  <c r="W210" i="19" s="1"/>
  <c r="V186" i="19"/>
  <c r="W186" i="19" s="1"/>
  <c r="O188" i="2"/>
  <c r="O40" i="2"/>
  <c r="F206" i="2"/>
  <c r="G206" i="2" s="1"/>
  <c r="H206" i="2" s="1"/>
  <c r="B34" i="20"/>
  <c r="B3" i="20"/>
  <c r="K96" i="2"/>
  <c r="L96" i="2" s="1"/>
  <c r="AF85" i="2"/>
  <c r="AL14" i="20"/>
  <c r="F76" i="19"/>
  <c r="F62" i="19"/>
  <c r="F36" i="19"/>
  <c r="O51" i="2"/>
  <c r="O138" i="2"/>
  <c r="O139" i="2" s="1"/>
  <c r="B29" i="20"/>
  <c r="B25" i="20"/>
  <c r="B21" i="20"/>
  <c r="B17" i="20"/>
  <c r="B6" i="20"/>
  <c r="B45" i="20"/>
  <c r="B41" i="20"/>
  <c r="V120" i="19"/>
  <c r="W120" i="19" s="1"/>
  <c r="V102" i="19"/>
  <c r="W102" i="19" s="1"/>
  <c r="V91" i="19"/>
  <c r="W91" i="19" s="1"/>
  <c r="V87" i="19"/>
  <c r="W87" i="19" s="1"/>
  <c r="V85" i="19"/>
  <c r="W85" i="19" s="1"/>
  <c r="V79" i="19"/>
  <c r="W79" i="19" s="1"/>
  <c r="V67" i="19"/>
  <c r="W67" i="19" s="1"/>
  <c r="V61" i="19"/>
  <c r="W61" i="19" s="1"/>
  <c r="V55" i="19"/>
  <c r="W55" i="19" s="1"/>
  <c r="V49" i="19"/>
  <c r="W49" i="19" s="1"/>
  <c r="V43" i="19"/>
  <c r="W43" i="19" s="1"/>
  <c r="V37" i="19"/>
  <c r="W37" i="19" s="1"/>
  <c r="V31" i="19"/>
  <c r="W31" i="19" s="1"/>
  <c r="L171" i="2"/>
  <c r="J165" i="2"/>
  <c r="J166" i="2" s="1"/>
  <c r="J167" i="2" s="1"/>
  <c r="J168" i="2" s="1"/>
  <c r="K168" i="2" s="1"/>
  <c r="L168" i="2" s="1"/>
  <c r="J193" i="2"/>
  <c r="J194" i="2" s="1"/>
  <c r="J195" i="2" s="1"/>
  <c r="F88" i="2"/>
  <c r="D18" i="20"/>
  <c r="D29" i="20"/>
  <c r="E6" i="20"/>
  <c r="E10" i="20"/>
  <c r="E14" i="20"/>
  <c r="E18" i="20"/>
  <c r="E25" i="20"/>
  <c r="B32" i="20"/>
  <c r="B28" i="20"/>
  <c r="B24" i="20"/>
  <c r="B20" i="20"/>
  <c r="B16" i="20"/>
  <c r="B12" i="20"/>
  <c r="B9" i="20"/>
  <c r="B44" i="20"/>
  <c r="B40" i="20"/>
  <c r="Q152" i="2"/>
  <c r="U9" i="2"/>
  <c r="L192" i="2"/>
  <c r="F143" i="2"/>
  <c r="F144" i="2" s="1"/>
  <c r="F145" i="2" s="1"/>
  <c r="F123" i="2"/>
  <c r="D3" i="20"/>
  <c r="D14" i="20"/>
  <c r="D25" i="20"/>
  <c r="B31" i="20"/>
  <c r="B27" i="20"/>
  <c r="B23" i="20"/>
  <c r="B19" i="20"/>
  <c r="B15" i="20"/>
  <c r="B11" i="20"/>
  <c r="B8" i="20"/>
  <c r="B4" i="20"/>
  <c r="F59" i="2"/>
  <c r="G59" i="2" s="1"/>
  <c r="H59" i="2" s="1"/>
  <c r="AC67" i="19"/>
  <c r="AB67" i="19"/>
  <c r="AC108" i="19"/>
  <c r="AB108" i="19"/>
  <c r="AC132" i="19"/>
  <c r="AB132" i="19"/>
  <c r="AC132" i="2"/>
  <c r="AB132" i="2"/>
  <c r="AF132" i="2" s="1"/>
  <c r="L20" i="20" s="1"/>
  <c r="AC140" i="19"/>
  <c r="AB140" i="19"/>
  <c r="AC148" i="19"/>
  <c r="AB148" i="19"/>
  <c r="AC156" i="19"/>
  <c r="AF156" i="19"/>
  <c r="AL24" i="20" s="1"/>
  <c r="AB156" i="19"/>
  <c r="AC156" i="2"/>
  <c r="AB156" i="2"/>
  <c r="AF132" i="19"/>
  <c r="AL20" i="20" s="1"/>
  <c r="Z97" i="19"/>
  <c r="Z61" i="19"/>
  <c r="Z13" i="19"/>
  <c r="Z37" i="19"/>
  <c r="Z19" i="19"/>
  <c r="Z138" i="19"/>
  <c r="Z25" i="19"/>
  <c r="Z85" i="19"/>
  <c r="K98" i="2"/>
  <c r="L98" i="2" s="1"/>
  <c r="K128" i="2"/>
  <c r="L128" i="2" s="1"/>
  <c r="AB67" i="2"/>
  <c r="AF67" i="2" s="1"/>
  <c r="L11" i="20" s="1"/>
  <c r="AC108" i="2"/>
  <c r="AB100" i="19"/>
  <c r="Z102" i="19"/>
  <c r="K115" i="2"/>
  <c r="L115" i="2" s="1"/>
  <c r="AC39" i="19"/>
  <c r="AB39" i="19"/>
  <c r="AC47" i="19"/>
  <c r="AB47" i="19"/>
  <c r="AC63" i="19"/>
  <c r="AB63" i="19"/>
  <c r="AC88" i="19"/>
  <c r="AB88" i="19"/>
  <c r="AC104" i="19"/>
  <c r="AB104" i="19"/>
  <c r="AC112" i="19"/>
  <c r="AB112" i="19"/>
  <c r="AC120" i="19"/>
  <c r="AB120" i="19"/>
  <c r="AC120" i="2"/>
  <c r="AF120" i="19"/>
  <c r="AC128" i="19"/>
  <c r="AB128" i="19"/>
  <c r="AC15" i="19"/>
  <c r="AB15" i="19"/>
  <c r="AC27" i="19"/>
  <c r="AB27" i="19"/>
  <c r="AC43" i="19"/>
  <c r="AB43" i="2"/>
  <c r="AF43" i="2" s="1"/>
  <c r="L8" i="20" s="1"/>
  <c r="AB43" i="19"/>
  <c r="AC55" i="19"/>
  <c r="AF55" i="19"/>
  <c r="AL9" i="20" s="1"/>
  <c r="AB55" i="2"/>
  <c r="AF55" i="2" s="1"/>
  <c r="L9" i="20" s="1"/>
  <c r="AD55" i="19"/>
  <c r="AC71" i="19"/>
  <c r="AB71" i="19"/>
  <c r="AC80" i="19"/>
  <c r="AB80" i="19"/>
  <c r="AC144" i="19"/>
  <c r="AB144" i="2"/>
  <c r="AF144" i="2" s="1"/>
  <c r="L22" i="20" s="1"/>
  <c r="AC144" i="2"/>
  <c r="AD144" i="19"/>
  <c r="AC19" i="19"/>
  <c r="AF19" i="19"/>
  <c r="AL4" i="20" s="1"/>
  <c r="AB19" i="19"/>
  <c r="AC19" i="2"/>
  <c r="AC31" i="19"/>
  <c r="AD31" i="19"/>
  <c r="AF31" i="19"/>
  <c r="AL6" i="20" s="1"/>
  <c r="AB31" i="2"/>
  <c r="AF31" i="2" s="1"/>
  <c r="L6" i="20" s="1"/>
  <c r="AC96" i="19"/>
  <c r="AB96" i="19"/>
  <c r="K114" i="2"/>
  <c r="L114" i="2" s="1"/>
  <c r="J54" i="2"/>
  <c r="J55" i="2" s="1"/>
  <c r="J56" i="2" s="1"/>
  <c r="K56" i="2" s="1"/>
  <c r="L56" i="2" s="1"/>
  <c r="F136" i="2"/>
  <c r="AF67" i="19"/>
  <c r="AL11" i="20" s="1"/>
  <c r="AB51" i="19"/>
  <c r="AB35" i="19"/>
  <c r="AB23" i="19"/>
  <c r="AB11" i="19"/>
  <c r="AB152" i="19"/>
  <c r="AF144" i="19"/>
  <c r="AL22" i="20" s="1"/>
  <c r="AD108" i="19"/>
  <c r="AB84" i="19"/>
  <c r="O10" i="2"/>
  <c r="AF108" i="2"/>
  <c r="L17" i="20" s="1"/>
  <c r="Z55" i="19"/>
  <c r="Z114" i="19"/>
  <c r="K44" i="2"/>
  <c r="L44" i="2" s="1"/>
  <c r="F23" i="2"/>
  <c r="F24" i="2" s="1"/>
  <c r="AC67" i="2"/>
  <c r="AB59" i="19"/>
  <c r="AC43" i="2"/>
  <c r="AC31" i="2"/>
  <c r="AB19" i="2"/>
  <c r="AF19" i="2" s="1"/>
  <c r="L4" i="20" s="1"/>
  <c r="AB136" i="19"/>
  <c r="AB124" i="19"/>
  <c r="AB116" i="19"/>
  <c r="AF108" i="19"/>
  <c r="AL17" i="20" s="1"/>
  <c r="AB76" i="19"/>
  <c r="AC13" i="19"/>
  <c r="AC13" i="2"/>
  <c r="AF13" i="19"/>
  <c r="AL3" i="20" s="1"/>
  <c r="AB13" i="19"/>
  <c r="AB13" i="2"/>
  <c r="AF13" i="2" s="1"/>
  <c r="L3" i="20" s="1"/>
  <c r="AC17" i="19"/>
  <c r="AB17" i="19"/>
  <c r="AF25" i="19"/>
  <c r="AL5" i="20" s="1"/>
  <c r="AC25" i="19"/>
  <c r="AB25" i="19"/>
  <c r="AB25" i="2"/>
  <c r="AF25" i="2" s="1"/>
  <c r="L5" i="20" s="1"/>
  <c r="AC29" i="19"/>
  <c r="AB29" i="19"/>
  <c r="AC33" i="19"/>
  <c r="AB33" i="19"/>
  <c r="AC37" i="19"/>
  <c r="AB37" i="2"/>
  <c r="AF37" i="2" s="1"/>
  <c r="L7" i="20" s="1"/>
  <c r="AB37" i="19"/>
  <c r="AC37" i="2"/>
  <c r="AC49" i="19"/>
  <c r="AD49" i="19"/>
  <c r="AB49" i="19"/>
  <c r="AB49" i="2"/>
  <c r="AF49" i="2" s="1"/>
  <c r="AC53" i="19"/>
  <c r="AK9" i="20" s="1"/>
  <c r="AB53" i="19"/>
  <c r="AC61" i="19"/>
  <c r="AB61" i="2"/>
  <c r="AF61" i="2" s="1"/>
  <c r="L10" i="20" s="1"/>
  <c r="AF61" i="19"/>
  <c r="AL10" i="20" s="1"/>
  <c r="AC65" i="19"/>
  <c r="AB65" i="19"/>
  <c r="AC73" i="19"/>
  <c r="AB73" i="19"/>
  <c r="AC78" i="19"/>
  <c r="AB78" i="19"/>
  <c r="AC82" i="19"/>
  <c r="AB82" i="19"/>
  <c r="AC94" i="19"/>
  <c r="AB94" i="19"/>
  <c r="AC98" i="19"/>
  <c r="AB98" i="19"/>
  <c r="AD102" i="19"/>
  <c r="AC102" i="19"/>
  <c r="AB102" i="2"/>
  <c r="AF102" i="2" s="1"/>
  <c r="L16" i="20" s="1"/>
  <c r="AC110" i="19"/>
  <c r="AK17" i="20" s="1"/>
  <c r="AB110" i="19"/>
  <c r="AC114" i="19"/>
  <c r="AD114" i="19"/>
  <c r="AF114" i="19"/>
  <c r="AL18" i="20" s="1"/>
  <c r="AB114" i="2"/>
  <c r="AF114" i="2" s="1"/>
  <c r="L18" i="20" s="1"/>
  <c r="AC122" i="19"/>
  <c r="AB122" i="19"/>
  <c r="AC126" i="19"/>
  <c r="AD126" i="19"/>
  <c r="AF126" i="19"/>
  <c r="AB126" i="2"/>
  <c r="AF126" i="2" s="1"/>
  <c r="L19" i="20" s="1"/>
  <c r="AC138" i="19"/>
  <c r="AB138" i="19"/>
  <c r="AF138" i="19"/>
  <c r="AL21" i="20" s="1"/>
  <c r="AC138" i="2"/>
  <c r="AC142" i="19"/>
  <c r="AB142" i="19"/>
  <c r="AC150" i="19"/>
  <c r="AB150" i="2"/>
  <c r="AF150" i="2" s="1"/>
  <c r="L23" i="20" s="1"/>
  <c r="AC150" i="2"/>
  <c r="AF150" i="19"/>
  <c r="AL23" i="20" s="1"/>
  <c r="AB150" i="19"/>
  <c r="AC154" i="19"/>
  <c r="AB154" i="19"/>
  <c r="AC158" i="19"/>
  <c r="AB158" i="19"/>
  <c r="V126" i="19"/>
  <c r="W126" i="19" s="1"/>
  <c r="V108" i="19"/>
  <c r="W108" i="19" s="1"/>
  <c r="V19" i="19"/>
  <c r="W19" i="19" s="1"/>
  <c r="AC219" i="19"/>
  <c r="AB219" i="19"/>
  <c r="AC211" i="19"/>
  <c r="AB211" i="19"/>
  <c r="AC203" i="19"/>
  <c r="AB203" i="19"/>
  <c r="AC195" i="19"/>
  <c r="AB195" i="19"/>
  <c r="AC187" i="19"/>
  <c r="AB187" i="19"/>
  <c r="AC179" i="19"/>
  <c r="AB179" i="19"/>
  <c r="AC171" i="19"/>
  <c r="AB171" i="19"/>
  <c r="AC163" i="19"/>
  <c r="AB163" i="19"/>
  <c r="AB210" i="2"/>
  <c r="AF210" i="2" s="1"/>
  <c r="F215" i="19"/>
  <c r="Z192" i="19"/>
  <c r="Z186" i="19"/>
  <c r="AB194" i="19"/>
  <c r="AB178" i="19"/>
  <c r="AF87" i="2"/>
  <c r="L14" i="20" s="1"/>
  <c r="AK5" i="20"/>
  <c r="AC159" i="19"/>
  <c r="AB159" i="19"/>
  <c r="F174" i="19"/>
  <c r="F209" i="19"/>
  <c r="F216" i="19"/>
  <c r="F66" i="19"/>
  <c r="Z31" i="19"/>
  <c r="Z120" i="19"/>
  <c r="F136" i="19"/>
  <c r="F98" i="19"/>
  <c r="V114" i="19"/>
  <c r="W114" i="19" s="1"/>
  <c r="V97" i="19"/>
  <c r="W97" i="19" s="1"/>
  <c r="K179" i="2"/>
  <c r="AB214" i="19"/>
  <c r="AC214" i="19"/>
  <c r="AC210" i="19"/>
  <c r="AF210" i="19"/>
  <c r="AC210" i="2"/>
  <c r="AC206" i="19"/>
  <c r="AB206" i="19"/>
  <c r="AC198" i="19"/>
  <c r="AC198" i="2"/>
  <c r="AB198" i="19"/>
  <c r="AC190" i="19"/>
  <c r="AB190" i="19"/>
  <c r="AC186" i="19"/>
  <c r="AB186" i="2"/>
  <c r="AF186" i="2" s="1"/>
  <c r="L28" i="20" s="1"/>
  <c r="AC182" i="19"/>
  <c r="AB182" i="19"/>
  <c r="AC174" i="19"/>
  <c r="AF174" i="19"/>
  <c r="AL26" i="20" s="1"/>
  <c r="AC174" i="2"/>
  <c r="AB174" i="19"/>
  <c r="AC166" i="19"/>
  <c r="AB166" i="19"/>
  <c r="AC162" i="19"/>
  <c r="AF162" i="19"/>
  <c r="AC162" i="2"/>
  <c r="G9" i="2"/>
  <c r="H9" i="2" s="1"/>
  <c r="AB162" i="2"/>
  <c r="AF162" i="2" s="1"/>
  <c r="F196" i="19"/>
  <c r="F188" i="19"/>
  <c r="F183" i="19"/>
  <c r="F167" i="19"/>
  <c r="F165" i="19"/>
  <c r="F163" i="19"/>
  <c r="Z174" i="19"/>
  <c r="Z168" i="19"/>
  <c r="Z162" i="19"/>
  <c r="AB207" i="19"/>
  <c r="AB191" i="19"/>
  <c r="AB175" i="19"/>
  <c r="AC220" i="19"/>
  <c r="AD216" i="19"/>
  <c r="AD180" i="19"/>
  <c r="AD162" i="19"/>
  <c r="Z67" i="19"/>
  <c r="Z132" i="19"/>
  <c r="V138" i="19"/>
  <c r="W138" i="19" s="1"/>
  <c r="V132" i="19"/>
  <c r="W132" i="19" s="1"/>
  <c r="AQ7" i="1"/>
  <c r="AC9" i="19"/>
  <c r="AC217" i="19"/>
  <c r="AB217" i="19"/>
  <c r="AC213" i="19"/>
  <c r="AB213" i="19"/>
  <c r="AC209" i="19"/>
  <c r="AB209" i="19"/>
  <c r="AC205" i="19"/>
  <c r="AB205" i="19"/>
  <c r="AC201" i="19"/>
  <c r="AB201" i="19"/>
  <c r="AC197" i="19"/>
  <c r="AB197" i="19"/>
  <c r="AC193" i="19"/>
  <c r="AB193" i="19"/>
  <c r="AC189" i="19"/>
  <c r="AB189" i="19"/>
  <c r="AC185" i="19"/>
  <c r="AB185" i="19"/>
  <c r="AC181" i="19"/>
  <c r="AB181" i="19"/>
  <c r="AC177" i="19"/>
  <c r="AB177" i="19"/>
  <c r="AC173" i="19"/>
  <c r="AB173" i="19"/>
  <c r="AC169" i="19"/>
  <c r="AB169" i="19"/>
  <c r="AC165" i="19"/>
  <c r="AB165" i="19"/>
  <c r="AC161" i="19"/>
  <c r="AB161" i="19"/>
  <c r="F203" i="19"/>
  <c r="F190" i="19"/>
  <c r="F172" i="19"/>
  <c r="Z156" i="19"/>
  <c r="AF79" i="2"/>
  <c r="L13" i="20" s="1"/>
  <c r="AK14" i="20"/>
  <c r="AK18" i="20"/>
  <c r="Z43" i="19"/>
  <c r="Z79" i="19"/>
  <c r="F148" i="19"/>
  <c r="Z126" i="19"/>
  <c r="Z91" i="19"/>
  <c r="Z87" i="19"/>
  <c r="Z49" i="19"/>
  <c r="AD29" i="20"/>
  <c r="AC216" i="19"/>
  <c r="AB216" i="19"/>
  <c r="AB216" i="2"/>
  <c r="AF216" i="2" s="1"/>
  <c r="L32" i="20" s="1"/>
  <c r="AC216" i="2"/>
  <c r="AF216" i="19"/>
  <c r="AL32" i="20" s="1"/>
  <c r="AC212" i="19"/>
  <c r="AB212" i="19"/>
  <c r="AC208" i="19"/>
  <c r="AB208" i="19"/>
  <c r="AF204" i="19"/>
  <c r="AB204" i="19"/>
  <c r="AB204" i="2"/>
  <c r="AF204" i="2" s="1"/>
  <c r="AC204" i="19"/>
  <c r="AC200" i="19"/>
  <c r="AB200" i="19"/>
  <c r="AC196" i="19"/>
  <c r="AB196" i="19"/>
  <c r="AF192" i="19"/>
  <c r="AL29" i="20" s="1"/>
  <c r="AB192" i="19"/>
  <c r="AB192" i="2"/>
  <c r="AF192" i="2" s="1"/>
  <c r="L29" i="20" s="1"/>
  <c r="AC192" i="2"/>
  <c r="AC188" i="19"/>
  <c r="AB188" i="19"/>
  <c r="AC184" i="19"/>
  <c r="AB184" i="19"/>
  <c r="AF180" i="19"/>
  <c r="AL27" i="20" s="1"/>
  <c r="AB180" i="19"/>
  <c r="AB180" i="2"/>
  <c r="AF180" i="2" s="1"/>
  <c r="L27" i="20" s="1"/>
  <c r="AC180" i="19"/>
  <c r="AB176" i="19"/>
  <c r="AC176" i="19"/>
  <c r="AC172" i="19"/>
  <c r="AB172" i="19"/>
  <c r="AB168" i="19"/>
  <c r="AC168" i="2"/>
  <c r="AD168" i="19"/>
  <c r="AB164" i="19"/>
  <c r="AC164" i="19"/>
  <c r="AC160" i="19"/>
  <c r="AB160" i="19"/>
  <c r="K10" i="2"/>
  <c r="L10" i="2" s="1"/>
  <c r="AC180" i="2"/>
  <c r="AB198" i="2"/>
  <c r="AF198" i="2" s="1"/>
  <c r="L30" i="20" s="1"/>
  <c r="AF168" i="2"/>
  <c r="F159" i="19"/>
  <c r="F205" i="19"/>
  <c r="F197" i="19"/>
  <c r="AB215" i="19"/>
  <c r="AB199" i="19"/>
  <c r="AB183" i="19"/>
  <c r="AB167" i="19"/>
  <c r="F12" i="19"/>
  <c r="F84" i="19"/>
  <c r="AD204" i="19"/>
  <c r="AF186" i="19"/>
  <c r="AL28" i="20" s="1"/>
  <c r="AF168" i="19"/>
  <c r="AL25" i="20" s="1"/>
  <c r="Z210" i="19"/>
  <c r="Z198" i="19"/>
  <c r="F86" i="19"/>
  <c r="F37" i="19"/>
  <c r="F114" i="19"/>
  <c r="AE114" i="19" s="1"/>
  <c r="AM18" i="20" s="1"/>
  <c r="M8" i="19"/>
  <c r="O134" i="19" s="1"/>
  <c r="Z5" i="2"/>
  <c r="F210" i="19"/>
  <c r="AE210" i="19" s="1"/>
  <c r="N162" i="19"/>
  <c r="I162" i="19" s="1"/>
  <c r="F220" i="19"/>
  <c r="F207" i="19"/>
  <c r="F171" i="19"/>
  <c r="F160" i="19"/>
  <c r="Z216" i="19"/>
  <c r="V216" i="19"/>
  <c r="W216" i="19" s="1"/>
  <c r="F18" i="19"/>
  <c r="F42" i="19"/>
  <c r="F78" i="19"/>
  <c r="AF174" i="2"/>
  <c r="L26" i="20" s="1"/>
  <c r="F217" i="19"/>
  <c r="F214" i="19"/>
  <c r="F200" i="19"/>
  <c r="F193" i="19"/>
  <c r="F179" i="19"/>
  <c r="F177" i="19"/>
  <c r="F175" i="19"/>
  <c r="Z180" i="19"/>
  <c r="V174" i="19"/>
  <c r="W174" i="19" s="1"/>
  <c r="F24" i="19"/>
  <c r="AD210" i="19"/>
  <c r="AD198" i="19"/>
  <c r="AD186" i="19"/>
  <c r="F132" i="19"/>
  <c r="F144" i="19"/>
  <c r="AE144" i="19" s="1"/>
  <c r="AM22" i="20" s="1"/>
  <c r="F156" i="19"/>
  <c r="AE156" i="19" s="1"/>
  <c r="AM24" i="20" s="1"/>
  <c r="F206" i="19"/>
  <c r="F178" i="19"/>
  <c r="Z204" i="19"/>
  <c r="V198" i="19"/>
  <c r="W198" i="19" s="1"/>
  <c r="F90" i="19"/>
  <c r="AD174" i="19"/>
  <c r="I22" i="2"/>
  <c r="D5" i="20"/>
  <c r="I50" i="2"/>
  <c r="D9" i="20"/>
  <c r="I78" i="2"/>
  <c r="D13" i="20"/>
  <c r="I106" i="2"/>
  <c r="D17" i="20"/>
  <c r="I134" i="2"/>
  <c r="D21" i="20"/>
  <c r="I155" i="2"/>
  <c r="D24" i="20"/>
  <c r="I183" i="2"/>
  <c r="D28" i="20"/>
  <c r="F120" i="19"/>
  <c r="AE120" i="19" s="1"/>
  <c r="F168" i="19"/>
  <c r="F192" i="19"/>
  <c r="N210" i="19"/>
  <c r="I210" i="19" s="1"/>
  <c r="N73" i="19"/>
  <c r="I73" i="19" s="1"/>
  <c r="N47" i="19"/>
  <c r="I47" i="19" s="1"/>
  <c r="F19" i="19"/>
  <c r="F79" i="19"/>
  <c r="F87" i="19"/>
  <c r="F108" i="19"/>
  <c r="F150" i="19"/>
  <c r="AE150" i="19" s="1"/>
  <c r="AM23" i="20" s="1"/>
  <c r="F198" i="19"/>
  <c r="AE198" i="19" s="1"/>
  <c r="AM30" i="20" s="1"/>
  <c r="N114" i="19"/>
  <c r="I114" i="19" s="1"/>
  <c r="N102" i="19"/>
  <c r="I102" i="19" s="1"/>
  <c r="N97" i="19"/>
  <c r="I97" i="19" s="1"/>
  <c r="N12" i="19"/>
  <c r="I12" i="19" s="1"/>
  <c r="E15" i="20"/>
  <c r="AB4" i="20"/>
  <c r="B13" i="20"/>
  <c r="B33" i="20"/>
  <c r="B37" i="20"/>
  <c r="F13" i="19"/>
  <c r="F55" i="19"/>
  <c r="F67" i="19"/>
  <c r="F91" i="19"/>
  <c r="F85" i="19"/>
  <c r="F186" i="19"/>
  <c r="N173" i="19"/>
  <c r="I173" i="19" s="1"/>
  <c r="AB5" i="20"/>
  <c r="B5" i="20"/>
  <c r="B46" i="20"/>
  <c r="B36" i="20"/>
  <c r="K104" i="2"/>
  <c r="K105" i="2"/>
  <c r="K102" i="2"/>
  <c r="K103" i="2"/>
  <c r="G15" i="2"/>
  <c r="H15" i="2" s="1"/>
  <c r="G17" i="2"/>
  <c r="H17" i="2" s="1"/>
  <c r="G76" i="2"/>
  <c r="H76" i="2" s="1"/>
  <c r="G74" i="2"/>
  <c r="H74" i="2" s="1"/>
  <c r="F66" i="2"/>
  <c r="G66" i="2" s="1"/>
  <c r="H66" i="2" s="1"/>
  <c r="F84" i="2"/>
  <c r="G84" i="2" s="1"/>
  <c r="H84" i="2" s="1"/>
  <c r="J62" i="2"/>
  <c r="F129" i="2"/>
  <c r="G129" i="2" s="1"/>
  <c r="H129" i="2" s="1"/>
  <c r="K48" i="2"/>
  <c r="G109" i="2"/>
  <c r="H109" i="2" s="1"/>
  <c r="G160" i="2"/>
  <c r="H160" i="2" s="1"/>
  <c r="G158" i="2"/>
  <c r="H158" i="2" s="1"/>
  <c r="G159" i="2"/>
  <c r="H159" i="2" s="1"/>
  <c r="G110" i="2"/>
  <c r="H110" i="2" s="1"/>
  <c r="K58" i="2"/>
  <c r="L58" i="2" s="1"/>
  <c r="K93" i="2"/>
  <c r="L93" i="2" s="1"/>
  <c r="K57" i="2"/>
  <c r="L57" i="2" s="1"/>
  <c r="K127" i="2"/>
  <c r="L127" i="2" s="1"/>
  <c r="K141" i="2"/>
  <c r="L141" i="2" s="1"/>
  <c r="AF138" i="2"/>
  <c r="L21" i="20" s="1"/>
  <c r="AD5" i="20"/>
  <c r="F22" i="19"/>
  <c r="AD14" i="20"/>
  <c r="AD156" i="19"/>
  <c r="AD24" i="20"/>
  <c r="F6" i="20"/>
  <c r="AF6" i="20"/>
  <c r="F10" i="20"/>
  <c r="F14" i="20"/>
  <c r="AF14" i="20"/>
  <c r="F18" i="20"/>
  <c r="AF18" i="20"/>
  <c r="F22" i="20"/>
  <c r="AF22" i="20"/>
  <c r="F26" i="20"/>
  <c r="AF26" i="20"/>
  <c r="F30" i="20"/>
  <c r="AF30" i="20"/>
  <c r="O212" i="2"/>
  <c r="O103" i="2"/>
  <c r="F80" i="2"/>
  <c r="O66" i="2"/>
  <c r="P63" i="2" s="1"/>
  <c r="Q63" i="2" s="1"/>
  <c r="O26" i="2"/>
  <c r="F131" i="19"/>
  <c r="AE132" i="19" s="1"/>
  <c r="AM20" i="20" s="1"/>
  <c r="AD18" i="20"/>
  <c r="AD28" i="20"/>
  <c r="O182" i="19"/>
  <c r="AD27" i="20"/>
  <c r="F166" i="19"/>
  <c r="O176" i="2"/>
  <c r="O127" i="2"/>
  <c r="F89" i="19"/>
  <c r="AD20" i="20"/>
  <c r="F26" i="19"/>
  <c r="O155" i="19"/>
  <c r="AD31" i="20"/>
  <c r="O199" i="19"/>
  <c r="AD30" i="20"/>
  <c r="AF10" i="20"/>
  <c r="F191" i="2"/>
  <c r="AD21" i="20"/>
  <c r="AD8" i="20"/>
  <c r="AD16" i="20"/>
  <c r="AD13" i="20"/>
  <c r="AD11" i="20"/>
  <c r="AD19" i="20"/>
  <c r="F54" i="19"/>
  <c r="AD9" i="20"/>
  <c r="O191" i="19"/>
  <c r="F191" i="19"/>
  <c r="AD192" i="19"/>
  <c r="O81" i="2"/>
  <c r="O18" i="2"/>
  <c r="P17" i="2" s="1"/>
  <c r="Q17" i="2" s="1"/>
  <c r="F219" i="19"/>
  <c r="F212" i="19"/>
  <c r="F208" i="19"/>
  <c r="F201" i="19"/>
  <c r="F184" i="19"/>
  <c r="F182" i="19"/>
  <c r="V168" i="19"/>
  <c r="W168" i="19" s="1"/>
  <c r="F195" i="19"/>
  <c r="V192" i="19"/>
  <c r="W192" i="19" s="1"/>
  <c r="F170" i="19"/>
  <c r="AF3" i="20"/>
  <c r="F7" i="20"/>
  <c r="F11" i="20"/>
  <c r="F15" i="20"/>
  <c r="F19" i="20"/>
  <c r="F23" i="20"/>
  <c r="F27" i="20"/>
  <c r="F31" i="20"/>
  <c r="AF32" i="20"/>
  <c r="K33" i="20"/>
  <c r="N198" i="19"/>
  <c r="I198" i="19" s="1"/>
  <c r="N85" i="19"/>
  <c r="I85" i="19" s="1"/>
  <c r="E30" i="20"/>
  <c r="AB6" i="20"/>
  <c r="AB42" i="20"/>
  <c r="AB39" i="20"/>
  <c r="F25" i="19"/>
  <c r="AE25" i="19" s="1"/>
  <c r="AM5" i="20" s="1"/>
  <c r="F43" i="19"/>
  <c r="AE43" i="19" s="1"/>
  <c r="F61" i="19"/>
  <c r="AE61" i="19" s="1"/>
  <c r="AM10" i="20" s="1"/>
  <c r="F126" i="19"/>
  <c r="F138" i="19"/>
  <c r="AE138" i="19" s="1"/>
  <c r="AM21" i="20" s="1"/>
  <c r="F162" i="19"/>
  <c r="F180" i="19"/>
  <c r="F204" i="19"/>
  <c r="AE204" i="19" s="1"/>
  <c r="N150" i="19"/>
  <c r="I150" i="19" s="1"/>
  <c r="N138" i="19"/>
  <c r="I138" i="19" s="1"/>
  <c r="N25" i="19"/>
  <c r="I25" i="19" s="1"/>
  <c r="AB44" i="20"/>
  <c r="AB36" i="20"/>
  <c r="AB34" i="20"/>
  <c r="F176" i="19"/>
  <c r="F173" i="19"/>
  <c r="F164" i="19"/>
  <c r="F161" i="19"/>
  <c r="AE162" i="19" s="1"/>
  <c r="V156" i="19"/>
  <c r="W156" i="19" s="1"/>
  <c r="V162" i="19"/>
  <c r="W162" i="19" s="1"/>
  <c r="F5" i="20"/>
  <c r="F9" i="20"/>
  <c r="F13" i="20"/>
  <c r="F17" i="20"/>
  <c r="F21" i="20"/>
  <c r="F25" i="20"/>
  <c r="F29" i="20"/>
  <c r="AB43" i="20"/>
  <c r="AB38" i="20"/>
  <c r="AB35" i="20"/>
  <c r="AB46" i="20"/>
  <c r="F218" i="19"/>
  <c r="F213" i="19"/>
  <c r="F211" i="19"/>
  <c r="F202" i="19"/>
  <c r="F194" i="19"/>
  <c r="F189" i="19"/>
  <c r="F187" i="19"/>
  <c r="F181" i="19"/>
  <c r="F169" i="19"/>
  <c r="V204" i="19"/>
  <c r="W204" i="19" s="1"/>
  <c r="V180" i="19"/>
  <c r="W180" i="19" s="1"/>
  <c r="F4" i="20"/>
  <c r="F8" i="20"/>
  <c r="F12" i="20"/>
  <c r="F16" i="20"/>
  <c r="F20" i="20"/>
  <c r="F24" i="20"/>
  <c r="F28" i="20"/>
  <c r="F32" i="20"/>
  <c r="F31" i="19"/>
  <c r="AE31" i="19" s="1"/>
  <c r="AM6" i="20" s="1"/>
  <c r="F49" i="19"/>
  <c r="AE49" i="19" s="1"/>
  <c r="F97" i="19"/>
  <c r="AE97" i="19" s="1"/>
  <c r="AM15" i="20" s="1"/>
  <c r="N186" i="19"/>
  <c r="I186" i="19" s="1"/>
  <c r="N126" i="19"/>
  <c r="I126" i="19" s="1"/>
  <c r="N61" i="19"/>
  <c r="I61" i="19" s="1"/>
  <c r="B8" i="19"/>
  <c r="C174" i="19" s="1"/>
  <c r="AB40" i="20"/>
  <c r="K72" i="2"/>
  <c r="L72" i="2" s="1"/>
  <c r="K73" i="2"/>
  <c r="L73" i="2" s="1"/>
  <c r="K71" i="2"/>
  <c r="L71" i="2" s="1"/>
  <c r="K74" i="2"/>
  <c r="L74" i="2" s="1"/>
  <c r="K75" i="2"/>
  <c r="L75" i="2" s="1"/>
  <c r="K76" i="2"/>
  <c r="K77" i="2"/>
  <c r="J146" i="2"/>
  <c r="J140" i="2"/>
  <c r="K140" i="2" s="1"/>
  <c r="L140" i="2" s="1"/>
  <c r="K81" i="2"/>
  <c r="L81" i="2" s="1"/>
  <c r="J35" i="2"/>
  <c r="K35" i="2" s="1"/>
  <c r="L35" i="2" s="1"/>
  <c r="G75" i="2"/>
  <c r="H75" i="2" s="1"/>
  <c r="K117" i="2"/>
  <c r="L117" i="2" s="1"/>
  <c r="G77" i="2"/>
  <c r="H77" i="2" s="1"/>
  <c r="K119" i="2"/>
  <c r="L119" i="2" s="1"/>
  <c r="G24" i="2"/>
  <c r="H24" i="2" s="1"/>
  <c r="F142" i="2"/>
  <c r="G142" i="2" s="1"/>
  <c r="H142" i="2" s="1"/>
  <c r="K20" i="2"/>
  <c r="L20" i="2" s="1"/>
  <c r="G99" i="2"/>
  <c r="H99" i="2" s="1"/>
  <c r="G100" i="2"/>
  <c r="H100" i="2" s="1"/>
  <c r="G16" i="2"/>
  <c r="H16" i="2" s="1"/>
  <c r="K175" i="2"/>
  <c r="L175" i="2" s="1"/>
  <c r="F195" i="2"/>
  <c r="J215" i="2"/>
  <c r="J188" i="2"/>
  <c r="J209" i="2"/>
  <c r="F203" i="2"/>
  <c r="G203" i="2" s="1"/>
  <c r="H203" i="2" s="1"/>
  <c r="J196" i="2"/>
  <c r="K194" i="2" s="1"/>
  <c r="L194" i="2" s="1"/>
  <c r="J199" i="2"/>
  <c r="K198" i="2" s="1"/>
  <c r="L198" i="2" s="1"/>
  <c r="F185" i="2"/>
  <c r="G185" i="2" s="1"/>
  <c r="H185" i="2" s="1"/>
  <c r="J206" i="2"/>
  <c r="K206" i="2" s="1"/>
  <c r="L206" i="2" s="1"/>
  <c r="G177" i="2"/>
  <c r="H177" i="2" s="1"/>
  <c r="K181" i="2"/>
  <c r="L181" i="2" s="1"/>
  <c r="K180" i="2"/>
  <c r="G176" i="2"/>
  <c r="H176" i="2" s="1"/>
  <c r="F171" i="2"/>
  <c r="G170" i="2" s="1"/>
  <c r="H170" i="2" s="1"/>
  <c r="AF33" i="20"/>
  <c r="F33" i="20"/>
  <c r="O187" i="19"/>
  <c r="AD33" i="20"/>
  <c r="F199" i="19"/>
  <c r="AF5" i="20"/>
  <c r="AF9" i="20"/>
  <c r="AF13" i="20"/>
  <c r="AF17" i="20"/>
  <c r="AF21" i="20"/>
  <c r="AF25" i="20"/>
  <c r="AF29" i="20"/>
  <c r="F3" i="20"/>
  <c r="O158" i="2"/>
  <c r="O134" i="2"/>
  <c r="O90" i="2"/>
  <c r="P87" i="2" s="1"/>
  <c r="Q87" i="2" s="1"/>
  <c r="O57" i="2"/>
  <c r="AF7" i="20"/>
  <c r="AF11" i="20"/>
  <c r="AF15" i="20"/>
  <c r="AF19" i="20"/>
  <c r="AF23" i="20"/>
  <c r="AF27" i="20"/>
  <c r="AF31" i="20"/>
  <c r="O206" i="2"/>
  <c r="O100" i="2"/>
  <c r="O69" i="2"/>
  <c r="O23" i="2"/>
  <c r="AK33" i="20"/>
  <c r="AF4" i="20"/>
  <c r="AF8" i="20"/>
  <c r="AF12" i="20"/>
  <c r="AF16" i="20"/>
  <c r="AF20" i="20"/>
  <c r="AF24" i="20"/>
  <c r="AF28" i="20"/>
  <c r="B8" i="2"/>
  <c r="O182" i="2"/>
  <c r="O110" i="2"/>
  <c r="O33" i="2"/>
  <c r="O217" i="2"/>
  <c r="O193" i="2"/>
  <c r="O169" i="2"/>
  <c r="O145" i="2"/>
  <c r="O121" i="2"/>
  <c r="O92" i="2"/>
  <c r="O86" i="2"/>
  <c r="P86" i="2" s="1"/>
  <c r="Q86" i="2" s="1"/>
  <c r="O44" i="2"/>
  <c r="P13" i="2"/>
  <c r="Q13" i="2" s="1"/>
  <c r="F188" i="2"/>
  <c r="F181" i="2"/>
  <c r="S145" i="2"/>
  <c r="S92" i="2"/>
  <c r="S211" i="2"/>
  <c r="S205" i="2"/>
  <c r="F175" i="2"/>
  <c r="G174" i="2" s="1"/>
  <c r="H174" i="2" s="1"/>
  <c r="S139" i="2"/>
  <c r="P150" i="2"/>
  <c r="Q150" i="2" s="1"/>
  <c r="S187" i="2"/>
  <c r="S127" i="2"/>
  <c r="F217" i="2"/>
  <c r="S194" i="2"/>
  <c r="S181" i="2"/>
  <c r="S175" i="2"/>
  <c r="S163" i="2"/>
  <c r="F133" i="2"/>
  <c r="G132" i="2" s="1"/>
  <c r="H132" i="2" s="1"/>
  <c r="S121" i="2"/>
  <c r="T120" i="2" s="1"/>
  <c r="U120" i="2" s="1"/>
  <c r="S86" i="2"/>
  <c r="T85" i="2" s="1"/>
  <c r="U85" i="2" s="1"/>
  <c r="F157" i="2"/>
  <c r="G156" i="2" s="1"/>
  <c r="H156" i="2" s="1"/>
  <c r="S109" i="2"/>
  <c r="F27" i="2"/>
  <c r="S20" i="2"/>
  <c r="S68" i="2"/>
  <c r="S14" i="2"/>
  <c r="S62" i="2"/>
  <c r="S44" i="2"/>
  <c r="F38" i="2"/>
  <c r="G37" i="2" s="1"/>
  <c r="H37" i="2" s="1"/>
  <c r="S26" i="2"/>
  <c r="G67" i="2"/>
  <c r="H67" i="2" s="1"/>
  <c r="E31" i="20"/>
  <c r="F102" i="19"/>
  <c r="AE102" i="19" s="1"/>
  <c r="AM16" i="20" s="1"/>
  <c r="AB45" i="20"/>
  <c r="AB41" i="20"/>
  <c r="AB37" i="20"/>
  <c r="AB33" i="20"/>
  <c r="B43" i="20"/>
  <c r="B39" i="20"/>
  <c r="B35" i="20"/>
  <c r="K18" i="2" l="1"/>
  <c r="L18" i="2" s="1"/>
  <c r="K43" i="2"/>
  <c r="L43" i="2" s="1"/>
  <c r="K169" i="2"/>
  <c r="L169" i="2" s="1"/>
  <c r="AE186" i="19"/>
  <c r="AM28" i="20" s="1"/>
  <c r="K64" i="2"/>
  <c r="L64" i="2" s="1"/>
  <c r="AK23" i="20"/>
  <c r="C186" i="19"/>
  <c r="K19" i="2"/>
  <c r="L19" i="2" s="1"/>
  <c r="K25" i="2"/>
  <c r="L25" i="2" s="1"/>
  <c r="K37" i="2"/>
  <c r="L37" i="2" s="1"/>
  <c r="K170" i="2"/>
  <c r="L170" i="2" s="1"/>
  <c r="L25" i="20"/>
  <c r="AK3" i="20"/>
  <c r="K65" i="2"/>
  <c r="L65" i="2" s="1"/>
  <c r="J101" i="2"/>
  <c r="K101" i="2" s="1"/>
  <c r="L101" i="2" s="1"/>
  <c r="K100" i="2"/>
  <c r="L100" i="2" s="1"/>
  <c r="K190" i="2"/>
  <c r="L190" i="2" s="1"/>
  <c r="K36" i="2"/>
  <c r="L36" i="2" s="1"/>
  <c r="K191" i="2"/>
  <c r="L191" i="2" s="1"/>
  <c r="K82" i="2"/>
  <c r="L82" i="2" s="1"/>
  <c r="K27" i="2"/>
  <c r="L27" i="2" s="1"/>
  <c r="AE180" i="19"/>
  <c r="AM27" i="20" s="1"/>
  <c r="K55" i="2"/>
  <c r="L55" i="2" s="1"/>
  <c r="K113" i="2"/>
  <c r="L113" i="2" s="1"/>
  <c r="K99" i="2"/>
  <c r="L99" i="2" s="1"/>
  <c r="AM31" i="20"/>
  <c r="G23" i="2"/>
  <c r="H23" i="2" s="1"/>
  <c r="K33" i="2"/>
  <c r="L33" i="2" s="1"/>
  <c r="K83" i="2"/>
  <c r="L83" i="2" s="1"/>
  <c r="K26" i="2"/>
  <c r="L26" i="2" s="1"/>
  <c r="G33" i="2"/>
  <c r="H33" i="2" s="1"/>
  <c r="K54" i="2"/>
  <c r="L54" i="2" s="1"/>
  <c r="AE108" i="19"/>
  <c r="AM17" i="20" s="1"/>
  <c r="AK10" i="20"/>
  <c r="O117" i="2"/>
  <c r="M39" i="2"/>
  <c r="E7" i="20" s="1"/>
  <c r="J39" i="2"/>
  <c r="J40" i="2" s="1"/>
  <c r="J41" i="2" s="1"/>
  <c r="J42" i="2" s="1"/>
  <c r="K42" i="2" s="1"/>
  <c r="L42" i="2" s="1"/>
  <c r="J13" i="2"/>
  <c r="F45" i="2"/>
  <c r="G44" i="2"/>
  <c r="H44" i="2" s="1"/>
  <c r="C114" i="19"/>
  <c r="AH18" i="20" s="1"/>
  <c r="K172" i="2"/>
  <c r="L172" i="2" s="1"/>
  <c r="K173" i="2"/>
  <c r="L173" i="2" s="1"/>
  <c r="AE126" i="19"/>
  <c r="O115" i="19"/>
  <c r="M151" i="2"/>
  <c r="E23" i="20" s="1"/>
  <c r="J151" i="2"/>
  <c r="K174" i="2"/>
  <c r="L174" i="2" s="1"/>
  <c r="AE37" i="19"/>
  <c r="AM7" i="20" s="1"/>
  <c r="G151" i="2"/>
  <c r="H151" i="2" s="1"/>
  <c r="J68" i="2"/>
  <c r="M123" i="2"/>
  <c r="E19" i="20" s="1"/>
  <c r="J123" i="2"/>
  <c r="J124" i="2" s="1"/>
  <c r="J125" i="2" s="1"/>
  <c r="J126" i="2" s="1"/>
  <c r="K125" i="2" s="1"/>
  <c r="L125" i="2" s="1"/>
  <c r="M15" i="2"/>
  <c r="E4" i="20" s="1"/>
  <c r="J15" i="2"/>
  <c r="C132" i="19"/>
  <c r="AH20" i="20" s="1"/>
  <c r="C204" i="19"/>
  <c r="C168" i="19"/>
  <c r="F47" i="2"/>
  <c r="F164" i="2"/>
  <c r="G163" i="2" s="1"/>
  <c r="H163" i="2" s="1"/>
  <c r="J111" i="2"/>
  <c r="G35" i="2"/>
  <c r="H35" i="2" s="1"/>
  <c r="G32" i="2"/>
  <c r="H32" i="2" s="1"/>
  <c r="G57" i="2"/>
  <c r="H57" i="2" s="1"/>
  <c r="G58" i="2"/>
  <c r="H58" i="2" s="1"/>
  <c r="F54" i="2"/>
  <c r="C216" i="19"/>
  <c r="AH32" i="20" s="1"/>
  <c r="C192" i="19"/>
  <c r="C138" i="19"/>
  <c r="AH21" i="20" s="1"/>
  <c r="C198" i="19"/>
  <c r="F30" i="2"/>
  <c r="F114" i="2"/>
  <c r="G94" i="2"/>
  <c r="H94" i="2" s="1"/>
  <c r="G92" i="2"/>
  <c r="H92" i="2" s="1"/>
  <c r="O164" i="19"/>
  <c r="O148" i="19"/>
  <c r="O94" i="19"/>
  <c r="O145" i="19"/>
  <c r="O58" i="19"/>
  <c r="O189" i="2"/>
  <c r="J178" i="2"/>
  <c r="K178" i="2" s="1"/>
  <c r="L178" i="2" s="1"/>
  <c r="K167" i="2"/>
  <c r="L167" i="2" s="1"/>
  <c r="O123" i="19"/>
  <c r="O83" i="19"/>
  <c r="O47" i="19"/>
  <c r="O166" i="19"/>
  <c r="G127" i="2"/>
  <c r="H127" i="2" s="1"/>
  <c r="G152" i="2"/>
  <c r="H152" i="2" s="1"/>
  <c r="L102" i="2"/>
  <c r="O213" i="19"/>
  <c r="O140" i="19"/>
  <c r="O71" i="19"/>
  <c r="O118" i="19"/>
  <c r="O80" i="19"/>
  <c r="O46" i="19"/>
  <c r="O63" i="19"/>
  <c r="AE85" i="19"/>
  <c r="O112" i="19"/>
  <c r="O36" i="19"/>
  <c r="O96" i="19"/>
  <c r="O141" i="19"/>
  <c r="O50" i="19"/>
  <c r="O74" i="19"/>
  <c r="AK30" i="20"/>
  <c r="AL31" i="20"/>
  <c r="O70" i="19"/>
  <c r="O11" i="19"/>
  <c r="AK20" i="20"/>
  <c r="AK16" i="20"/>
  <c r="AK7" i="20"/>
  <c r="O140" i="2"/>
  <c r="O52" i="2"/>
  <c r="O200" i="2"/>
  <c r="O82" i="19"/>
  <c r="O113" i="19"/>
  <c r="O153" i="19"/>
  <c r="O158" i="19"/>
  <c r="O48" i="19"/>
  <c r="L31" i="20"/>
  <c r="O26" i="19"/>
  <c r="O184" i="19"/>
  <c r="O22" i="19"/>
  <c r="O59" i="19"/>
  <c r="O151" i="19"/>
  <c r="O212" i="19"/>
  <c r="O139" i="19"/>
  <c r="O21" i="19"/>
  <c r="O99" i="19"/>
  <c r="O116" i="19"/>
  <c r="O10" i="19"/>
  <c r="O98" i="19"/>
  <c r="O193" i="19"/>
  <c r="O29" i="19"/>
  <c r="O14" i="19"/>
  <c r="AK26" i="20"/>
  <c r="AK29" i="20"/>
  <c r="O33" i="19"/>
  <c r="O76" i="19"/>
  <c r="O57" i="19"/>
  <c r="AK15" i="20"/>
  <c r="AK13" i="20"/>
  <c r="AK11" i="20"/>
  <c r="F124" i="2"/>
  <c r="O41" i="2"/>
  <c r="O175" i="19"/>
  <c r="O72" i="19"/>
  <c r="O154" i="19"/>
  <c r="O15" i="19"/>
  <c r="G204" i="2"/>
  <c r="H204" i="2" s="1"/>
  <c r="G200" i="2"/>
  <c r="H200" i="2" s="1"/>
  <c r="O207" i="19"/>
  <c r="O54" i="19"/>
  <c r="O64" i="19"/>
  <c r="O104" i="19"/>
  <c r="O136" i="19"/>
  <c r="O208" i="19"/>
  <c r="O89" i="19"/>
  <c r="L104" i="2"/>
  <c r="O28" i="19"/>
  <c r="O9" i="19"/>
  <c r="O65" i="19"/>
  <c r="O137" i="19"/>
  <c r="O130" i="19"/>
  <c r="AE87" i="19"/>
  <c r="O73" i="19"/>
  <c r="O44" i="19"/>
  <c r="O23" i="19"/>
  <c r="O95" i="19"/>
  <c r="O131" i="19"/>
  <c r="O93" i="19"/>
  <c r="O88" i="19"/>
  <c r="AK22" i="20"/>
  <c r="AK21" i="20"/>
  <c r="F89" i="2"/>
  <c r="F168" i="2"/>
  <c r="G165" i="2" s="1"/>
  <c r="H165" i="2" s="1"/>
  <c r="G167" i="2"/>
  <c r="H167" i="2" s="1"/>
  <c r="G205" i="2"/>
  <c r="H205" i="2" s="1"/>
  <c r="O165" i="2"/>
  <c r="F209" i="2"/>
  <c r="S34" i="2"/>
  <c r="M183" i="2"/>
  <c r="E28" i="20" s="1"/>
  <c r="J183" i="2"/>
  <c r="M134" i="2"/>
  <c r="E21" i="20" s="1"/>
  <c r="J134" i="2"/>
  <c r="M78" i="2"/>
  <c r="E13" i="20" s="1"/>
  <c r="J78" i="2"/>
  <c r="M22" i="2"/>
  <c r="E5" i="20" s="1"/>
  <c r="J22" i="2"/>
  <c r="J23" i="2" s="1"/>
  <c r="J24" i="2" s="1"/>
  <c r="K23" i="2" s="1"/>
  <c r="L23" i="2" s="1"/>
  <c r="G136" i="2"/>
  <c r="H136" i="2" s="1"/>
  <c r="G134" i="2"/>
  <c r="H134" i="2" s="1"/>
  <c r="AK19" i="20"/>
  <c r="AM8" i="20"/>
  <c r="AE55" i="19"/>
  <c r="AM9" i="20" s="1"/>
  <c r="L48" i="2"/>
  <c r="G83" i="2"/>
  <c r="H83" i="2" s="1"/>
  <c r="G72" i="2"/>
  <c r="H72" i="2" s="1"/>
  <c r="L103" i="2"/>
  <c r="AE79" i="19"/>
  <c r="AM13" i="20" s="1"/>
  <c r="AE13" i="19"/>
  <c r="AM3" i="20" s="1"/>
  <c r="AK32" i="20"/>
  <c r="O147" i="19"/>
  <c r="O105" i="19"/>
  <c r="O125" i="19"/>
  <c r="O68" i="19"/>
  <c r="O34" i="19"/>
  <c r="AK31" i="20"/>
  <c r="O17" i="19"/>
  <c r="O16" i="19"/>
  <c r="O129" i="19"/>
  <c r="O128" i="19"/>
  <c r="AE67" i="19"/>
  <c r="AM11" i="20" s="1"/>
  <c r="O92" i="19"/>
  <c r="O81" i="19"/>
  <c r="O110" i="19"/>
  <c r="O106" i="19"/>
  <c r="O11" i="2"/>
  <c r="L21" i="2"/>
  <c r="AK8" i="20"/>
  <c r="AK4" i="20"/>
  <c r="AL19" i="20"/>
  <c r="K121" i="2"/>
  <c r="L121" i="2" s="1"/>
  <c r="K122" i="2"/>
  <c r="L122" i="2" s="1"/>
  <c r="G22" i="2"/>
  <c r="H22" i="2" s="1"/>
  <c r="K41" i="2"/>
  <c r="L41" i="2" s="1"/>
  <c r="G81" i="2"/>
  <c r="H81" i="2" s="1"/>
  <c r="K90" i="2"/>
  <c r="L90" i="2" s="1"/>
  <c r="C97" i="19"/>
  <c r="AH15" i="20" s="1"/>
  <c r="L77" i="2"/>
  <c r="AE192" i="19"/>
  <c r="AM29" i="20" s="1"/>
  <c r="G82" i="2"/>
  <c r="H82" i="2" s="1"/>
  <c r="M155" i="2"/>
  <c r="E24" i="20" s="1"/>
  <c r="J155" i="2"/>
  <c r="J156" i="2" s="1"/>
  <c r="J157" i="2" s="1"/>
  <c r="K157" i="2" s="1"/>
  <c r="L157" i="2" s="1"/>
  <c r="M106" i="2"/>
  <c r="E17" i="20" s="1"/>
  <c r="J106" i="2"/>
  <c r="M50" i="2"/>
  <c r="E9" i="20" s="1"/>
  <c r="J50" i="2"/>
  <c r="J51" i="2" s="1"/>
  <c r="L47" i="2"/>
  <c r="AE91" i="19"/>
  <c r="L179" i="2"/>
  <c r="O103" i="19"/>
  <c r="O38" i="19"/>
  <c r="O121" i="19"/>
  <c r="O133" i="19"/>
  <c r="AK25" i="20"/>
  <c r="AK6" i="20"/>
  <c r="L46" i="2"/>
  <c r="AK12" i="20"/>
  <c r="L182" i="2"/>
  <c r="L49" i="2"/>
  <c r="K53" i="2"/>
  <c r="L53" i="2" s="1"/>
  <c r="P61" i="2"/>
  <c r="Q61" i="2" s="1"/>
  <c r="C150" i="19"/>
  <c r="AH23" i="20" s="1"/>
  <c r="C102" i="19"/>
  <c r="AH16" i="20" s="1"/>
  <c r="C180" i="19"/>
  <c r="C156" i="19"/>
  <c r="N8" i="19"/>
  <c r="P156" i="19" s="1"/>
  <c r="AA156" i="19" s="1"/>
  <c r="AJ24" i="20" s="1"/>
  <c r="K34" i="2"/>
  <c r="L34" i="2" s="1"/>
  <c r="G64" i="2"/>
  <c r="H64" i="2" s="1"/>
  <c r="C162" i="19"/>
  <c r="AH25" i="20" s="1"/>
  <c r="C144" i="19"/>
  <c r="AH22" i="20" s="1"/>
  <c r="C126" i="19"/>
  <c r="C210" i="19"/>
  <c r="L180" i="2"/>
  <c r="K32" i="2"/>
  <c r="L32" i="2" s="1"/>
  <c r="L76" i="2"/>
  <c r="AE174" i="19"/>
  <c r="AM26" i="20" s="1"/>
  <c r="AM19" i="20"/>
  <c r="P65" i="2"/>
  <c r="Q65" i="2" s="1"/>
  <c r="L133" i="2"/>
  <c r="G65" i="2"/>
  <c r="H65" i="2" s="1"/>
  <c r="L105" i="2"/>
  <c r="AE19" i="19"/>
  <c r="AM4" i="20" s="1"/>
  <c r="O183" i="19"/>
  <c r="O172" i="19"/>
  <c r="O216" i="19"/>
  <c r="O91" i="19"/>
  <c r="O32" i="19"/>
  <c r="O171" i="19"/>
  <c r="O102" i="19"/>
  <c r="Q102" i="19" s="1"/>
  <c r="O218" i="19"/>
  <c r="O179" i="19"/>
  <c r="O75" i="19"/>
  <c r="O200" i="19"/>
  <c r="O159" i="19"/>
  <c r="O204" i="19"/>
  <c r="O167" i="19"/>
  <c r="O135" i="19"/>
  <c r="O114" i="19"/>
  <c r="O127" i="19"/>
  <c r="O196" i="19"/>
  <c r="O210" i="19"/>
  <c r="Q210" i="19" s="1"/>
  <c r="O132" i="19"/>
  <c r="O20" i="19"/>
  <c r="O37" i="19"/>
  <c r="O49" i="19"/>
  <c r="O101" i="19"/>
  <c r="O13" i="19"/>
  <c r="O30" i="19"/>
  <c r="O78" i="19"/>
  <c r="O120" i="19"/>
  <c r="O169" i="19"/>
  <c r="O185" i="19"/>
  <c r="O19" i="19"/>
  <c r="O42" i="19"/>
  <c r="O84" i="19"/>
  <c r="O100" i="19"/>
  <c r="O178" i="19"/>
  <c r="O198" i="19"/>
  <c r="Q198" i="19" s="1"/>
  <c r="O215" i="19"/>
  <c r="O209" i="19"/>
  <c r="O176" i="19"/>
  <c r="O144" i="19"/>
  <c r="O108" i="19"/>
  <c r="O66" i="19"/>
  <c r="O180" i="19"/>
  <c r="O156" i="19"/>
  <c r="O24" i="19"/>
  <c r="O61" i="19"/>
  <c r="O85" i="19"/>
  <c r="O18" i="19"/>
  <c r="O51" i="19"/>
  <c r="O67" i="19"/>
  <c r="O173" i="19"/>
  <c r="O90" i="19"/>
  <c r="O122" i="19"/>
  <c r="O138" i="19"/>
  <c r="O150" i="19"/>
  <c r="O170" i="19"/>
  <c r="O194" i="19"/>
  <c r="O219" i="19"/>
  <c r="O197" i="19"/>
  <c r="O86" i="19"/>
  <c r="O205" i="19"/>
  <c r="O43" i="19"/>
  <c r="O217" i="19"/>
  <c r="O12" i="19"/>
  <c r="O45" i="19"/>
  <c r="O40" i="19"/>
  <c r="O177" i="19"/>
  <c r="O111" i="19"/>
  <c r="O126" i="19"/>
  <c r="O174" i="19"/>
  <c r="Q174" i="19" s="1"/>
  <c r="O202" i="19"/>
  <c r="O220" i="19"/>
  <c r="O192" i="19"/>
  <c r="O87" i="19"/>
  <c r="O60" i="19"/>
  <c r="O201" i="19"/>
  <c r="O77" i="19"/>
  <c r="O117" i="19"/>
  <c r="O161" i="19"/>
  <c r="O181" i="19"/>
  <c r="O25" i="19"/>
  <c r="O186" i="19"/>
  <c r="Q186" i="19" s="1"/>
  <c r="O206" i="19"/>
  <c r="O214" i="19"/>
  <c r="O168" i="19"/>
  <c r="Q168" i="19" s="1"/>
  <c r="O163" i="19"/>
  <c r="O188" i="19"/>
  <c r="O27" i="19"/>
  <c r="O195" i="19"/>
  <c r="O69" i="19"/>
  <c r="O97" i="19"/>
  <c r="O109" i="19"/>
  <c r="O62" i="19"/>
  <c r="O165" i="19"/>
  <c r="O189" i="19"/>
  <c r="O31" i="19"/>
  <c r="O79" i="19"/>
  <c r="O146" i="19"/>
  <c r="O162" i="19"/>
  <c r="O190" i="19"/>
  <c r="O211" i="19"/>
  <c r="O203" i="19"/>
  <c r="O160" i="19"/>
  <c r="O55" i="19"/>
  <c r="O143" i="19"/>
  <c r="O152" i="19"/>
  <c r="AK28" i="20"/>
  <c r="O39" i="19"/>
  <c r="O56" i="19"/>
  <c r="O157" i="19"/>
  <c r="O142" i="19"/>
  <c r="AK27" i="20"/>
  <c r="AE168" i="19"/>
  <c r="AM25" i="20" s="1"/>
  <c r="O107" i="19"/>
  <c r="O53" i="19"/>
  <c r="O52" i="19"/>
  <c r="AE216" i="19"/>
  <c r="AM32" i="20" s="1"/>
  <c r="O124" i="19"/>
  <c r="O41" i="19"/>
  <c r="O35" i="19"/>
  <c r="O149" i="19"/>
  <c r="O119" i="19"/>
  <c r="G135" i="2"/>
  <c r="H135" i="2" s="1"/>
  <c r="AK24" i="20"/>
  <c r="O177" i="2"/>
  <c r="O27" i="2"/>
  <c r="G80" i="2"/>
  <c r="H80" i="2" s="1"/>
  <c r="G78" i="2"/>
  <c r="H78" i="2" s="1"/>
  <c r="G128" i="2"/>
  <c r="H128" i="2" s="1"/>
  <c r="K131" i="2"/>
  <c r="L131" i="2" s="1"/>
  <c r="K166" i="2"/>
  <c r="L166" i="2" s="1"/>
  <c r="G201" i="2"/>
  <c r="H201" i="2" s="1"/>
  <c r="K89" i="2"/>
  <c r="L89" i="2" s="1"/>
  <c r="O82" i="2"/>
  <c r="J164" i="2"/>
  <c r="K163" i="2" s="1"/>
  <c r="L163" i="2" s="1"/>
  <c r="O128" i="2"/>
  <c r="G79" i="2"/>
  <c r="H79" i="2" s="1"/>
  <c r="O213" i="2"/>
  <c r="K161" i="2"/>
  <c r="L161" i="2" s="1"/>
  <c r="K159" i="2"/>
  <c r="L159" i="2" s="1"/>
  <c r="K158" i="2"/>
  <c r="L158" i="2" s="1"/>
  <c r="G39" i="2"/>
  <c r="H39" i="2" s="1"/>
  <c r="K132" i="2"/>
  <c r="L132" i="2" s="1"/>
  <c r="G71" i="2"/>
  <c r="H71" i="2" s="1"/>
  <c r="K156" i="2"/>
  <c r="L156" i="2" s="1"/>
  <c r="G153" i="2"/>
  <c r="H153" i="2" s="1"/>
  <c r="G41" i="2"/>
  <c r="H41" i="2" s="1"/>
  <c r="K138" i="2"/>
  <c r="L138" i="2" s="1"/>
  <c r="O104" i="2"/>
  <c r="F119" i="2"/>
  <c r="G119" i="2" s="1"/>
  <c r="H119" i="2" s="1"/>
  <c r="K29" i="2"/>
  <c r="L29" i="2" s="1"/>
  <c r="K31" i="2"/>
  <c r="L31" i="2" s="1"/>
  <c r="G40" i="2"/>
  <c r="H40" i="2" s="1"/>
  <c r="C87" i="19"/>
  <c r="C55" i="19"/>
  <c r="C43" i="19"/>
  <c r="C19" i="19"/>
  <c r="C85" i="19"/>
  <c r="C61" i="19"/>
  <c r="C25" i="19"/>
  <c r="C120" i="19"/>
  <c r="C108" i="19"/>
  <c r="C79" i="19"/>
  <c r="C67" i="19"/>
  <c r="C37" i="19"/>
  <c r="C31" i="19"/>
  <c r="C91" i="19"/>
  <c r="C49" i="19"/>
  <c r="C13" i="19"/>
  <c r="P18" i="2"/>
  <c r="Q18" i="2" s="1"/>
  <c r="P14" i="2"/>
  <c r="Q14" i="2" s="1"/>
  <c r="P16" i="2"/>
  <c r="Q16" i="2" s="1"/>
  <c r="P15" i="2"/>
  <c r="Q15" i="2" s="1"/>
  <c r="F192" i="2"/>
  <c r="G192" i="2" s="1"/>
  <c r="H192" i="2" s="1"/>
  <c r="P64" i="2"/>
  <c r="Q64" i="2" s="1"/>
  <c r="P62" i="2"/>
  <c r="Q62" i="2" s="1"/>
  <c r="P66" i="2"/>
  <c r="Q66" i="2" s="1"/>
  <c r="K85" i="2"/>
  <c r="L85" i="2" s="1"/>
  <c r="K87" i="2"/>
  <c r="L87" i="2" s="1"/>
  <c r="K30" i="2"/>
  <c r="L30" i="2" s="1"/>
  <c r="J63" i="2"/>
  <c r="K62" i="2" s="1"/>
  <c r="L62" i="2" s="1"/>
  <c r="K130" i="2"/>
  <c r="L130" i="2" s="1"/>
  <c r="AH31" i="20"/>
  <c r="AH27" i="20"/>
  <c r="AH24" i="20"/>
  <c r="Q156" i="19"/>
  <c r="G36" i="2"/>
  <c r="H36" i="2" s="1"/>
  <c r="G38" i="2"/>
  <c r="H38" i="2" s="1"/>
  <c r="S69" i="2"/>
  <c r="F28" i="2"/>
  <c r="G26" i="2" s="1"/>
  <c r="H26" i="2" s="1"/>
  <c r="F122" i="2"/>
  <c r="G122" i="2" s="1"/>
  <c r="H122" i="2" s="1"/>
  <c r="S188" i="2"/>
  <c r="S140" i="2"/>
  <c r="G173" i="2"/>
  <c r="H173" i="2" s="1"/>
  <c r="G175" i="2"/>
  <c r="H175" i="2" s="1"/>
  <c r="G172" i="2"/>
  <c r="H172" i="2" s="1"/>
  <c r="F182" i="2"/>
  <c r="G179" i="2" s="1"/>
  <c r="H179" i="2" s="1"/>
  <c r="O45" i="2"/>
  <c r="O93" i="2"/>
  <c r="O146" i="2"/>
  <c r="O194" i="2"/>
  <c r="O34" i="2"/>
  <c r="O111" i="2"/>
  <c r="C204" i="2"/>
  <c r="C114" i="2"/>
  <c r="C102" i="2"/>
  <c r="C85" i="2"/>
  <c r="C210" i="2"/>
  <c r="C192" i="2"/>
  <c r="C180" i="2"/>
  <c r="C162" i="2"/>
  <c r="C150" i="2"/>
  <c r="C138" i="2"/>
  <c r="C120" i="2"/>
  <c r="C87" i="2"/>
  <c r="C61" i="2"/>
  <c r="C43" i="2"/>
  <c r="C198" i="2"/>
  <c r="C186" i="2"/>
  <c r="C174" i="2"/>
  <c r="C144" i="2"/>
  <c r="C132" i="2"/>
  <c r="C108" i="2"/>
  <c r="C91" i="2"/>
  <c r="V91" i="2" s="1"/>
  <c r="C67" i="2"/>
  <c r="C49" i="2"/>
  <c r="C31" i="2"/>
  <c r="C19" i="2"/>
  <c r="C97" i="2"/>
  <c r="C79" i="2"/>
  <c r="C216" i="2"/>
  <c r="C168" i="2"/>
  <c r="V168" i="2" s="1"/>
  <c r="C126" i="2"/>
  <c r="C55" i="2"/>
  <c r="C37" i="2"/>
  <c r="C25" i="2"/>
  <c r="C13" i="2"/>
  <c r="O70" i="2"/>
  <c r="P88" i="2"/>
  <c r="Q88" i="2" s="1"/>
  <c r="P90" i="2"/>
  <c r="Q90" i="2" s="1"/>
  <c r="P89" i="2"/>
  <c r="Q89" i="2" s="1"/>
  <c r="O159" i="2"/>
  <c r="G169" i="2"/>
  <c r="H169" i="2" s="1"/>
  <c r="G171" i="2"/>
  <c r="H171" i="2" s="1"/>
  <c r="K204" i="2"/>
  <c r="L204" i="2" s="1"/>
  <c r="K205" i="2"/>
  <c r="L205" i="2" s="1"/>
  <c r="K196" i="2"/>
  <c r="L196" i="2" s="1"/>
  <c r="K193" i="2"/>
  <c r="L193" i="2" s="1"/>
  <c r="F196" i="2"/>
  <c r="G195" i="2" s="1"/>
  <c r="H195" i="2" s="1"/>
  <c r="K195" i="2"/>
  <c r="L195" i="2" s="1"/>
  <c r="K139" i="2"/>
  <c r="L139" i="2" s="1"/>
  <c r="J147" i="2"/>
  <c r="K88" i="2"/>
  <c r="L88" i="2" s="1"/>
  <c r="P126" i="19"/>
  <c r="AA126" i="19" s="1"/>
  <c r="P31" i="19"/>
  <c r="P220" i="19"/>
  <c r="P34" i="19"/>
  <c r="P18" i="19"/>
  <c r="P188" i="19"/>
  <c r="P136" i="19"/>
  <c r="P217" i="19"/>
  <c r="P166" i="19"/>
  <c r="P153" i="19"/>
  <c r="P151" i="19"/>
  <c r="P44" i="19"/>
  <c r="P89" i="19"/>
  <c r="F140" i="2"/>
  <c r="G140" i="2" s="1"/>
  <c r="H140" i="2" s="1"/>
  <c r="T82" i="2"/>
  <c r="U82" i="2" s="1"/>
  <c r="T81" i="2"/>
  <c r="U81" i="2" s="1"/>
  <c r="T86" i="2"/>
  <c r="U86" i="2" s="1"/>
  <c r="T84" i="2"/>
  <c r="U84" i="2" s="1"/>
  <c r="T83" i="2"/>
  <c r="U83" i="2" s="1"/>
  <c r="T80" i="2"/>
  <c r="U80" i="2" s="1"/>
  <c r="S164" i="2"/>
  <c r="S182" i="2"/>
  <c r="F218" i="2"/>
  <c r="S128" i="2"/>
  <c r="F146" i="2"/>
  <c r="T202" i="2"/>
  <c r="U202" i="2" s="1"/>
  <c r="T205" i="2"/>
  <c r="U205" i="2" s="1"/>
  <c r="T203" i="2"/>
  <c r="U203" i="2" s="1"/>
  <c r="T199" i="2"/>
  <c r="U199" i="2" s="1"/>
  <c r="T200" i="2"/>
  <c r="U200" i="2" s="1"/>
  <c r="T201" i="2"/>
  <c r="U201" i="2" s="1"/>
  <c r="F105" i="2"/>
  <c r="G105" i="2" s="1"/>
  <c r="H105" i="2" s="1"/>
  <c r="S146" i="2"/>
  <c r="F189" i="2"/>
  <c r="G189" i="2" s="1"/>
  <c r="H189" i="2" s="1"/>
  <c r="G197" i="2"/>
  <c r="H197" i="2" s="1"/>
  <c r="G199" i="2"/>
  <c r="H199" i="2" s="1"/>
  <c r="O24" i="2"/>
  <c r="P24" i="2" s="1"/>
  <c r="Q24" i="2" s="1"/>
  <c r="O101" i="2"/>
  <c r="P101" i="2" s="1"/>
  <c r="Q101" i="2" s="1"/>
  <c r="O207" i="2"/>
  <c r="K199" i="2"/>
  <c r="L199" i="2" s="1"/>
  <c r="K197" i="2"/>
  <c r="L197" i="2" s="1"/>
  <c r="Q144" i="19"/>
  <c r="Q126" i="19"/>
  <c r="AH26" i="20"/>
  <c r="S63" i="2"/>
  <c r="AH29" i="20"/>
  <c r="AH28" i="20"/>
  <c r="Q138" i="19"/>
  <c r="AH30" i="20"/>
  <c r="S27" i="2"/>
  <c r="S45" i="2"/>
  <c r="S15" i="2"/>
  <c r="F63" i="2"/>
  <c r="G62" i="2" s="1"/>
  <c r="H62" i="2" s="1"/>
  <c r="F87" i="2"/>
  <c r="G86" i="2" s="1"/>
  <c r="H86" i="2" s="1"/>
  <c r="S110" i="2"/>
  <c r="G157" i="2"/>
  <c r="H157" i="2" s="1"/>
  <c r="G155" i="2"/>
  <c r="H155" i="2" s="1"/>
  <c r="G133" i="2"/>
  <c r="H133" i="2" s="1"/>
  <c r="G130" i="2"/>
  <c r="H130" i="2" s="1"/>
  <c r="G131" i="2"/>
  <c r="H131" i="2" s="1"/>
  <c r="S176" i="2"/>
  <c r="S195" i="2"/>
  <c r="T204" i="2"/>
  <c r="U204" i="2" s="1"/>
  <c r="X204" i="2" s="1"/>
  <c r="Y204" i="2" s="1"/>
  <c r="O122" i="2"/>
  <c r="O170" i="2"/>
  <c r="O218" i="2"/>
  <c r="P85" i="2"/>
  <c r="Q85" i="2" s="1"/>
  <c r="O183" i="2"/>
  <c r="O58" i="2"/>
  <c r="O135" i="2"/>
  <c r="G183" i="2"/>
  <c r="H183" i="2" s="1"/>
  <c r="G184" i="2"/>
  <c r="H184" i="2" s="1"/>
  <c r="G202" i="2"/>
  <c r="H202" i="2" s="1"/>
  <c r="J210" i="2"/>
  <c r="K207" i="2" s="1"/>
  <c r="L207" i="2" s="1"/>
  <c r="K165" i="2"/>
  <c r="L165" i="2" s="1"/>
  <c r="G141" i="2"/>
  <c r="H141" i="2" s="1"/>
  <c r="K137" i="2"/>
  <c r="L137" i="2" s="1"/>
  <c r="F21" i="2"/>
  <c r="G21" i="2" s="1"/>
  <c r="H21" i="2" s="1"/>
  <c r="S21" i="2"/>
  <c r="G12" i="2"/>
  <c r="H12" i="2" s="1"/>
  <c r="G14" i="2"/>
  <c r="H14" i="2" s="1"/>
  <c r="G11" i="2"/>
  <c r="H11" i="2" s="1"/>
  <c r="T121" i="2"/>
  <c r="U121" i="2" s="1"/>
  <c r="T119" i="2"/>
  <c r="U119" i="2" s="1"/>
  <c r="T118" i="2"/>
  <c r="U118" i="2" s="1"/>
  <c r="T115" i="2"/>
  <c r="U115" i="2" s="1"/>
  <c r="T117" i="2"/>
  <c r="U117" i="2" s="1"/>
  <c r="T116" i="2"/>
  <c r="U116" i="2" s="1"/>
  <c r="G98" i="2"/>
  <c r="H98" i="2" s="1"/>
  <c r="G96" i="2"/>
  <c r="H96" i="2" s="1"/>
  <c r="G95" i="2"/>
  <c r="H95" i="2" s="1"/>
  <c r="S212" i="2"/>
  <c r="S93" i="2"/>
  <c r="J203" i="2"/>
  <c r="K203" i="2" s="1"/>
  <c r="L203" i="2" s="1"/>
  <c r="J189" i="2"/>
  <c r="K189" i="2" s="1"/>
  <c r="L189" i="2" s="1"/>
  <c r="J216" i="2"/>
  <c r="P71" i="19" l="1"/>
  <c r="P118" i="19"/>
  <c r="P50" i="19"/>
  <c r="P70" i="19"/>
  <c r="P211" i="19"/>
  <c r="P51" i="19"/>
  <c r="P152" i="19"/>
  <c r="P179" i="19"/>
  <c r="P10" i="19"/>
  <c r="P107" i="19"/>
  <c r="P193" i="19"/>
  <c r="P120" i="19"/>
  <c r="AA120" i="19" s="1"/>
  <c r="AJ19" i="20" s="1"/>
  <c r="P210" i="19"/>
  <c r="AA210" i="19" s="1"/>
  <c r="Q49" i="19"/>
  <c r="P60" i="19"/>
  <c r="P86" i="19"/>
  <c r="P134" i="19"/>
  <c r="P133" i="19"/>
  <c r="P170" i="19"/>
  <c r="P200" i="19"/>
  <c r="P117" i="19"/>
  <c r="P143" i="19"/>
  <c r="P181" i="19"/>
  <c r="P65" i="19"/>
  <c r="P68" i="19"/>
  <c r="P19" i="19"/>
  <c r="P150" i="19"/>
  <c r="AA150" i="19" s="1"/>
  <c r="AJ23" i="20" s="1"/>
  <c r="P174" i="19"/>
  <c r="Q192" i="19"/>
  <c r="Q180" i="19"/>
  <c r="P77" i="19"/>
  <c r="P139" i="19"/>
  <c r="P82" i="19"/>
  <c r="P46" i="19"/>
  <c r="P160" i="19"/>
  <c r="P213" i="19"/>
  <c r="P93" i="19"/>
  <c r="P128" i="19"/>
  <c r="P201" i="19"/>
  <c r="P112" i="19"/>
  <c r="P197" i="19"/>
  <c r="P108" i="19"/>
  <c r="P102" i="19"/>
  <c r="AA102" i="19" s="1"/>
  <c r="AJ16" i="20" s="1"/>
  <c r="K155" i="2"/>
  <c r="L155" i="2" s="1"/>
  <c r="Q204" i="19"/>
  <c r="Q114" i="19"/>
  <c r="AM14" i="20"/>
  <c r="V87" i="2"/>
  <c r="Q120" i="19"/>
  <c r="K39" i="2"/>
  <c r="L39" i="2" s="1"/>
  <c r="R126" i="19"/>
  <c r="K40" i="2"/>
  <c r="L40" i="2" s="1"/>
  <c r="K176" i="2"/>
  <c r="L176" i="2" s="1"/>
  <c r="O118" i="2"/>
  <c r="Q91" i="19"/>
  <c r="J14" i="2"/>
  <c r="K11" i="2" s="1"/>
  <c r="L11" i="2" s="1"/>
  <c r="Q216" i="19"/>
  <c r="G186" i="2"/>
  <c r="H186" i="2" s="1"/>
  <c r="AH19" i="20"/>
  <c r="Q132" i="19"/>
  <c r="Q87" i="19"/>
  <c r="J152" i="2"/>
  <c r="G45" i="2"/>
  <c r="H45" i="2" s="1"/>
  <c r="G43" i="2"/>
  <c r="H43" i="2" s="1"/>
  <c r="J16" i="2"/>
  <c r="J69" i="2"/>
  <c r="F31" i="2"/>
  <c r="G31" i="2" s="1"/>
  <c r="H31" i="2" s="1"/>
  <c r="J112" i="2"/>
  <c r="K112" i="2" s="1"/>
  <c r="L112" i="2" s="1"/>
  <c r="F48" i="2"/>
  <c r="P97" i="2"/>
  <c r="Q97" i="2" s="1"/>
  <c r="P22" i="2"/>
  <c r="Q22" i="2" s="1"/>
  <c r="G188" i="2"/>
  <c r="H188" i="2" s="1"/>
  <c r="G60" i="2"/>
  <c r="H60" i="2" s="1"/>
  <c r="P99" i="2"/>
  <c r="Q99" i="2" s="1"/>
  <c r="G118" i="2"/>
  <c r="H118" i="2" s="1"/>
  <c r="F115" i="2"/>
  <c r="F55" i="2"/>
  <c r="G164" i="2"/>
  <c r="H164" i="2" s="1"/>
  <c r="G162" i="2"/>
  <c r="H162" i="2" s="1"/>
  <c r="P98" i="2"/>
  <c r="Q98" i="2" s="1"/>
  <c r="K177" i="2"/>
  <c r="L177" i="2" s="1"/>
  <c r="K110" i="2"/>
  <c r="L110" i="2" s="1"/>
  <c r="F210" i="2"/>
  <c r="G210" i="2" s="1"/>
  <c r="H210" i="2" s="1"/>
  <c r="F125" i="2"/>
  <c r="R210" i="19"/>
  <c r="P115" i="19"/>
  <c r="P159" i="19"/>
  <c r="P47" i="19"/>
  <c r="P22" i="19"/>
  <c r="P56" i="19"/>
  <c r="P104" i="19"/>
  <c r="P74" i="19"/>
  <c r="P94" i="19"/>
  <c r="P29" i="19"/>
  <c r="P48" i="19"/>
  <c r="P157" i="19"/>
  <c r="P121" i="19"/>
  <c r="P78" i="19"/>
  <c r="P127" i="19"/>
  <c r="P72" i="19"/>
  <c r="P191" i="19"/>
  <c r="P208" i="19"/>
  <c r="P167" i="19"/>
  <c r="P172" i="19"/>
  <c r="P214" i="19"/>
  <c r="P178" i="19"/>
  <c r="P171" i="19"/>
  <c r="P40" i="19"/>
  <c r="P122" i="19"/>
  <c r="P69" i="19"/>
  <c r="P116" i="19"/>
  <c r="P42" i="19"/>
  <c r="P158" i="19"/>
  <c r="P154" i="19"/>
  <c r="P83" i="19"/>
  <c r="P207" i="19"/>
  <c r="P9" i="19"/>
  <c r="P184" i="19"/>
  <c r="P17" i="19"/>
  <c r="P80" i="19"/>
  <c r="P155" i="19"/>
  <c r="P20" i="19"/>
  <c r="P146" i="19"/>
  <c r="P62" i="19"/>
  <c r="P35" i="19"/>
  <c r="P140" i="19"/>
  <c r="P206" i="19"/>
  <c r="P196" i="19"/>
  <c r="P164" i="19"/>
  <c r="P49" i="19"/>
  <c r="AA49" i="19" s="1"/>
  <c r="P13" i="19"/>
  <c r="AA13" i="19" s="1"/>
  <c r="AJ3" i="20" s="1"/>
  <c r="P43" i="19"/>
  <c r="AA43" i="19" s="1"/>
  <c r="P25" i="19"/>
  <c r="P162" i="19"/>
  <c r="AA162" i="19" s="1"/>
  <c r="P144" i="19"/>
  <c r="P138" i="19"/>
  <c r="AA138" i="19" s="1"/>
  <c r="AJ21" i="20" s="1"/>
  <c r="P114" i="19"/>
  <c r="P198" i="19"/>
  <c r="AA198" i="19" s="1"/>
  <c r="AJ30" i="20" s="1"/>
  <c r="F90" i="2"/>
  <c r="O53" i="2"/>
  <c r="O190" i="2"/>
  <c r="P28" i="19"/>
  <c r="P75" i="19"/>
  <c r="P54" i="19"/>
  <c r="P106" i="19"/>
  <c r="P125" i="19"/>
  <c r="P30" i="19"/>
  <c r="P27" i="19"/>
  <c r="P26" i="19"/>
  <c r="P99" i="19"/>
  <c r="P23" i="19"/>
  <c r="P45" i="19"/>
  <c r="P16" i="19"/>
  <c r="P66" i="19"/>
  <c r="P57" i="19"/>
  <c r="P76" i="19"/>
  <c r="P202" i="19"/>
  <c r="P199" i="19"/>
  <c r="P218" i="19"/>
  <c r="P169" i="19"/>
  <c r="P183" i="19"/>
  <c r="P189" i="19"/>
  <c r="P175" i="19"/>
  <c r="P110" i="19"/>
  <c r="P92" i="19"/>
  <c r="P129" i="19"/>
  <c r="P38" i="19"/>
  <c r="P113" i="19"/>
  <c r="P95" i="19"/>
  <c r="P36" i="19"/>
  <c r="P119" i="19"/>
  <c r="P209" i="19"/>
  <c r="P173" i="19"/>
  <c r="P219" i="19"/>
  <c r="P52" i="19"/>
  <c r="P147" i="19"/>
  <c r="P73" i="19"/>
  <c r="P142" i="19"/>
  <c r="P53" i="19"/>
  <c r="P33" i="19"/>
  <c r="P63" i="19"/>
  <c r="P90" i="19"/>
  <c r="P161" i="19"/>
  <c r="P190" i="19"/>
  <c r="P194" i="19"/>
  <c r="P61" i="19"/>
  <c r="AA61" i="19" s="1"/>
  <c r="AJ10" i="20" s="1"/>
  <c r="P37" i="19"/>
  <c r="AA37" i="19" s="1"/>
  <c r="AJ7" i="20" s="1"/>
  <c r="P91" i="19"/>
  <c r="P67" i="19"/>
  <c r="P192" i="19"/>
  <c r="P186" i="19"/>
  <c r="P168" i="19"/>
  <c r="AA168" i="19" s="1"/>
  <c r="P132" i="19"/>
  <c r="AA132" i="19" s="1"/>
  <c r="AJ20" i="20" s="1"/>
  <c r="P216" i="19"/>
  <c r="S35" i="2"/>
  <c r="O166" i="2"/>
  <c r="O42" i="2"/>
  <c r="P100" i="19"/>
  <c r="P101" i="19"/>
  <c r="P148" i="19"/>
  <c r="P137" i="19"/>
  <c r="P39" i="19"/>
  <c r="P96" i="19"/>
  <c r="P111" i="19"/>
  <c r="P84" i="19"/>
  <c r="P88" i="19"/>
  <c r="P11" i="19"/>
  <c r="P105" i="19"/>
  <c r="P15" i="19"/>
  <c r="P81" i="19"/>
  <c r="P58" i="19"/>
  <c r="P109" i="19"/>
  <c r="P12" i="19"/>
  <c r="P163" i="19"/>
  <c r="P205" i="19"/>
  <c r="P177" i="19"/>
  <c r="P135" i="19"/>
  <c r="P212" i="19"/>
  <c r="P203" i="19"/>
  <c r="P195" i="19"/>
  <c r="P14" i="19"/>
  <c r="P145" i="19"/>
  <c r="P131" i="19"/>
  <c r="P98" i="19"/>
  <c r="P149" i="19"/>
  <c r="P103" i="19"/>
  <c r="P32" i="19"/>
  <c r="P130" i="19"/>
  <c r="P187" i="19"/>
  <c r="P176" i="19"/>
  <c r="P215" i="19"/>
  <c r="P123" i="19"/>
  <c r="P64" i="19"/>
  <c r="P141" i="19"/>
  <c r="P41" i="19"/>
  <c r="P124" i="19"/>
  <c r="P21" i="19"/>
  <c r="P59" i="19"/>
  <c r="P24" i="19"/>
  <c r="P182" i="19"/>
  <c r="P165" i="19"/>
  <c r="P185" i="19"/>
  <c r="P87" i="19"/>
  <c r="AA87" i="19" s="1"/>
  <c r="P55" i="19"/>
  <c r="P85" i="19"/>
  <c r="P79" i="19"/>
  <c r="R79" i="19" s="1"/>
  <c r="AI13" i="20" s="1"/>
  <c r="P204" i="19"/>
  <c r="AA204" i="19" s="1"/>
  <c r="AJ31" i="20" s="1"/>
  <c r="P97" i="19"/>
  <c r="AA97" i="19" s="1"/>
  <c r="AJ15" i="20" s="1"/>
  <c r="P180" i="19"/>
  <c r="AA180" i="19" s="1"/>
  <c r="AJ27" i="20" s="1"/>
  <c r="G181" i="2"/>
  <c r="H181" i="2" s="1"/>
  <c r="Q162" i="19"/>
  <c r="Q97" i="19"/>
  <c r="Q150" i="19"/>
  <c r="G168" i="2"/>
  <c r="H168" i="2" s="1"/>
  <c r="G166" i="2"/>
  <c r="H166" i="2" s="1"/>
  <c r="O201" i="2"/>
  <c r="O141" i="2"/>
  <c r="K200" i="2"/>
  <c r="L200" i="2" s="1"/>
  <c r="V49" i="2"/>
  <c r="J107" i="2"/>
  <c r="J135" i="2"/>
  <c r="P11" i="2"/>
  <c r="Q11" i="2" s="1"/>
  <c r="O12" i="2"/>
  <c r="G138" i="2"/>
  <c r="H138" i="2" s="1"/>
  <c r="G104" i="2"/>
  <c r="H104" i="2" s="1"/>
  <c r="G27" i="2"/>
  <c r="H27" i="2" s="1"/>
  <c r="K123" i="2"/>
  <c r="L123" i="2" s="1"/>
  <c r="J52" i="2"/>
  <c r="K51" i="2"/>
  <c r="L51" i="2" s="1"/>
  <c r="J79" i="2"/>
  <c r="J80" i="2" s="1"/>
  <c r="J184" i="2"/>
  <c r="AH3" i="20"/>
  <c r="Q13" i="19"/>
  <c r="AH7" i="20"/>
  <c r="Q37" i="19"/>
  <c r="AH4" i="20"/>
  <c r="Q19" i="19"/>
  <c r="O214" i="2"/>
  <c r="O129" i="2"/>
  <c r="O83" i="2"/>
  <c r="O178" i="2"/>
  <c r="K209" i="2"/>
  <c r="L209" i="2" s="1"/>
  <c r="P19" i="2"/>
  <c r="Q19" i="2" s="1"/>
  <c r="P100" i="2"/>
  <c r="Q100" i="2" s="1"/>
  <c r="K63" i="2"/>
  <c r="L63" i="2" s="1"/>
  <c r="K60" i="2"/>
  <c r="L60" i="2" s="1"/>
  <c r="K61" i="2"/>
  <c r="L61" i="2" s="1"/>
  <c r="G117" i="2"/>
  <c r="H117" i="2" s="1"/>
  <c r="AH11" i="20"/>
  <c r="Q67" i="19"/>
  <c r="AH5" i="20"/>
  <c r="Q25" i="19"/>
  <c r="AH8" i="20"/>
  <c r="Q43" i="19"/>
  <c r="K126" i="2"/>
  <c r="L126" i="2" s="1"/>
  <c r="V126" i="2" s="1"/>
  <c r="K124" i="2"/>
  <c r="L124" i="2" s="1"/>
  <c r="G103" i="2"/>
  <c r="H103" i="2" s="1"/>
  <c r="G191" i="2"/>
  <c r="H191" i="2" s="1"/>
  <c r="AH13" i="20"/>
  <c r="Q79" i="19"/>
  <c r="AH10" i="20"/>
  <c r="Q61" i="19"/>
  <c r="AH9" i="20"/>
  <c r="Q55" i="19"/>
  <c r="O105" i="2"/>
  <c r="K164" i="2"/>
  <c r="L164" i="2" s="1"/>
  <c r="K162" i="2"/>
  <c r="L162" i="2" s="1"/>
  <c r="V162" i="2" s="1"/>
  <c r="I25" i="20" s="1"/>
  <c r="K24" i="2"/>
  <c r="L24" i="2" s="1"/>
  <c r="K22" i="2"/>
  <c r="L22" i="2" s="1"/>
  <c r="O28" i="2"/>
  <c r="AH6" i="20"/>
  <c r="Q31" i="19"/>
  <c r="AH17" i="20"/>
  <c r="Q108" i="19"/>
  <c r="AH14" i="20"/>
  <c r="Q85" i="19"/>
  <c r="G190" i="2"/>
  <c r="H190" i="2" s="1"/>
  <c r="S22" i="2"/>
  <c r="O59" i="2"/>
  <c r="O219" i="2"/>
  <c r="O123" i="2"/>
  <c r="S196" i="2"/>
  <c r="S111" i="2"/>
  <c r="P21" i="2"/>
  <c r="Q21" i="2" s="1"/>
  <c r="F219" i="2"/>
  <c r="S183" i="2"/>
  <c r="AA19" i="19"/>
  <c r="AJ4" i="20" s="1"/>
  <c r="R19" i="19"/>
  <c r="AI4" i="20" s="1"/>
  <c r="AA108" i="19"/>
  <c r="AJ17" i="20" s="1"/>
  <c r="R108" i="19"/>
  <c r="AI17" i="20" s="1"/>
  <c r="AA31" i="19"/>
  <c r="AJ6" i="20" s="1"/>
  <c r="R31" i="19"/>
  <c r="AI6" i="20" s="1"/>
  <c r="R120" i="19"/>
  <c r="AI19" i="20" s="1"/>
  <c r="O160" i="2"/>
  <c r="H3" i="20"/>
  <c r="H15" i="20"/>
  <c r="V97" i="2"/>
  <c r="I15" i="20" s="1"/>
  <c r="H11" i="20"/>
  <c r="H22" i="20"/>
  <c r="H8" i="20"/>
  <c r="V43" i="2"/>
  <c r="I8" i="20" s="1"/>
  <c r="H21" i="20"/>
  <c r="V138" i="2"/>
  <c r="I21" i="20" s="1"/>
  <c r="H29" i="20"/>
  <c r="V192" i="2"/>
  <c r="I29" i="20" s="1"/>
  <c r="H18" i="20"/>
  <c r="V114" i="2"/>
  <c r="I18" i="20" s="1"/>
  <c r="O112" i="2"/>
  <c r="S189" i="2"/>
  <c r="S70" i="2"/>
  <c r="R156" i="19"/>
  <c r="AI24" i="20" s="1"/>
  <c r="R150" i="19"/>
  <c r="AI23" i="20" s="1"/>
  <c r="K202" i="2"/>
  <c r="L202" i="2" s="1"/>
  <c r="AE204" i="2"/>
  <c r="G20" i="2"/>
  <c r="H20" i="2" s="1"/>
  <c r="O136" i="2"/>
  <c r="O184" i="2"/>
  <c r="S177" i="2"/>
  <c r="T176" i="2" s="1"/>
  <c r="U176" i="2" s="1"/>
  <c r="G63" i="2"/>
  <c r="H63" i="2" s="1"/>
  <c r="G61" i="2"/>
  <c r="H61" i="2" s="1"/>
  <c r="S28" i="2"/>
  <c r="S64" i="2"/>
  <c r="P23" i="2"/>
  <c r="Q23" i="2" s="1"/>
  <c r="S129" i="2"/>
  <c r="G139" i="2"/>
  <c r="H139" i="2" s="1"/>
  <c r="AA25" i="19"/>
  <c r="AJ5" i="20" s="1"/>
  <c r="R25" i="19"/>
  <c r="AI5" i="20" s="1"/>
  <c r="J148" i="2"/>
  <c r="G196" i="2"/>
  <c r="H196" i="2" s="1"/>
  <c r="G194" i="2"/>
  <c r="H194" i="2" s="1"/>
  <c r="G193" i="2"/>
  <c r="H193" i="2" s="1"/>
  <c r="H5" i="20"/>
  <c r="V25" i="2"/>
  <c r="I5" i="20" s="1"/>
  <c r="H4" i="20"/>
  <c r="V19" i="2"/>
  <c r="I4" i="20" s="1"/>
  <c r="H26" i="20"/>
  <c r="V174" i="2"/>
  <c r="I26" i="20" s="1"/>
  <c r="H10" i="20"/>
  <c r="V61" i="2"/>
  <c r="I10" i="20" s="1"/>
  <c r="H23" i="20"/>
  <c r="H31" i="20"/>
  <c r="V204" i="2"/>
  <c r="O195" i="2"/>
  <c r="O94" i="2"/>
  <c r="S141" i="2"/>
  <c r="G120" i="2"/>
  <c r="H120" i="2" s="1"/>
  <c r="R102" i="19"/>
  <c r="AI16" i="20" s="1"/>
  <c r="R168" i="19"/>
  <c r="K201" i="2"/>
  <c r="L201" i="2" s="1"/>
  <c r="G102" i="2"/>
  <c r="H102" i="2" s="1"/>
  <c r="J217" i="2"/>
  <c r="S94" i="2"/>
  <c r="K188" i="2"/>
  <c r="L188" i="2" s="1"/>
  <c r="S213" i="2"/>
  <c r="G18" i="2"/>
  <c r="H18" i="2" s="1"/>
  <c r="K210" i="2"/>
  <c r="L210" i="2" s="1"/>
  <c r="V210" i="2" s="1"/>
  <c r="K208" i="2"/>
  <c r="L208" i="2" s="1"/>
  <c r="O171" i="2"/>
  <c r="T173" i="2"/>
  <c r="U173" i="2" s="1"/>
  <c r="G87" i="2"/>
  <c r="H87" i="2" s="1"/>
  <c r="G85" i="2"/>
  <c r="H85" i="2" s="1"/>
  <c r="S16" i="2"/>
  <c r="T15" i="2" s="1"/>
  <c r="U15" i="2" s="1"/>
  <c r="S46" i="2"/>
  <c r="O208" i="2"/>
  <c r="P20" i="2"/>
  <c r="Q20" i="2" s="1"/>
  <c r="G187" i="2"/>
  <c r="H187" i="2" s="1"/>
  <c r="G137" i="2"/>
  <c r="H137" i="2" s="1"/>
  <c r="AA91" i="19"/>
  <c r="R91" i="19"/>
  <c r="R67" i="19"/>
  <c r="AI11" i="20" s="1"/>
  <c r="AA67" i="19"/>
  <c r="AJ11" i="20" s="1"/>
  <c r="K186" i="2"/>
  <c r="L186" i="2" s="1"/>
  <c r="V186" i="2" s="1"/>
  <c r="I28" i="20" s="1"/>
  <c r="H7" i="20"/>
  <c r="V37" i="2"/>
  <c r="I7" i="20" s="1"/>
  <c r="H32" i="20"/>
  <c r="H6" i="20"/>
  <c r="V31" i="2"/>
  <c r="I6" i="20" s="1"/>
  <c r="H17" i="20"/>
  <c r="H28" i="20"/>
  <c r="H25" i="20"/>
  <c r="H14" i="20"/>
  <c r="V85" i="2"/>
  <c r="G182" i="2"/>
  <c r="H182" i="2" s="1"/>
  <c r="G180" i="2"/>
  <c r="H180" i="2" s="1"/>
  <c r="G121" i="2"/>
  <c r="H121" i="2" s="1"/>
  <c r="G28" i="2"/>
  <c r="H28" i="2" s="1"/>
  <c r="G25" i="2"/>
  <c r="H25" i="2" s="1"/>
  <c r="R97" i="19"/>
  <c r="AI15" i="20" s="1"/>
  <c r="S147" i="2"/>
  <c r="F147" i="2"/>
  <c r="S165" i="2"/>
  <c r="R55" i="19"/>
  <c r="AI9" i="20" s="1"/>
  <c r="AA55" i="19"/>
  <c r="AJ9" i="20" s="1"/>
  <c r="AA85" i="19"/>
  <c r="R85" i="19"/>
  <c r="O71" i="2"/>
  <c r="H9" i="20"/>
  <c r="V55" i="2"/>
  <c r="I9" i="20" s="1"/>
  <c r="H13" i="20"/>
  <c r="H20" i="20"/>
  <c r="V132" i="2"/>
  <c r="I20" i="20" s="1"/>
  <c r="H30" i="20"/>
  <c r="V198" i="2"/>
  <c r="I30" i="20" s="1"/>
  <c r="H19" i="20"/>
  <c r="V120" i="2"/>
  <c r="H27" i="20"/>
  <c r="V180" i="2"/>
  <c r="I27" i="20" s="1"/>
  <c r="H16" i="20"/>
  <c r="V102" i="2"/>
  <c r="I16" i="20" s="1"/>
  <c r="O35" i="2"/>
  <c r="O147" i="2"/>
  <c r="O46" i="2"/>
  <c r="R180" i="19"/>
  <c r="AI27" i="20" s="1"/>
  <c r="R132" i="19"/>
  <c r="AI20" i="20" s="1"/>
  <c r="K187" i="2"/>
  <c r="L187" i="2" s="1"/>
  <c r="G19" i="2"/>
  <c r="H19" i="2" s="1"/>
  <c r="I14" i="20" l="1"/>
  <c r="R49" i="19"/>
  <c r="K13" i="2"/>
  <c r="L13" i="2" s="1"/>
  <c r="V13" i="2" s="1"/>
  <c r="I3" i="20" s="1"/>
  <c r="AA174" i="19"/>
  <c r="AJ26" i="20" s="1"/>
  <c r="R174" i="19"/>
  <c r="AI26" i="20" s="1"/>
  <c r="K109" i="2"/>
  <c r="L109" i="2" s="1"/>
  <c r="AA79" i="19"/>
  <c r="AJ13" i="20" s="1"/>
  <c r="R198" i="19"/>
  <c r="AI30" i="20" s="1"/>
  <c r="K111" i="2"/>
  <c r="L111" i="2" s="1"/>
  <c r="O119" i="2"/>
  <c r="P118" i="2"/>
  <c r="Q118" i="2" s="1"/>
  <c r="P116" i="2"/>
  <c r="Q116" i="2" s="1"/>
  <c r="R37" i="19"/>
  <c r="AI7" i="20" s="1"/>
  <c r="R61" i="19"/>
  <c r="AI10" i="20" s="1"/>
  <c r="R13" i="19"/>
  <c r="AI3" i="20" s="1"/>
  <c r="G29" i="2"/>
  <c r="H29" i="2" s="1"/>
  <c r="J153" i="2"/>
  <c r="K14" i="2"/>
  <c r="L14" i="2" s="1"/>
  <c r="K12" i="2"/>
  <c r="L12" i="2" s="1"/>
  <c r="R162" i="19"/>
  <c r="AI25" i="20" s="1"/>
  <c r="G30" i="2"/>
  <c r="H30" i="2" s="1"/>
  <c r="J70" i="2"/>
  <c r="K69" i="2"/>
  <c r="L69" i="2" s="1"/>
  <c r="K67" i="2"/>
  <c r="L67" i="2" s="1"/>
  <c r="V67" i="2" s="1"/>
  <c r="I11" i="20" s="1"/>
  <c r="J17" i="2"/>
  <c r="F56" i="2"/>
  <c r="G56" i="2" s="1"/>
  <c r="H56" i="2" s="1"/>
  <c r="G55" i="2"/>
  <c r="H55" i="2" s="1"/>
  <c r="G53" i="2"/>
  <c r="H53" i="2" s="1"/>
  <c r="I19" i="20"/>
  <c r="K78" i="2"/>
  <c r="L78" i="2" s="1"/>
  <c r="AJ8" i="20"/>
  <c r="F116" i="2"/>
  <c r="G115" i="2" s="1"/>
  <c r="H115" i="2" s="1"/>
  <c r="F49" i="2"/>
  <c r="G48" i="2" s="1"/>
  <c r="H48" i="2" s="1"/>
  <c r="G54" i="2"/>
  <c r="H54" i="2" s="1"/>
  <c r="O167" i="2"/>
  <c r="P167" i="2" s="1"/>
  <c r="Q167" i="2" s="1"/>
  <c r="AA186" i="19"/>
  <c r="AJ28" i="20" s="1"/>
  <c r="R186" i="19"/>
  <c r="AI28" i="20" s="1"/>
  <c r="R138" i="19"/>
  <c r="AI21" i="20" s="1"/>
  <c r="O202" i="2"/>
  <c r="G208" i="2"/>
  <c r="H208" i="2" s="1"/>
  <c r="AA216" i="19"/>
  <c r="AJ32" i="20" s="1"/>
  <c r="R216" i="19"/>
  <c r="AI32" i="20" s="1"/>
  <c r="AA192" i="19"/>
  <c r="AJ29" i="20" s="1"/>
  <c r="R192" i="19"/>
  <c r="AI29" i="20" s="1"/>
  <c r="F91" i="2"/>
  <c r="G90" i="2" s="1"/>
  <c r="H90" i="2" s="1"/>
  <c r="AA144" i="19"/>
  <c r="AJ22" i="20" s="1"/>
  <c r="R144" i="19"/>
  <c r="AI22" i="20" s="1"/>
  <c r="F126" i="2"/>
  <c r="P42" i="2"/>
  <c r="Q42" i="2" s="1"/>
  <c r="P40" i="2"/>
  <c r="Q40" i="2" s="1"/>
  <c r="R43" i="19"/>
  <c r="AI8" i="20" s="1"/>
  <c r="R204" i="19"/>
  <c r="AI31" i="20" s="1"/>
  <c r="O142" i="2"/>
  <c r="P37" i="2"/>
  <c r="Q37" i="2" s="1"/>
  <c r="P163" i="2"/>
  <c r="Q163" i="2" s="1"/>
  <c r="AJ25" i="20"/>
  <c r="G207" i="2"/>
  <c r="H207" i="2" s="1"/>
  <c r="P38" i="2"/>
  <c r="Q38" i="2" s="1"/>
  <c r="S36" i="2"/>
  <c r="R87" i="19"/>
  <c r="AI14" i="20" s="1"/>
  <c r="T174" i="2"/>
  <c r="U174" i="2" s="1"/>
  <c r="X174" i="2" s="1"/>
  <c r="Y174" i="2" s="1"/>
  <c r="P39" i="2"/>
  <c r="Q39" i="2" s="1"/>
  <c r="P41" i="2"/>
  <c r="Q41" i="2" s="1"/>
  <c r="O191" i="2"/>
  <c r="P190" i="2" s="1"/>
  <c r="Q190" i="2" s="1"/>
  <c r="P188" i="2"/>
  <c r="Q188" i="2" s="1"/>
  <c r="O54" i="2"/>
  <c r="P53" i="2" s="1"/>
  <c r="Q53" i="2" s="1"/>
  <c r="AA114" i="19"/>
  <c r="AJ18" i="20" s="1"/>
  <c r="R114" i="19"/>
  <c r="AI18" i="20" s="1"/>
  <c r="G209" i="2"/>
  <c r="H209" i="2" s="1"/>
  <c r="J136" i="2"/>
  <c r="K136" i="2" s="1"/>
  <c r="L136" i="2" s="1"/>
  <c r="T13" i="2"/>
  <c r="U13" i="2" s="1"/>
  <c r="W13" i="2" s="1"/>
  <c r="K79" i="2"/>
  <c r="L79" i="2" s="1"/>
  <c r="V79" i="2" s="1"/>
  <c r="I13" i="20" s="1"/>
  <c r="K80" i="2"/>
  <c r="L80" i="2" s="1"/>
  <c r="P12" i="2"/>
  <c r="Q12" i="2" s="1"/>
  <c r="P9" i="2"/>
  <c r="Q9" i="2" s="1"/>
  <c r="J108" i="2"/>
  <c r="K108" i="2" s="1"/>
  <c r="L108" i="2" s="1"/>
  <c r="V108" i="2" s="1"/>
  <c r="I17" i="20" s="1"/>
  <c r="J185" i="2"/>
  <c r="K184" i="2" s="1"/>
  <c r="L184" i="2" s="1"/>
  <c r="K52" i="2"/>
  <c r="L52" i="2" s="1"/>
  <c r="K50" i="2"/>
  <c r="L50" i="2" s="1"/>
  <c r="P10" i="2"/>
  <c r="Q10" i="2" s="1"/>
  <c r="O179" i="2"/>
  <c r="P175" i="2" s="1"/>
  <c r="Q175" i="2" s="1"/>
  <c r="O84" i="2"/>
  <c r="P83" i="2" s="1"/>
  <c r="Q83" i="2" s="1"/>
  <c r="O29" i="2"/>
  <c r="O106" i="2"/>
  <c r="O130" i="2"/>
  <c r="O215" i="2"/>
  <c r="P215" i="2" s="1"/>
  <c r="Q215" i="2" s="1"/>
  <c r="O47" i="2"/>
  <c r="F220" i="2"/>
  <c r="G220" i="2" s="1"/>
  <c r="H220" i="2" s="1"/>
  <c r="S112" i="2"/>
  <c r="O220" i="2"/>
  <c r="O196" i="2"/>
  <c r="O137" i="2"/>
  <c r="P137" i="2" s="1"/>
  <c r="Q137" i="2" s="1"/>
  <c r="O113" i="2"/>
  <c r="P113" i="2" s="1"/>
  <c r="Q113" i="2" s="1"/>
  <c r="P112" i="2"/>
  <c r="Q112" i="2" s="1"/>
  <c r="S148" i="2"/>
  <c r="O172" i="2"/>
  <c r="S214" i="2"/>
  <c r="O124" i="2"/>
  <c r="S23" i="2"/>
  <c r="T22" i="2" s="1"/>
  <c r="U22" i="2" s="1"/>
  <c r="O36" i="2"/>
  <c r="P35" i="2" s="1"/>
  <c r="Q35" i="2" s="1"/>
  <c r="G213" i="2"/>
  <c r="H213" i="2" s="1"/>
  <c r="T16" i="2"/>
  <c r="U16" i="2" s="1"/>
  <c r="T14" i="2"/>
  <c r="U14" i="2" s="1"/>
  <c r="T10" i="2"/>
  <c r="U10" i="2" s="1"/>
  <c r="T11" i="2"/>
  <c r="U11" i="2" s="1"/>
  <c r="T12" i="2"/>
  <c r="U12" i="2" s="1"/>
  <c r="S142" i="2"/>
  <c r="T141" i="2" s="1"/>
  <c r="U141" i="2" s="1"/>
  <c r="I31" i="20"/>
  <c r="S29" i="2"/>
  <c r="S71" i="2"/>
  <c r="S184" i="2"/>
  <c r="T183" i="2" s="1"/>
  <c r="U183" i="2" s="1"/>
  <c r="S130" i="2"/>
  <c r="S166" i="2"/>
  <c r="O95" i="2"/>
  <c r="O185" i="2"/>
  <c r="P181" i="2" s="1"/>
  <c r="Q181" i="2" s="1"/>
  <c r="S190" i="2"/>
  <c r="O148" i="2"/>
  <c r="O72" i="2"/>
  <c r="AJ14" i="20"/>
  <c r="F148" i="2"/>
  <c r="P110" i="2"/>
  <c r="Q110" i="2" s="1"/>
  <c r="O209" i="2"/>
  <c r="P207" i="2" s="1"/>
  <c r="Q207" i="2" s="1"/>
  <c r="S47" i="2"/>
  <c r="X85" i="2"/>
  <c r="Y85" i="2" s="1"/>
  <c r="W85" i="2"/>
  <c r="AE85" i="2"/>
  <c r="T20" i="2"/>
  <c r="U20" i="2" s="1"/>
  <c r="S95" i="2"/>
  <c r="J218" i="2"/>
  <c r="X120" i="2"/>
  <c r="Y120" i="2" s="1"/>
  <c r="AE120" i="2"/>
  <c r="J149" i="2"/>
  <c r="S65" i="2"/>
  <c r="T177" i="2"/>
  <c r="U177" i="2" s="1"/>
  <c r="T172" i="2"/>
  <c r="U172" i="2" s="1"/>
  <c r="T175" i="2"/>
  <c r="U175" i="2" s="1"/>
  <c r="T171" i="2"/>
  <c r="U171" i="2" s="1"/>
  <c r="P111" i="2"/>
  <c r="Q111" i="2" s="1"/>
  <c r="O161" i="2"/>
  <c r="P160" i="2" s="1"/>
  <c r="Q160" i="2" s="1"/>
  <c r="S197" i="2"/>
  <c r="O60" i="2"/>
  <c r="P58" i="2" s="1"/>
  <c r="Q58" i="2" s="1"/>
  <c r="P108" i="2" l="1"/>
  <c r="Q108" i="2" s="1"/>
  <c r="K134" i="2"/>
  <c r="L134" i="2" s="1"/>
  <c r="P109" i="2"/>
  <c r="Q109" i="2" s="1"/>
  <c r="P119" i="2"/>
  <c r="Q119" i="2" s="1"/>
  <c r="P117" i="2"/>
  <c r="Q117" i="2" s="1"/>
  <c r="P114" i="2"/>
  <c r="Q114" i="2" s="1"/>
  <c r="P115" i="2"/>
  <c r="Q115" i="2" s="1"/>
  <c r="P180" i="2"/>
  <c r="Q180" i="2" s="1"/>
  <c r="K135" i="2"/>
  <c r="L135" i="2" s="1"/>
  <c r="AE174" i="2"/>
  <c r="M26" i="20" s="1"/>
  <c r="J154" i="2"/>
  <c r="K17" i="2"/>
  <c r="L17" i="2" s="1"/>
  <c r="K15" i="2"/>
  <c r="L15" i="2" s="1"/>
  <c r="K16" i="2"/>
  <c r="L16" i="2" s="1"/>
  <c r="K70" i="2"/>
  <c r="L70" i="2" s="1"/>
  <c r="K68" i="2"/>
  <c r="L68" i="2" s="1"/>
  <c r="P79" i="2"/>
  <c r="Q79" i="2" s="1"/>
  <c r="P186" i="2"/>
  <c r="Q186" i="2" s="1"/>
  <c r="G116" i="2"/>
  <c r="H116" i="2" s="1"/>
  <c r="G114" i="2"/>
  <c r="H114" i="2" s="1"/>
  <c r="G218" i="2"/>
  <c r="H218" i="2" s="1"/>
  <c r="P51" i="2"/>
  <c r="Q51" i="2" s="1"/>
  <c r="P187" i="2"/>
  <c r="Q187" i="2" s="1"/>
  <c r="G49" i="2"/>
  <c r="H49" i="2" s="1"/>
  <c r="G47" i="2"/>
  <c r="H47" i="2" s="1"/>
  <c r="G46" i="2"/>
  <c r="H46" i="2" s="1"/>
  <c r="G211" i="2"/>
  <c r="H211" i="2" s="1"/>
  <c r="G113" i="2"/>
  <c r="H113" i="2" s="1"/>
  <c r="P135" i="2"/>
  <c r="Q135" i="2" s="1"/>
  <c r="P165" i="2"/>
  <c r="Q165" i="2" s="1"/>
  <c r="G91" i="2"/>
  <c r="H91" i="2" s="1"/>
  <c r="G89" i="2"/>
  <c r="H89" i="2" s="1"/>
  <c r="G126" i="2"/>
  <c r="H126" i="2" s="1"/>
  <c r="G123" i="2"/>
  <c r="H123" i="2" s="1"/>
  <c r="G124" i="2"/>
  <c r="H124" i="2" s="1"/>
  <c r="P80" i="2"/>
  <c r="Q80" i="2" s="1"/>
  <c r="P81" i="2"/>
  <c r="Q81" i="2" s="1"/>
  <c r="P54" i="2"/>
  <c r="Q54" i="2" s="1"/>
  <c r="P50" i="2"/>
  <c r="Q50" i="2" s="1"/>
  <c r="P52" i="2"/>
  <c r="Q52" i="2" s="1"/>
  <c r="P164" i="2"/>
  <c r="Q164" i="2" s="1"/>
  <c r="P49" i="2"/>
  <c r="Q49" i="2" s="1"/>
  <c r="S37" i="2"/>
  <c r="T31" i="2" s="1"/>
  <c r="U31" i="2" s="1"/>
  <c r="O143" i="2"/>
  <c r="P143" i="2" s="1"/>
  <c r="Q143" i="2" s="1"/>
  <c r="P191" i="2"/>
  <c r="Q191" i="2" s="1"/>
  <c r="P189" i="2"/>
  <c r="Q189" i="2" s="1"/>
  <c r="G125" i="2"/>
  <c r="H125" i="2" s="1"/>
  <c r="G88" i="2"/>
  <c r="H88" i="2" s="1"/>
  <c r="P162" i="2"/>
  <c r="Q162" i="2" s="1"/>
  <c r="O203" i="2"/>
  <c r="P202" i="2" s="1"/>
  <c r="Q202" i="2" s="1"/>
  <c r="P166" i="2"/>
  <c r="Q166" i="2" s="1"/>
  <c r="P205" i="2"/>
  <c r="Q205" i="2" s="1"/>
  <c r="X13" i="2"/>
  <c r="Y13" i="2" s="1"/>
  <c r="K185" i="2"/>
  <c r="L185" i="2" s="1"/>
  <c r="K183" i="2"/>
  <c r="L183" i="2" s="1"/>
  <c r="P206" i="2"/>
  <c r="Q206" i="2" s="1"/>
  <c r="AE13" i="2"/>
  <c r="M3" i="20" s="1"/>
  <c r="K107" i="2"/>
  <c r="L107" i="2" s="1"/>
  <c r="P133" i="2"/>
  <c r="Q133" i="2" s="1"/>
  <c r="P136" i="2"/>
  <c r="Q136" i="2" s="1"/>
  <c r="P214" i="2"/>
  <c r="Q214" i="2" s="1"/>
  <c r="K106" i="2"/>
  <c r="L106" i="2" s="1"/>
  <c r="P179" i="2"/>
  <c r="Q179" i="2" s="1"/>
  <c r="P177" i="2"/>
  <c r="Q177" i="2" s="1"/>
  <c r="P208" i="2"/>
  <c r="Q208" i="2" s="1"/>
  <c r="P182" i="2"/>
  <c r="Q182" i="2" s="1"/>
  <c r="T181" i="2"/>
  <c r="U181" i="2" s="1"/>
  <c r="G219" i="2"/>
  <c r="H219" i="2" s="1"/>
  <c r="P212" i="2"/>
  <c r="Q212" i="2" s="1"/>
  <c r="O107" i="2"/>
  <c r="P106" i="2" s="1"/>
  <c r="Q106" i="2" s="1"/>
  <c r="O30" i="2"/>
  <c r="P29" i="2" s="1"/>
  <c r="Q29" i="2" s="1"/>
  <c r="P84" i="2"/>
  <c r="Q84" i="2" s="1"/>
  <c r="P82" i="2"/>
  <c r="Q82" i="2" s="1"/>
  <c r="P213" i="2"/>
  <c r="Q213" i="2" s="1"/>
  <c r="P184" i="2"/>
  <c r="Q184" i="2" s="1"/>
  <c r="T178" i="2"/>
  <c r="U178" i="2" s="1"/>
  <c r="O131" i="2"/>
  <c r="P130" i="2" s="1"/>
  <c r="Q130" i="2" s="1"/>
  <c r="P174" i="2"/>
  <c r="Q174" i="2" s="1"/>
  <c r="W174" i="2" s="1"/>
  <c r="J26" i="20" s="1"/>
  <c r="P210" i="2"/>
  <c r="Q210" i="2" s="1"/>
  <c r="P176" i="2"/>
  <c r="Q176" i="2" s="1"/>
  <c r="G214" i="2"/>
  <c r="H214" i="2" s="1"/>
  <c r="P211" i="2"/>
  <c r="Q211" i="2" s="1"/>
  <c r="P178" i="2"/>
  <c r="Q178" i="2" s="1"/>
  <c r="S96" i="2"/>
  <c r="P161" i="2"/>
  <c r="Q161" i="2" s="1"/>
  <c r="P158" i="2"/>
  <c r="Q158" i="2" s="1"/>
  <c r="P156" i="2"/>
  <c r="Q156" i="2" s="1"/>
  <c r="O149" i="2"/>
  <c r="P148" i="2" s="1"/>
  <c r="Q148" i="2" s="1"/>
  <c r="T142" i="2"/>
  <c r="U142" i="2" s="1"/>
  <c r="T138" i="2"/>
  <c r="U138" i="2" s="1"/>
  <c r="T139" i="2"/>
  <c r="U139" i="2" s="1"/>
  <c r="T140" i="2"/>
  <c r="U140" i="2" s="1"/>
  <c r="T137" i="2"/>
  <c r="U137" i="2" s="1"/>
  <c r="O173" i="2"/>
  <c r="P168" i="2" s="1"/>
  <c r="Q168" i="2" s="1"/>
  <c r="F149" i="2"/>
  <c r="O96" i="2"/>
  <c r="P95" i="2" s="1"/>
  <c r="Q95" i="2" s="1"/>
  <c r="S131" i="2"/>
  <c r="S72" i="2"/>
  <c r="P36" i="2"/>
  <c r="Q36" i="2" s="1"/>
  <c r="P31" i="2"/>
  <c r="Q31" i="2" s="1"/>
  <c r="P34" i="2"/>
  <c r="Q34" i="2" s="1"/>
  <c r="P33" i="2"/>
  <c r="Q33" i="2" s="1"/>
  <c r="P32" i="2"/>
  <c r="Q32" i="2" s="1"/>
  <c r="T17" i="2"/>
  <c r="U17" i="2" s="1"/>
  <c r="S215" i="2"/>
  <c r="P57" i="2"/>
  <c r="Q57" i="2" s="1"/>
  <c r="S48" i="2"/>
  <c r="P209" i="2"/>
  <c r="Q209" i="2" s="1"/>
  <c r="P204" i="2"/>
  <c r="Q204" i="2" s="1"/>
  <c r="W204" i="2" s="1"/>
  <c r="S191" i="2"/>
  <c r="T188" i="2" s="1"/>
  <c r="U188" i="2" s="1"/>
  <c r="P185" i="2"/>
  <c r="Q185" i="2" s="1"/>
  <c r="P183" i="2"/>
  <c r="Q183" i="2" s="1"/>
  <c r="G212" i="2"/>
  <c r="H212" i="2" s="1"/>
  <c r="T184" i="2"/>
  <c r="U184" i="2" s="1"/>
  <c r="T179" i="2"/>
  <c r="U179" i="2" s="1"/>
  <c r="T180" i="2"/>
  <c r="U180" i="2" s="1"/>
  <c r="T182" i="2"/>
  <c r="U182" i="2" s="1"/>
  <c r="T18" i="2"/>
  <c r="U18" i="2" s="1"/>
  <c r="S149" i="2"/>
  <c r="G215" i="2"/>
  <c r="H215" i="2" s="1"/>
  <c r="P60" i="2"/>
  <c r="Q60" i="2" s="1"/>
  <c r="P56" i="2"/>
  <c r="Q56" i="2" s="1"/>
  <c r="P55" i="2"/>
  <c r="Q55" i="2" s="1"/>
  <c r="S167" i="2"/>
  <c r="P59" i="2"/>
  <c r="Q59" i="2" s="1"/>
  <c r="P157" i="2"/>
  <c r="Q157" i="2" s="1"/>
  <c r="O73" i="2"/>
  <c r="P132" i="2"/>
  <c r="Q132" i="2" s="1"/>
  <c r="S30" i="2"/>
  <c r="T27" i="2" s="1"/>
  <c r="U27" i="2" s="1"/>
  <c r="T136" i="2"/>
  <c r="U136" i="2" s="1"/>
  <c r="O125" i="2"/>
  <c r="P123" i="2" s="1"/>
  <c r="Q123" i="2" s="1"/>
  <c r="G216" i="2"/>
  <c r="H216" i="2" s="1"/>
  <c r="P134" i="2"/>
  <c r="Q134" i="2" s="1"/>
  <c r="O197" i="2"/>
  <c r="P195" i="2" s="1"/>
  <c r="Q195" i="2" s="1"/>
  <c r="S113" i="2"/>
  <c r="G217" i="2"/>
  <c r="H217" i="2" s="1"/>
  <c r="P159" i="2"/>
  <c r="Q159" i="2" s="1"/>
  <c r="S198" i="2"/>
  <c r="T198" i="2" s="1"/>
  <c r="U198" i="2" s="1"/>
  <c r="J150" i="2"/>
  <c r="K150" i="2" s="1"/>
  <c r="L150" i="2" s="1"/>
  <c r="V150" i="2" s="1"/>
  <c r="I23" i="20" s="1"/>
  <c r="J219" i="2"/>
  <c r="T23" i="2"/>
  <c r="U23" i="2" s="1"/>
  <c r="T21" i="2"/>
  <c r="U21" i="2" s="1"/>
  <c r="T19" i="2"/>
  <c r="U19" i="2" s="1"/>
  <c r="J3" i="20"/>
  <c r="O221" i="2"/>
  <c r="P220" i="2" s="1"/>
  <c r="Q220" i="2" s="1"/>
  <c r="O48" i="2"/>
  <c r="P91" i="2" l="1"/>
  <c r="Q91" i="2" s="1"/>
  <c r="K153" i="2"/>
  <c r="L153" i="2" s="1"/>
  <c r="K154" i="2"/>
  <c r="L154" i="2" s="1"/>
  <c r="K152" i="2"/>
  <c r="L152" i="2" s="1"/>
  <c r="P146" i="2"/>
  <c r="Q146" i="2" s="1"/>
  <c r="P198" i="2"/>
  <c r="Q198" i="2" s="1"/>
  <c r="K151" i="2"/>
  <c r="L151" i="2" s="1"/>
  <c r="T29" i="2"/>
  <c r="U29" i="2" s="1"/>
  <c r="P144" i="2"/>
  <c r="Q144" i="2" s="1"/>
  <c r="X31" i="2"/>
  <c r="Y31" i="2" s="1"/>
  <c r="AE31" i="2"/>
  <c r="M6" i="20" s="1"/>
  <c r="W31" i="2"/>
  <c r="J6" i="20" s="1"/>
  <c r="T197" i="2"/>
  <c r="U197" i="2" s="1"/>
  <c r="P124" i="2"/>
  <c r="Q124" i="2" s="1"/>
  <c r="P169" i="2"/>
  <c r="Q169" i="2" s="1"/>
  <c r="P129" i="2"/>
  <c r="Q129" i="2" s="1"/>
  <c r="P140" i="2"/>
  <c r="Q140" i="2" s="1"/>
  <c r="T36" i="2"/>
  <c r="U36" i="2" s="1"/>
  <c r="P27" i="2"/>
  <c r="Q27" i="2" s="1"/>
  <c r="P203" i="2"/>
  <c r="Q203" i="2" s="1"/>
  <c r="P201" i="2"/>
  <c r="Q201" i="2" s="1"/>
  <c r="P199" i="2"/>
  <c r="Q199" i="2" s="1"/>
  <c r="P141" i="2"/>
  <c r="Q141" i="2" s="1"/>
  <c r="P138" i="2"/>
  <c r="Q138" i="2" s="1"/>
  <c r="W138" i="2" s="1"/>
  <c r="J21" i="20" s="1"/>
  <c r="T37" i="2"/>
  <c r="U37" i="2" s="1"/>
  <c r="T34" i="2"/>
  <c r="U34" i="2" s="1"/>
  <c r="T33" i="2"/>
  <c r="U33" i="2" s="1"/>
  <c r="T32" i="2"/>
  <c r="U32" i="2" s="1"/>
  <c r="P170" i="2"/>
  <c r="Q170" i="2" s="1"/>
  <c r="P128" i="2"/>
  <c r="Q128" i="2" s="1"/>
  <c r="P200" i="2"/>
  <c r="Q200" i="2" s="1"/>
  <c r="T35" i="2"/>
  <c r="U35" i="2" s="1"/>
  <c r="P142" i="2"/>
  <c r="Q142" i="2" s="1"/>
  <c r="P139" i="2"/>
  <c r="Q139" i="2" s="1"/>
  <c r="K144" i="2"/>
  <c r="L144" i="2" s="1"/>
  <c r="V144" i="2" s="1"/>
  <c r="I22" i="20" s="1"/>
  <c r="P172" i="2"/>
  <c r="Q172" i="2" s="1"/>
  <c r="T192" i="2"/>
  <c r="U192" i="2" s="1"/>
  <c r="X192" i="2" s="1"/>
  <c r="Y192" i="2" s="1"/>
  <c r="T25" i="2"/>
  <c r="U25" i="2" s="1"/>
  <c r="X25" i="2" s="1"/>
  <c r="Y25" i="2" s="1"/>
  <c r="K143" i="2"/>
  <c r="L143" i="2" s="1"/>
  <c r="K146" i="2"/>
  <c r="L146" i="2" s="1"/>
  <c r="P93" i="2"/>
  <c r="Q93" i="2" s="1"/>
  <c r="K149" i="2"/>
  <c r="L149" i="2" s="1"/>
  <c r="P196" i="2"/>
  <c r="Q196" i="2" s="1"/>
  <c r="T190" i="2"/>
  <c r="U190" i="2" s="1"/>
  <c r="P131" i="2"/>
  <c r="Q131" i="2" s="1"/>
  <c r="P127" i="2"/>
  <c r="Q127" i="2" s="1"/>
  <c r="P126" i="2"/>
  <c r="Q126" i="2" s="1"/>
  <c r="P30" i="2"/>
  <c r="Q30" i="2" s="1"/>
  <c r="P25" i="2"/>
  <c r="Q25" i="2" s="1"/>
  <c r="P26" i="2"/>
  <c r="Q26" i="2" s="1"/>
  <c r="P28" i="2"/>
  <c r="Q28" i="2" s="1"/>
  <c r="P107" i="2"/>
  <c r="Q107" i="2" s="1"/>
  <c r="P104" i="2"/>
  <c r="Q104" i="2" s="1"/>
  <c r="P102" i="2"/>
  <c r="Q102" i="2" s="1"/>
  <c r="P105" i="2"/>
  <c r="Q105" i="2" s="1"/>
  <c r="P103" i="2"/>
  <c r="Q103" i="2" s="1"/>
  <c r="P221" i="2"/>
  <c r="P218" i="2"/>
  <c r="Q218" i="2" s="1"/>
  <c r="T195" i="2"/>
  <c r="U195" i="2" s="1"/>
  <c r="P219" i="2"/>
  <c r="Q219" i="2" s="1"/>
  <c r="P48" i="2"/>
  <c r="Q48" i="2" s="1"/>
  <c r="P44" i="2"/>
  <c r="Q44" i="2" s="1"/>
  <c r="P216" i="2"/>
  <c r="Q216" i="2" s="1"/>
  <c r="P45" i="2"/>
  <c r="Q45" i="2" s="1"/>
  <c r="S73" i="2"/>
  <c r="P47" i="2"/>
  <c r="Q47" i="2" s="1"/>
  <c r="X19" i="2"/>
  <c r="W19" i="2"/>
  <c r="AE19" i="2"/>
  <c r="M4" i="20" s="1"/>
  <c r="J220" i="2"/>
  <c r="K219" i="2" s="1"/>
  <c r="L219" i="2" s="1"/>
  <c r="K145" i="2"/>
  <c r="L145" i="2" s="1"/>
  <c r="T194" i="2"/>
  <c r="U194" i="2" s="1"/>
  <c r="S114" i="2"/>
  <c r="T113" i="2" s="1"/>
  <c r="U113" i="2" s="1"/>
  <c r="P122" i="2"/>
  <c r="Q122" i="2" s="1"/>
  <c r="T30" i="2"/>
  <c r="U30" i="2" s="1"/>
  <c r="T26" i="2"/>
  <c r="U26" i="2" s="1"/>
  <c r="T24" i="2"/>
  <c r="U24" i="2" s="1"/>
  <c r="O74" i="2"/>
  <c r="P43" i="2"/>
  <c r="Q43" i="2" s="1"/>
  <c r="AE180" i="2"/>
  <c r="M27" i="20" s="1"/>
  <c r="W180" i="2"/>
  <c r="J27" i="20" s="1"/>
  <c r="X180" i="2"/>
  <c r="Y180" i="2" s="1"/>
  <c r="P96" i="2"/>
  <c r="Q96" i="2" s="1"/>
  <c r="P94" i="2"/>
  <c r="Q94" i="2" s="1"/>
  <c r="P92" i="2"/>
  <c r="Q92" i="2" s="1"/>
  <c r="P173" i="2"/>
  <c r="Q173" i="2" s="1"/>
  <c r="P171" i="2"/>
  <c r="Q171" i="2" s="1"/>
  <c r="X138" i="2"/>
  <c r="Y138" i="2" s="1"/>
  <c r="AE138" i="2"/>
  <c r="M21" i="20" s="1"/>
  <c r="P149" i="2"/>
  <c r="Q149" i="2" s="1"/>
  <c r="P145" i="2"/>
  <c r="Q145" i="2" s="1"/>
  <c r="P147" i="2"/>
  <c r="Q147" i="2" s="1"/>
  <c r="T28" i="2"/>
  <c r="U28" i="2" s="1"/>
  <c r="K148" i="2"/>
  <c r="L148" i="2" s="1"/>
  <c r="S168" i="2"/>
  <c r="S150" i="2"/>
  <c r="S49" i="2"/>
  <c r="S132" i="2"/>
  <c r="F150" i="2"/>
  <c r="G148" i="2" s="1"/>
  <c r="H148" i="2" s="1"/>
  <c r="S97" i="2"/>
  <c r="T196" i="2"/>
  <c r="U196" i="2" s="1"/>
  <c r="W198" i="2"/>
  <c r="J30" i="20" s="1"/>
  <c r="X198" i="2"/>
  <c r="Y198" i="2" s="1"/>
  <c r="AE198" i="2"/>
  <c r="M30" i="20" s="1"/>
  <c r="P197" i="2"/>
  <c r="Q197" i="2" s="1"/>
  <c r="P194" i="2"/>
  <c r="Q194" i="2" s="1"/>
  <c r="P193" i="2"/>
  <c r="Q193" i="2" s="1"/>
  <c r="P125" i="2"/>
  <c r="Q125" i="2" s="1"/>
  <c r="P120" i="2"/>
  <c r="Q120" i="2" s="1"/>
  <c r="W120" i="2" s="1"/>
  <c r="P121" i="2"/>
  <c r="Q121" i="2" s="1"/>
  <c r="K147" i="2"/>
  <c r="L147" i="2" s="1"/>
  <c r="P217" i="2"/>
  <c r="Q217" i="2" s="1"/>
  <c r="P192" i="2"/>
  <c r="Q192" i="2" s="1"/>
  <c r="T191" i="2"/>
  <c r="U191" i="2" s="1"/>
  <c r="T185" i="2"/>
  <c r="U185" i="2" s="1"/>
  <c r="T187" i="2"/>
  <c r="U187" i="2" s="1"/>
  <c r="T186" i="2"/>
  <c r="U186" i="2" s="1"/>
  <c r="T189" i="2"/>
  <c r="U189" i="2" s="1"/>
  <c r="T193" i="2"/>
  <c r="U193" i="2" s="1"/>
  <c r="S216" i="2"/>
  <c r="P46" i="2"/>
  <c r="Q46" i="2" s="1"/>
  <c r="AE37" i="2" l="1"/>
  <c r="M7" i="20" s="1"/>
  <c r="X37" i="2"/>
  <c r="Y37" i="2" s="1"/>
  <c r="W37" i="2"/>
  <c r="J7" i="20" s="1"/>
  <c r="W192" i="2"/>
  <c r="J29" i="20" s="1"/>
  <c r="AE25" i="2"/>
  <c r="M5" i="20" s="1"/>
  <c r="AE192" i="2"/>
  <c r="M29" i="20" s="1"/>
  <c r="T111" i="2"/>
  <c r="U111" i="2" s="1"/>
  <c r="W25" i="2"/>
  <c r="J5" i="20" s="1"/>
  <c r="G149" i="2"/>
  <c r="H149" i="2" s="1"/>
  <c r="T109" i="2"/>
  <c r="U109" i="2" s="1"/>
  <c r="S50" i="2"/>
  <c r="O75" i="2"/>
  <c r="T114" i="2"/>
  <c r="U114" i="2" s="1"/>
  <c r="T108" i="2"/>
  <c r="U108" i="2" s="1"/>
  <c r="T112" i="2"/>
  <c r="U112" i="2" s="1"/>
  <c r="K220" i="2"/>
  <c r="L220" i="2" s="1"/>
  <c r="K212" i="2"/>
  <c r="L212" i="2" s="1"/>
  <c r="K216" i="2"/>
  <c r="L216" i="2" s="1"/>
  <c r="V216" i="2" s="1"/>
  <c r="I32" i="20" s="1"/>
  <c r="K214" i="2"/>
  <c r="L214" i="2" s="1"/>
  <c r="K211" i="2"/>
  <c r="L211" i="2" s="1"/>
  <c r="K215" i="2"/>
  <c r="L215" i="2" s="1"/>
  <c r="K213" i="2"/>
  <c r="L213" i="2" s="1"/>
  <c r="K218" i="2"/>
  <c r="L218" i="2" s="1"/>
  <c r="S74" i="2"/>
  <c r="S98" i="2"/>
  <c r="W186" i="2"/>
  <c r="J28" i="20" s="1"/>
  <c r="X186" i="2"/>
  <c r="Y186" i="2" s="1"/>
  <c r="AE186" i="2"/>
  <c r="M28" i="20" s="1"/>
  <c r="G150" i="2"/>
  <c r="H150" i="2" s="1"/>
  <c r="G145" i="2"/>
  <c r="H145" i="2" s="1"/>
  <c r="G147" i="2"/>
  <c r="H147" i="2" s="1"/>
  <c r="G143" i="2"/>
  <c r="H143" i="2" s="1"/>
  <c r="G146" i="2"/>
  <c r="H146" i="2" s="1"/>
  <c r="S217" i="2"/>
  <c r="S133" i="2"/>
  <c r="S169" i="2"/>
  <c r="K217" i="2"/>
  <c r="L217" i="2" s="1"/>
  <c r="T110" i="2"/>
  <c r="U110" i="2" s="1"/>
  <c r="S151" i="2"/>
  <c r="J4" i="20"/>
  <c r="G144" i="2"/>
  <c r="H144" i="2" s="1"/>
  <c r="Y19" i="2"/>
  <c r="S152" i="2" l="1"/>
  <c r="S170" i="2"/>
  <c r="T169" i="2" s="1"/>
  <c r="U169" i="2" s="1"/>
  <c r="S218" i="2"/>
  <c r="S75" i="2"/>
  <c r="O76" i="2"/>
  <c r="S134" i="2"/>
  <c r="W108" i="2"/>
  <c r="J17" i="20" s="1"/>
  <c r="AE108" i="2"/>
  <c r="M17" i="20" s="1"/>
  <c r="X108" i="2"/>
  <c r="Y108" i="2" s="1"/>
  <c r="S51" i="2"/>
  <c r="S99" i="2"/>
  <c r="X114" i="2"/>
  <c r="Y114" i="2" s="1"/>
  <c r="W114" i="2"/>
  <c r="J18" i="20" s="1"/>
  <c r="AE114" i="2"/>
  <c r="M18" i="20" s="1"/>
  <c r="T167" i="2" l="1"/>
  <c r="U167" i="2" s="1"/>
  <c r="T160" i="2"/>
  <c r="U160" i="2" s="1"/>
  <c r="T159" i="2"/>
  <c r="U159" i="2" s="1"/>
  <c r="T168" i="2"/>
  <c r="U168" i="2" s="1"/>
  <c r="W168" i="2" s="1"/>
  <c r="S100" i="2"/>
  <c r="S135" i="2"/>
  <c r="T134" i="2" s="1"/>
  <c r="U134" i="2" s="1"/>
  <c r="S76" i="2"/>
  <c r="T170" i="2"/>
  <c r="U170" i="2" s="1"/>
  <c r="T162" i="2"/>
  <c r="U162" i="2" s="1"/>
  <c r="T161" i="2"/>
  <c r="U161" i="2" s="1"/>
  <c r="T163" i="2"/>
  <c r="U163" i="2" s="1"/>
  <c r="T157" i="2"/>
  <c r="U157" i="2" s="1"/>
  <c r="T158" i="2"/>
  <c r="U158" i="2" s="1"/>
  <c r="T165" i="2"/>
  <c r="U165" i="2" s="1"/>
  <c r="T166" i="2"/>
  <c r="U166" i="2" s="1"/>
  <c r="T164" i="2"/>
  <c r="U164" i="2" s="1"/>
  <c r="S52" i="2"/>
  <c r="O77" i="2"/>
  <c r="S219" i="2"/>
  <c r="S153" i="2"/>
  <c r="X168" i="2" l="1"/>
  <c r="Y168" i="2" s="1"/>
  <c r="AE168" i="2"/>
  <c r="S77" i="2"/>
  <c r="S220" i="2"/>
  <c r="S154" i="2"/>
  <c r="O78" i="2"/>
  <c r="P76" i="2" s="1"/>
  <c r="Q76" i="2" s="1"/>
  <c r="T135" i="2"/>
  <c r="U135" i="2" s="1"/>
  <c r="T125" i="2"/>
  <c r="U125" i="2" s="1"/>
  <c r="T123" i="2"/>
  <c r="U123" i="2" s="1"/>
  <c r="T127" i="2"/>
  <c r="U127" i="2" s="1"/>
  <c r="T133" i="2"/>
  <c r="U133" i="2" s="1"/>
  <c r="T131" i="2"/>
  <c r="U131" i="2" s="1"/>
  <c r="T126" i="2"/>
  <c r="U126" i="2" s="1"/>
  <c r="T130" i="2"/>
  <c r="U130" i="2" s="1"/>
  <c r="T122" i="2"/>
  <c r="U122" i="2" s="1"/>
  <c r="T129" i="2"/>
  <c r="U129" i="2" s="1"/>
  <c r="T132" i="2"/>
  <c r="U132" i="2" s="1"/>
  <c r="T124" i="2"/>
  <c r="U124" i="2" s="1"/>
  <c r="T128" i="2"/>
  <c r="U128" i="2" s="1"/>
  <c r="S101" i="2"/>
  <c r="P72" i="2"/>
  <c r="Q72" i="2" s="1"/>
  <c r="S53" i="2"/>
  <c r="AE162" i="2"/>
  <c r="M25" i="20" s="1"/>
  <c r="W162" i="2"/>
  <c r="J25" i="20" s="1"/>
  <c r="X162" i="2"/>
  <c r="Y162" i="2" s="1"/>
  <c r="P77" i="2" l="1"/>
  <c r="Q77" i="2" s="1"/>
  <c r="P75" i="2"/>
  <c r="Q75" i="2" s="1"/>
  <c r="P73" i="2"/>
  <c r="Q73" i="2" s="1"/>
  <c r="S54" i="2"/>
  <c r="S155" i="2"/>
  <c r="S78" i="2"/>
  <c r="X132" i="2"/>
  <c r="Y132" i="2" s="1"/>
  <c r="W132" i="2"/>
  <c r="J20" i="20" s="1"/>
  <c r="AE132" i="2"/>
  <c r="M20" i="20" s="1"/>
  <c r="W126" i="2"/>
  <c r="J19" i="20" s="1"/>
  <c r="AE126" i="2"/>
  <c r="M19" i="20" s="1"/>
  <c r="X126" i="2"/>
  <c r="Y126" i="2" s="1"/>
  <c r="S102" i="2"/>
  <c r="P78" i="2"/>
  <c r="Q78" i="2" s="1"/>
  <c r="P68" i="2"/>
  <c r="Q68" i="2" s="1"/>
  <c r="P70" i="2"/>
  <c r="Q70" i="2" s="1"/>
  <c r="P69" i="2"/>
  <c r="Q69" i="2" s="1"/>
  <c r="P71" i="2"/>
  <c r="Q71" i="2" s="1"/>
  <c r="P74" i="2"/>
  <c r="Q74" i="2" s="1"/>
  <c r="P67" i="2"/>
  <c r="Q67" i="2" s="1"/>
  <c r="S221" i="2"/>
  <c r="T220" i="2" s="1"/>
  <c r="U220" i="2" s="1"/>
  <c r="S103" i="2" l="1"/>
  <c r="S79" i="2"/>
  <c r="T78" i="2" s="1"/>
  <c r="U78" i="2" s="1"/>
  <c r="T76" i="2"/>
  <c r="U76" i="2" s="1"/>
  <c r="T221" i="2"/>
  <c r="T210" i="2"/>
  <c r="U210" i="2" s="1"/>
  <c r="T207" i="2"/>
  <c r="U207" i="2" s="1"/>
  <c r="T214" i="2"/>
  <c r="U214" i="2" s="1"/>
  <c r="T209" i="2"/>
  <c r="U209" i="2" s="1"/>
  <c r="T208" i="2"/>
  <c r="U208" i="2" s="1"/>
  <c r="T206" i="2"/>
  <c r="U206" i="2" s="1"/>
  <c r="T211" i="2"/>
  <c r="U211" i="2" s="1"/>
  <c r="T212" i="2"/>
  <c r="U212" i="2" s="1"/>
  <c r="T216" i="2"/>
  <c r="U216" i="2" s="1"/>
  <c r="T219" i="2"/>
  <c r="U219" i="2" s="1"/>
  <c r="T217" i="2"/>
  <c r="U217" i="2" s="1"/>
  <c r="T215" i="2"/>
  <c r="U215" i="2" s="1"/>
  <c r="T213" i="2"/>
  <c r="U213" i="2" s="1"/>
  <c r="T218" i="2"/>
  <c r="U218" i="2" s="1"/>
  <c r="S156" i="2"/>
  <c r="T155" i="2" s="1"/>
  <c r="U155" i="2" s="1"/>
  <c r="S55" i="2"/>
  <c r="T151" i="2" l="1"/>
  <c r="U151" i="2" s="1"/>
  <c r="T65" i="2"/>
  <c r="U65" i="2" s="1"/>
  <c r="T152" i="2"/>
  <c r="U152" i="2" s="1"/>
  <c r="T74" i="2"/>
  <c r="U74" i="2" s="1"/>
  <c r="T64" i="2"/>
  <c r="U64" i="2" s="1"/>
  <c r="S56" i="2"/>
  <c r="T153" i="2"/>
  <c r="U153" i="2" s="1"/>
  <c r="T71" i="2"/>
  <c r="U71" i="2" s="1"/>
  <c r="T72" i="2"/>
  <c r="U72" i="2" s="1"/>
  <c r="T156" i="2"/>
  <c r="U156" i="2" s="1"/>
  <c r="T144" i="2"/>
  <c r="U144" i="2" s="1"/>
  <c r="T145" i="2"/>
  <c r="U145" i="2" s="1"/>
  <c r="T143" i="2"/>
  <c r="U143" i="2" s="1"/>
  <c r="T148" i="2"/>
  <c r="U148" i="2" s="1"/>
  <c r="T149" i="2"/>
  <c r="U149" i="2" s="1"/>
  <c r="T146" i="2"/>
  <c r="U146" i="2" s="1"/>
  <c r="T154" i="2"/>
  <c r="U154" i="2" s="1"/>
  <c r="T150" i="2"/>
  <c r="U150" i="2" s="1"/>
  <c r="T79" i="2"/>
  <c r="U79" i="2" s="1"/>
  <c r="T61" i="2"/>
  <c r="U61" i="2" s="1"/>
  <c r="T60" i="2"/>
  <c r="U60" i="2" s="1"/>
  <c r="T63" i="2"/>
  <c r="U63" i="2" s="1"/>
  <c r="T68" i="2"/>
  <c r="U68" i="2" s="1"/>
  <c r="T67" i="2"/>
  <c r="U67" i="2" s="1"/>
  <c r="T62" i="2"/>
  <c r="U62" i="2" s="1"/>
  <c r="T59" i="2"/>
  <c r="U59" i="2" s="1"/>
  <c r="T66" i="2"/>
  <c r="U66" i="2" s="1"/>
  <c r="T70" i="2"/>
  <c r="U70" i="2" s="1"/>
  <c r="T69" i="2"/>
  <c r="U69" i="2" s="1"/>
  <c r="S104" i="2"/>
  <c r="T147" i="2"/>
  <c r="U147" i="2" s="1"/>
  <c r="T77" i="2"/>
  <c r="U77" i="2" s="1"/>
  <c r="W216" i="2"/>
  <c r="J32" i="20" s="1"/>
  <c r="AE216" i="2"/>
  <c r="M32" i="20" s="1"/>
  <c r="X216" i="2"/>
  <c r="Y216" i="2" s="1"/>
  <c r="W210" i="2"/>
  <c r="J31" i="20" s="1"/>
  <c r="X210" i="2"/>
  <c r="Y210" i="2" s="1"/>
  <c r="AE210" i="2"/>
  <c r="M31" i="20" s="1"/>
  <c r="T75" i="2"/>
  <c r="U75" i="2" s="1"/>
  <c r="T73" i="2"/>
  <c r="U73" i="2" s="1"/>
  <c r="S105" i="2" l="1"/>
  <c r="AE144" i="2"/>
  <c r="M22" i="20" s="1"/>
  <c r="W144" i="2"/>
  <c r="J22" i="20" s="1"/>
  <c r="X144" i="2"/>
  <c r="Y144" i="2" s="1"/>
  <c r="X150" i="2"/>
  <c r="Y150" i="2" s="1"/>
  <c r="W150" i="2"/>
  <c r="J23" i="20" s="1"/>
  <c r="AE150" i="2"/>
  <c r="M23" i="20" s="1"/>
  <c r="X156" i="2"/>
  <c r="Y156" i="2" s="1"/>
  <c r="W156" i="2"/>
  <c r="J24" i="20" s="1"/>
  <c r="X67" i="2"/>
  <c r="Y67" i="2" s="1"/>
  <c r="W67" i="2"/>
  <c r="J11" i="20" s="1"/>
  <c r="AE67" i="2"/>
  <c r="M11" i="20" s="1"/>
  <c r="X61" i="2"/>
  <c r="Y61" i="2" s="1"/>
  <c r="W61" i="2"/>
  <c r="J10" i="20" s="1"/>
  <c r="AE61" i="2"/>
  <c r="M10" i="20" s="1"/>
  <c r="W79" i="2"/>
  <c r="J13" i="20" s="1"/>
  <c r="AE79" i="2"/>
  <c r="M13" i="20" s="1"/>
  <c r="X79" i="2"/>
  <c r="Y79" i="2" s="1"/>
  <c r="S57" i="2"/>
  <c r="S106" i="2" l="1"/>
  <c r="S58" i="2"/>
  <c r="T54" i="2" s="1"/>
  <c r="U54" i="2" s="1"/>
  <c r="T55" i="2"/>
  <c r="U55" i="2" s="1"/>
  <c r="T52" i="2"/>
  <c r="U52" i="2" s="1"/>
  <c r="T58" i="2" l="1"/>
  <c r="U58" i="2" s="1"/>
  <c r="T45" i="2"/>
  <c r="U45" i="2" s="1"/>
  <c r="T43" i="2"/>
  <c r="U43" i="2" s="1"/>
  <c r="T39" i="2"/>
  <c r="U39" i="2" s="1"/>
  <c r="T42" i="2"/>
  <c r="U42" i="2" s="1"/>
  <c r="T44" i="2"/>
  <c r="U44" i="2" s="1"/>
  <c r="T47" i="2"/>
  <c r="U47" i="2" s="1"/>
  <c r="T41" i="2"/>
  <c r="U41" i="2" s="1"/>
  <c r="T38" i="2"/>
  <c r="U38" i="2" s="1"/>
  <c r="T48" i="2"/>
  <c r="U48" i="2" s="1"/>
  <c r="T40" i="2"/>
  <c r="U40" i="2" s="1"/>
  <c r="T49" i="2"/>
  <c r="U49" i="2" s="1"/>
  <c r="T46" i="2"/>
  <c r="U46" i="2" s="1"/>
  <c r="T50" i="2"/>
  <c r="U50" i="2" s="1"/>
  <c r="T56" i="2"/>
  <c r="U56" i="2" s="1"/>
  <c r="T53" i="2"/>
  <c r="U53" i="2" s="1"/>
  <c r="AE55" i="2"/>
  <c r="M9" i="20" s="1"/>
  <c r="X55" i="2"/>
  <c r="Y55" i="2" s="1"/>
  <c r="W55" i="2"/>
  <c r="J9" i="20" s="1"/>
  <c r="T51" i="2"/>
  <c r="U51" i="2" s="1"/>
  <c r="T57" i="2"/>
  <c r="U57" i="2" s="1"/>
  <c r="S107" i="2"/>
  <c r="T102" i="2" s="1"/>
  <c r="U102" i="2" s="1"/>
  <c r="AE102" i="2" l="1"/>
  <c r="M16" i="20" s="1"/>
  <c r="W102" i="2"/>
  <c r="J16" i="20" s="1"/>
  <c r="X102" i="2"/>
  <c r="Y102" i="2" s="1"/>
  <c r="T103" i="2"/>
  <c r="U103" i="2" s="1"/>
  <c r="W49" i="2"/>
  <c r="AE49" i="2"/>
  <c r="X49" i="2"/>
  <c r="Y49" i="2" s="1"/>
  <c r="T106" i="2"/>
  <c r="U106" i="2" s="1"/>
  <c r="T104" i="2"/>
  <c r="U104" i="2" s="1"/>
  <c r="T107" i="2"/>
  <c r="U107" i="2" s="1"/>
  <c r="T87" i="2"/>
  <c r="U87" i="2" s="1"/>
  <c r="T92" i="2"/>
  <c r="U92" i="2" s="1"/>
  <c r="T93" i="2"/>
  <c r="U93" i="2" s="1"/>
  <c r="T95" i="2"/>
  <c r="U95" i="2" s="1"/>
  <c r="T89" i="2"/>
  <c r="U89" i="2" s="1"/>
  <c r="T91" i="2"/>
  <c r="U91" i="2" s="1"/>
  <c r="T90" i="2"/>
  <c r="U90" i="2" s="1"/>
  <c r="T88" i="2"/>
  <c r="U88" i="2" s="1"/>
  <c r="T94" i="2"/>
  <c r="U94" i="2" s="1"/>
  <c r="T96" i="2"/>
  <c r="U96" i="2" s="1"/>
  <c r="T99" i="2"/>
  <c r="U99" i="2" s="1"/>
  <c r="T98" i="2"/>
  <c r="U98" i="2" s="1"/>
  <c r="T97" i="2"/>
  <c r="U97" i="2" s="1"/>
  <c r="T101" i="2"/>
  <c r="U101" i="2" s="1"/>
  <c r="T100" i="2"/>
  <c r="U100" i="2" s="1"/>
  <c r="W43" i="2"/>
  <c r="X43" i="2"/>
  <c r="AE43" i="2"/>
  <c r="M8" i="20" s="1"/>
  <c r="T105" i="2"/>
  <c r="U105" i="2" s="1"/>
  <c r="W91" i="2" l="1"/>
  <c r="AE91" i="2"/>
  <c r="X91" i="2"/>
  <c r="Y91" i="2" s="1"/>
  <c r="Y43" i="2"/>
  <c r="X97" i="2"/>
  <c r="Y97" i="2" s="1"/>
  <c r="W97" i="2"/>
  <c r="J15" i="20" s="1"/>
  <c r="AE97" i="2"/>
  <c r="M15" i="20" s="1"/>
  <c r="AE87" i="2"/>
  <c r="X87" i="2"/>
  <c r="Y87" i="2" s="1"/>
  <c r="W87" i="2"/>
  <c r="J14" i="20" s="1"/>
  <c r="J8" i="20"/>
  <c r="Y5" i="2" l="1"/>
  <c r="W5" i="2"/>
  <c r="M14" i="20"/>
  <c r="X5" i="2"/>
</calcChain>
</file>

<file path=xl/comments1.xml><?xml version="1.0" encoding="utf-8"?>
<comments xmlns="http://schemas.openxmlformats.org/spreadsheetml/2006/main">
  <authors>
    <author>Stijn</author>
    <author>Sophie</author>
    <author>Francis Meerburg</author>
  </authors>
  <commentList>
    <comment ref="AD5" authorId="0" shapeId="0">
      <text>
        <r>
          <rPr>
            <b/>
            <sz val="9"/>
            <color indexed="81"/>
            <rFont val="Tahoma"/>
            <family val="2"/>
          </rPr>
          <t>Stijn:</t>
        </r>
        <r>
          <rPr>
            <sz val="9"/>
            <color indexed="81"/>
            <rFont val="Tahoma"/>
            <family val="2"/>
          </rPr>
          <t xml:space="preserve">
vet = gemeten waarde
de rest gewoon gekopieerd
-&gt; is niet werkelijke waarde</t>
        </r>
      </text>
    </comment>
    <comment ref="AH5" authorId="1" shapeId="0">
      <text>
        <r>
          <rPr>
            <b/>
            <sz val="9"/>
            <color indexed="81"/>
            <rFont val="Tahoma"/>
            <charset val="1"/>
          </rPr>
          <t xml:space="preserve">Sophie:
I will check where these values are measured!
</t>
        </r>
        <r>
          <rPr>
            <sz val="9"/>
            <color indexed="81"/>
            <rFont val="Tahoma"/>
            <charset val="1"/>
          </rPr>
          <t xml:space="preserve">
</t>
        </r>
      </text>
    </comment>
    <comment ref="BZ55" authorId="2" shapeId="0">
      <text>
        <r>
          <rPr>
            <b/>
            <sz val="9"/>
            <color indexed="81"/>
            <rFont val="Tahoma"/>
            <family val="2"/>
          </rPr>
          <t>Francis Meerburg:</t>
        </r>
        <r>
          <rPr>
            <sz val="9"/>
            <color indexed="81"/>
            <rFont val="Tahoma"/>
            <family val="2"/>
          </rPr>
          <t xml:space="preserve">
&lt;4, maar gelijkgesteld aan 4 voor berekeningen
</t>
        </r>
      </text>
    </comment>
    <comment ref="BZ79" authorId="2" shapeId="0">
      <text>
        <r>
          <rPr>
            <b/>
            <sz val="9"/>
            <color indexed="81"/>
            <rFont val="Tahoma"/>
            <family val="2"/>
          </rPr>
          <t>Francis Meerburg:</t>
        </r>
        <r>
          <rPr>
            <sz val="9"/>
            <color indexed="81"/>
            <rFont val="Tahoma"/>
            <family val="2"/>
          </rPr>
          <t xml:space="preserve">
&lt;4, maar gelijkgesteld aan 4 voor berekeningen
</t>
        </r>
      </text>
    </comment>
    <comment ref="BZ210" authorId="2" shapeId="0">
      <text>
        <r>
          <rPr>
            <b/>
            <sz val="9"/>
            <color indexed="81"/>
            <rFont val="Tahoma"/>
            <family val="2"/>
          </rPr>
          <t>Francis Meerburg:</t>
        </r>
        <r>
          <rPr>
            <sz val="9"/>
            <color indexed="81"/>
            <rFont val="Tahoma"/>
            <family val="2"/>
          </rPr>
          <t xml:space="preserve">
&lt;4, maar gelijkgesteld aan 4 voor berekeningen
</t>
        </r>
      </text>
    </comment>
    <comment ref="BZ216" authorId="2" shapeId="0">
      <text>
        <r>
          <rPr>
            <b/>
            <sz val="9"/>
            <color indexed="81"/>
            <rFont val="Tahoma"/>
            <family val="2"/>
          </rPr>
          <t>Francis Meerburg:</t>
        </r>
        <r>
          <rPr>
            <sz val="9"/>
            <color indexed="81"/>
            <rFont val="Tahoma"/>
            <family val="2"/>
          </rPr>
          <t xml:space="preserve">
&lt;4, maar gelijkgesteld aan 4 voor berekeningen
</t>
        </r>
      </text>
    </comment>
  </commentList>
</comments>
</file>

<file path=xl/comments2.xml><?xml version="1.0" encoding="utf-8"?>
<comments xmlns="http://schemas.openxmlformats.org/spreadsheetml/2006/main">
  <authors>
    <author>Francis Meerburg</author>
  </authors>
  <commentList>
    <comment ref="M3" authorId="0" shapeId="0">
      <text>
        <r>
          <rPr>
            <b/>
            <sz val="9"/>
            <color indexed="81"/>
            <rFont val="Tahoma"/>
            <family val="2"/>
          </rPr>
          <t>Francis Meerburg:</t>
        </r>
        <r>
          <rPr>
            <sz val="9"/>
            <color indexed="81"/>
            <rFont val="Tahoma"/>
            <family val="2"/>
          </rPr>
          <t xml:space="preserve">
For measurements by Chaim, date of measurement and not of sludge collection
</t>
        </r>
      </text>
    </comment>
    <comment ref="N3" authorId="0" shapeId="0">
      <text>
        <r>
          <rPr>
            <b/>
            <sz val="9"/>
            <color indexed="81"/>
            <rFont val="Tahoma"/>
            <family val="2"/>
          </rPr>
          <t>Francis Meerburg:</t>
        </r>
        <r>
          <rPr>
            <sz val="9"/>
            <color indexed="81"/>
            <rFont val="Tahoma"/>
            <family val="2"/>
          </rPr>
          <t xml:space="preserve">
For measurements by Chaim, date of measurement and not of sludge collection
</t>
        </r>
      </text>
    </comment>
  </commentList>
</comments>
</file>

<file path=xl/comments3.xml><?xml version="1.0" encoding="utf-8"?>
<comments xmlns="http://schemas.openxmlformats.org/spreadsheetml/2006/main">
  <authors>
    <author>Francis Meerburg</author>
    <author>Stijn</author>
  </authors>
  <commentList>
    <comment ref="B4" authorId="0" shapeId="0">
      <text>
        <r>
          <rPr>
            <b/>
            <sz val="9"/>
            <color indexed="81"/>
            <rFont val="Tahoma"/>
            <family val="2"/>
          </rPr>
          <t>Francis Meerburg:</t>
        </r>
        <r>
          <rPr>
            <sz val="9"/>
            <color indexed="81"/>
            <rFont val="Tahoma"/>
            <family val="2"/>
          </rPr>
          <t xml:space="preserve">
assumptie</t>
        </r>
      </text>
    </comment>
    <comment ref="B6" authorId="1" shapeId="0">
      <text>
        <r>
          <rPr>
            <b/>
            <sz val="9"/>
            <color indexed="81"/>
            <rFont val="Tahoma"/>
            <family val="2"/>
          </rPr>
          <t>Stijn:</t>
        </r>
        <r>
          <rPr>
            <sz val="9"/>
            <color indexed="81"/>
            <rFont val="Tahoma"/>
            <family val="2"/>
          </rPr>
          <t xml:space="preserve">
ratio wordt gebruikt om de BOD te berekenen daar waar enkel COD bekend is (= theoretische BOD)
Is enkel nodig voor Qin, aangezien resolutie COD (wekelijks) hoger is dan die van BOD.
Voor Qrtwt heeft dit geen zin, aangezien COD en BOD daar steeds samen worden gemeten (maandelijks)</t>
        </r>
      </text>
    </comment>
    <comment ref="R6" authorId="0" shapeId="0">
      <text>
        <r>
          <rPr>
            <b/>
            <sz val="9"/>
            <color indexed="81"/>
            <rFont val="Tahoma"/>
            <family val="2"/>
          </rPr>
          <t>Francis Meerburg:</t>
        </r>
        <r>
          <rPr>
            <sz val="9"/>
            <color indexed="81"/>
            <rFont val="Tahoma"/>
            <family val="2"/>
          </rPr>
          <t xml:space="preserve">
met assumptie dat dichtheid = 1</t>
        </r>
      </text>
    </comment>
    <comment ref="V6" authorId="1" shapeId="0">
      <text>
        <r>
          <rPr>
            <b/>
            <sz val="9"/>
            <color indexed="81"/>
            <rFont val="Tahoma"/>
            <family val="2"/>
          </rPr>
          <t>Stijn:</t>
        </r>
        <r>
          <rPr>
            <sz val="9"/>
            <color indexed="81"/>
            <rFont val="Tahoma"/>
            <family val="2"/>
          </rPr>
          <t xml:space="preserve">
Formule: dagelijkse inkomende BOD/VSS-inhoud reactor
Bx = (Qaflin*BODaflin)/(Va*VSSa)
opmerking: 
- BODaflin is berekend als CODaflin*ratio_avg(BOD/COD)
- BODrtwt te lage resolutie en weinig contributie tot totale belasting, niet meegerekend...
- VSSa werd geinterpoleerd (hoge resolutie + lagere variatie + minder dynamiek) om Bx te kunnen berekenen op die punten waar BOD bekend is (zodat het zou overeenkomen)</t>
        </r>
      </text>
    </comment>
    <comment ref="W6" authorId="1" shapeId="0">
      <text>
        <r>
          <rPr>
            <b/>
            <sz val="9"/>
            <color indexed="81"/>
            <rFont val="Tahoma"/>
            <family val="2"/>
          </rPr>
          <t xml:space="preserve">Stijn:
Formule
SRTsyst = (Va + Vtbt)*Xa/(Qw*Xw + Qafltbt * Xafltbt)
</t>
        </r>
      </text>
    </comment>
    <comment ref="X6" authorId="1" shapeId="0">
      <text>
        <r>
          <rPr>
            <b/>
            <sz val="9"/>
            <color indexed="81"/>
            <rFont val="Tahoma"/>
            <family val="2"/>
          </rPr>
          <t>Stijn:</t>
        </r>
        <r>
          <rPr>
            <sz val="9"/>
            <color indexed="81"/>
            <rFont val="Tahoma"/>
            <family val="2"/>
          </rPr>
          <t xml:space="preserve">
</t>
        </r>
        <r>
          <rPr>
            <b/>
            <sz val="9"/>
            <color indexed="81"/>
            <rFont val="Tahoma"/>
            <family val="2"/>
          </rPr>
          <t xml:space="preserve">Formule: SRTreactor =  Va*Xa/(Qw*Xw + Qafltbt*Xafltbt)
</t>
        </r>
      </text>
    </comment>
    <comment ref="Y6" authorId="1" shapeId="0">
      <text>
        <r>
          <rPr>
            <b/>
            <sz val="9"/>
            <color indexed="81"/>
            <rFont val="Tahoma"/>
            <family val="2"/>
          </rPr>
          <t xml:space="preserve">Stijn:
Formule: SRTaer = SRTreact*fbelucht
</t>
        </r>
        <r>
          <rPr>
            <sz val="9"/>
            <color indexed="81"/>
            <rFont val="Tahoma"/>
            <family val="2"/>
          </rPr>
          <t xml:space="preserve">
fractie belucht = 1/2 verondersteld</t>
        </r>
      </text>
    </comment>
    <comment ref="AE6" authorId="0" shapeId="0">
      <text>
        <r>
          <rPr>
            <b/>
            <sz val="9"/>
            <color indexed="81"/>
            <rFont val="Tahoma"/>
            <family val="2"/>
          </rPr>
          <t>Francis Meerburg:</t>
        </r>
        <r>
          <rPr>
            <sz val="9"/>
            <color indexed="81"/>
            <rFont val="Tahoma"/>
            <family val="2"/>
          </rPr>
          <t xml:space="preserve">
Y berekend met waarden voor TSSw geinterpoleerd, want die zijn niet bekend op dezelfde dag.
Volume TBT ook ingecalculeerd!
Yield voor nitrificeerders ook ingecalculeerd.</t>
        </r>
      </text>
    </comment>
    <comment ref="AF6" authorId="0" shapeId="0">
      <text>
        <r>
          <rPr>
            <b/>
            <sz val="9"/>
            <color indexed="81"/>
            <rFont val="Tahoma"/>
            <family val="2"/>
          </rPr>
          <t>Francis Meerburg:</t>
        </r>
        <r>
          <rPr>
            <sz val="9"/>
            <color indexed="81"/>
            <rFont val="Tahoma"/>
            <family val="2"/>
          </rPr>
          <t xml:space="preserve">
by oxidation and sludge production</t>
        </r>
      </text>
    </comment>
  </commentList>
</comments>
</file>

<file path=xl/comments4.xml><?xml version="1.0" encoding="utf-8"?>
<comments xmlns="http://schemas.openxmlformats.org/spreadsheetml/2006/main">
  <authors>
    <author>Francis Meerburg</author>
    <author>Author</author>
    <author>Stijn</author>
  </authors>
  <commentList>
    <comment ref="G1" authorId="0" shapeId="0">
      <text>
        <r>
          <rPr>
            <b/>
            <sz val="9"/>
            <color indexed="81"/>
            <rFont val="Tahoma"/>
            <family val="2"/>
          </rPr>
          <t>Francis Meerburg:</t>
        </r>
        <r>
          <rPr>
            <sz val="9"/>
            <color indexed="81"/>
            <rFont val="Tahoma"/>
            <family val="2"/>
          </rPr>
          <t xml:space="preserve">
(source file: 'Gao 2011 Case study Nieuwveer')</t>
        </r>
      </text>
    </comment>
    <comment ref="D2" authorId="1" shapeId="0">
      <text>
        <r>
          <rPr>
            <b/>
            <sz val="9"/>
            <color indexed="81"/>
            <rFont val="Tahoma"/>
            <family val="2"/>
          </rPr>
          <t xml:space="preserve">Author:
totaal 1+2+3 = oude reactors
</t>
        </r>
        <r>
          <rPr>
            <sz val="9"/>
            <color indexed="81"/>
            <rFont val="Tahoma"/>
            <family val="2"/>
          </rPr>
          <t xml:space="preserve">
</t>
        </r>
      </text>
    </comment>
    <comment ref="B6" authorId="2" shapeId="0">
      <text>
        <r>
          <rPr>
            <b/>
            <sz val="9"/>
            <color indexed="81"/>
            <rFont val="Tahoma"/>
            <family val="2"/>
          </rPr>
          <t>Stijn:</t>
        </r>
        <r>
          <rPr>
            <sz val="9"/>
            <color indexed="81"/>
            <rFont val="Tahoma"/>
            <family val="2"/>
          </rPr>
          <t xml:space="preserve">
ratio wordt gebruikt om de BOD te berekenen daar waar enkel COD bekend is (= theoretische BOD)
Is enkel nodig voor Qin, aangezien resolutie COD (wekelijks) hoger is dan die van BOD.
Voor Qrtwt heeft dit geen zin, aangezien COD en BOD daar steeds samen worden gemeten (maandelijks)</t>
        </r>
      </text>
    </comment>
    <comment ref="F6" authorId="1" shapeId="0">
      <text>
        <r>
          <rPr>
            <b/>
            <sz val="9"/>
            <color indexed="81"/>
            <rFont val="Tahoma"/>
            <family val="2"/>
          </rPr>
          <t>Author:</t>
        </r>
        <r>
          <rPr>
            <sz val="9"/>
            <color indexed="81"/>
            <rFont val="Tahoma"/>
            <family val="2"/>
          </rPr>
          <t xml:space="preserve">
= gewogen gemiddelde, gewicht = reactorvolumes
</t>
        </r>
      </text>
    </comment>
    <comment ref="G6" authorId="0" shapeId="0">
      <text>
        <r>
          <rPr>
            <b/>
            <sz val="9"/>
            <color indexed="81"/>
            <rFont val="Tahoma"/>
            <family val="2"/>
          </rPr>
          <t>Francis Meerburg:</t>
        </r>
        <r>
          <rPr>
            <sz val="9"/>
            <color indexed="81"/>
            <rFont val="Tahoma"/>
            <family val="2"/>
          </rPr>
          <t xml:space="preserve">
only when gloeirest is available!</t>
        </r>
      </text>
    </comment>
    <comment ref="I6" authorId="1" shapeId="0">
      <text>
        <r>
          <rPr>
            <b/>
            <sz val="9"/>
            <color indexed="81"/>
            <rFont val="Tahoma"/>
            <family val="2"/>
          </rPr>
          <t xml:space="preserve">Author:
idem TSSgem
</t>
        </r>
        <r>
          <rPr>
            <sz val="9"/>
            <color indexed="81"/>
            <rFont val="Tahoma"/>
            <family val="2"/>
          </rPr>
          <t xml:space="preserve">
</t>
        </r>
      </text>
    </comment>
    <comment ref="O6" authorId="1" shapeId="0">
      <text>
        <r>
          <rPr>
            <b/>
            <sz val="9"/>
            <color indexed="81"/>
            <rFont val="Tahoma"/>
            <family val="2"/>
          </rPr>
          <t>Author:</t>
        </r>
        <r>
          <rPr>
            <sz val="9"/>
            <color indexed="81"/>
            <rFont val="Tahoma"/>
            <family val="2"/>
          </rPr>
          <t xml:space="preserve">
theoretische VSS voor reactor 4 door verhouding VSS/TSS * TSS4
</t>
        </r>
      </text>
    </comment>
    <comment ref="P6" authorId="1" shapeId="0">
      <text>
        <r>
          <rPr>
            <b/>
            <sz val="9"/>
            <color indexed="81"/>
            <rFont val="Tahoma"/>
            <family val="2"/>
          </rPr>
          <t>Author:</t>
        </r>
        <r>
          <rPr>
            <sz val="9"/>
            <color indexed="81"/>
            <rFont val="Tahoma"/>
            <family val="2"/>
          </rPr>
          <t xml:space="preserve">
= VSSgemiddeld aan de hand van VSS/TSS ratio
</t>
        </r>
      </text>
    </comment>
    <comment ref="AD6" authorId="0" shapeId="0">
      <text>
        <r>
          <rPr>
            <b/>
            <sz val="9"/>
            <color indexed="81"/>
            <rFont val="Tahoma"/>
            <family val="2"/>
          </rPr>
          <t>Francis Meerburg:</t>
        </r>
        <r>
          <rPr>
            <sz val="9"/>
            <color indexed="81"/>
            <rFont val="Tahoma"/>
            <family val="2"/>
          </rPr>
          <t xml:space="preserve">
Formula with volume of settlers also incalculated.
Careful: Qeff(B) = Qeff(final)+ Qeff(recirculated to A stage)!
Nitrification yield is also included here!</t>
        </r>
      </text>
    </comment>
    <comment ref="S8" authorId="0" shapeId="0">
      <text>
        <r>
          <rPr>
            <b/>
            <sz val="9"/>
            <color indexed="81"/>
            <rFont val="Tahoma"/>
            <family val="2"/>
          </rPr>
          <t>Francis Meerburg:</t>
        </r>
        <r>
          <rPr>
            <sz val="9"/>
            <color indexed="81"/>
            <rFont val="Tahoma"/>
            <family val="2"/>
          </rPr>
          <t xml:space="preserve">
only if there is TSSeff data</t>
        </r>
      </text>
    </comment>
    <comment ref="T8" authorId="0" shapeId="0">
      <text>
        <r>
          <rPr>
            <b/>
            <sz val="9"/>
            <color indexed="81"/>
            <rFont val="Tahoma"/>
            <family val="2"/>
          </rPr>
          <t>Francis Meerburg:</t>
        </r>
        <r>
          <rPr>
            <sz val="9"/>
            <color indexed="81"/>
            <rFont val="Tahoma"/>
            <family val="2"/>
          </rPr>
          <t xml:space="preserve">
only if there is TSSeff data</t>
        </r>
      </text>
    </comment>
    <comment ref="U8" authorId="0" shapeId="0">
      <text>
        <r>
          <rPr>
            <b/>
            <sz val="9"/>
            <color indexed="81"/>
            <rFont val="Tahoma"/>
            <family val="2"/>
          </rPr>
          <t>Francis Meerburg:</t>
        </r>
        <r>
          <rPr>
            <sz val="9"/>
            <color indexed="81"/>
            <rFont val="Tahoma"/>
            <family val="2"/>
          </rPr>
          <t xml:space="preserve">
only if there is TSSeff data</t>
        </r>
      </text>
    </comment>
    <comment ref="V8" authorId="0" shapeId="0">
      <text>
        <r>
          <rPr>
            <b/>
            <sz val="9"/>
            <color indexed="81"/>
            <rFont val="Tahoma"/>
            <family val="2"/>
          </rPr>
          <t>Francis Meerburg:</t>
        </r>
        <r>
          <rPr>
            <sz val="9"/>
            <color indexed="81"/>
            <rFont val="Tahoma"/>
            <family val="2"/>
          </rPr>
          <t xml:space="preserve">
only if there is TSSeff data</t>
        </r>
      </text>
    </comment>
    <comment ref="W8" authorId="0" shapeId="0">
      <text>
        <r>
          <rPr>
            <b/>
            <sz val="9"/>
            <color indexed="81"/>
            <rFont val="Tahoma"/>
            <family val="2"/>
          </rPr>
          <t>Francis Meerburg:</t>
        </r>
        <r>
          <rPr>
            <sz val="9"/>
            <color indexed="81"/>
            <rFont val="Tahoma"/>
            <family val="2"/>
          </rPr>
          <t xml:space="preserve">
only if there is TSSeff data</t>
        </r>
      </text>
    </comment>
    <comment ref="X8" authorId="0" shapeId="0">
      <text>
        <r>
          <rPr>
            <b/>
            <sz val="9"/>
            <color indexed="81"/>
            <rFont val="Tahoma"/>
            <family val="2"/>
          </rPr>
          <t>Francis Meerburg:</t>
        </r>
        <r>
          <rPr>
            <sz val="9"/>
            <color indexed="81"/>
            <rFont val="Tahoma"/>
            <family val="2"/>
          </rPr>
          <t xml:space="preserve">
only if there is TSSeff data</t>
        </r>
      </text>
    </comment>
    <comment ref="Y8" authorId="0" shapeId="0">
      <text>
        <r>
          <rPr>
            <b/>
            <sz val="9"/>
            <color indexed="81"/>
            <rFont val="Tahoma"/>
            <family val="2"/>
          </rPr>
          <t>Francis Meerburg:</t>
        </r>
        <r>
          <rPr>
            <sz val="9"/>
            <color indexed="81"/>
            <rFont val="Tahoma"/>
            <family val="2"/>
          </rPr>
          <t xml:space="preserve">
only if there is TSSeff data</t>
        </r>
      </text>
    </comment>
    <comment ref="Z8" authorId="0" shapeId="0">
      <text>
        <r>
          <rPr>
            <b/>
            <sz val="9"/>
            <color indexed="81"/>
            <rFont val="Tahoma"/>
            <family val="2"/>
          </rPr>
          <t>Francis Meerburg:</t>
        </r>
        <r>
          <rPr>
            <sz val="9"/>
            <color indexed="81"/>
            <rFont val="Tahoma"/>
            <family val="2"/>
          </rPr>
          <t xml:space="preserve">
only if there is TSSeff data</t>
        </r>
      </text>
    </comment>
    <comment ref="AA8" authorId="0" shapeId="0">
      <text>
        <r>
          <rPr>
            <b/>
            <sz val="9"/>
            <color indexed="81"/>
            <rFont val="Tahoma"/>
            <family val="2"/>
          </rPr>
          <t>Francis Meerburg:</t>
        </r>
        <r>
          <rPr>
            <sz val="9"/>
            <color indexed="81"/>
            <rFont val="Tahoma"/>
            <family val="2"/>
          </rPr>
          <t xml:space="preserve">
only if there is TSSeff data</t>
        </r>
      </text>
    </comment>
  </commentList>
</comments>
</file>

<file path=xl/sharedStrings.xml><?xml version="1.0" encoding="utf-8"?>
<sst xmlns="http://schemas.openxmlformats.org/spreadsheetml/2006/main" count="954" uniqueCount="329">
  <si>
    <t>Algemeen influent</t>
  </si>
  <si>
    <t>Effl recir</t>
  </si>
  <si>
    <t>Influent</t>
  </si>
  <si>
    <t>CZV</t>
  </si>
  <si>
    <t>BZV</t>
  </si>
  <si>
    <t>Kjeldahl N</t>
  </si>
  <si>
    <t>fosfaat P</t>
  </si>
  <si>
    <t>droogrest</t>
  </si>
  <si>
    <t>I.E.</t>
  </si>
  <si>
    <t>pH</t>
  </si>
  <si>
    <t>Hoev.heid m3</t>
  </si>
  <si>
    <t>NO2-N</t>
  </si>
  <si>
    <t>NO3-N</t>
  </si>
  <si>
    <t>gloeirest</t>
  </si>
  <si>
    <t>NOx monitor</t>
  </si>
  <si>
    <t>mg/L</t>
  </si>
  <si>
    <t>mg/kg</t>
  </si>
  <si>
    <t>%</t>
  </si>
  <si>
    <t>mm</t>
  </si>
  <si>
    <t>m3</t>
  </si>
  <si>
    <t>kg/d</t>
  </si>
  <si>
    <t>ml/l</t>
  </si>
  <si>
    <t>Algemeen rendement beluchting 1e trap</t>
  </si>
  <si>
    <t>Rendement beluchting 1e trap</t>
  </si>
  <si>
    <t>Energ/TZVv</t>
  </si>
  <si>
    <t>kWh/kg</t>
  </si>
  <si>
    <t>Titel</t>
  </si>
  <si>
    <t>Categorie</t>
  </si>
  <si>
    <t>Parameter</t>
  </si>
  <si>
    <t>SVI</t>
  </si>
  <si>
    <t>Algemeen beluchting 1</t>
  </si>
  <si>
    <t>Inh blt 1</t>
  </si>
  <si>
    <t>VTP24 droogrest</t>
  </si>
  <si>
    <t>g/L</t>
  </si>
  <si>
    <t>Spui blt 1</t>
  </si>
  <si>
    <t>mL/g</t>
  </si>
  <si>
    <t>Rtslb NBT2</t>
  </si>
  <si>
    <t>Algemeen beluchting 2</t>
  </si>
  <si>
    <t>Inh blt 2</t>
  </si>
  <si>
    <t>Spui blt 2</t>
  </si>
  <si>
    <t>Rtslb NBT4</t>
  </si>
  <si>
    <t>Algemeen beluchting 3</t>
  </si>
  <si>
    <t>Inh blt 3</t>
  </si>
  <si>
    <t>Spui blt 3</t>
  </si>
  <si>
    <t>Rtslb NBT6</t>
  </si>
  <si>
    <t>Algemeen beluchting 4</t>
  </si>
  <si>
    <t>Inh blt 4</t>
  </si>
  <si>
    <t>SVI TPL</t>
  </si>
  <si>
    <t>temp</t>
  </si>
  <si>
    <t>°C</t>
  </si>
  <si>
    <t>Algemeen effluent</t>
  </si>
  <si>
    <t>Effluent</t>
  </si>
  <si>
    <t>Ammonium-N gefiltr</t>
  </si>
  <si>
    <t>NO2-N gefiltr</t>
  </si>
  <si>
    <t>NO3-N gefiltr</t>
  </si>
  <si>
    <t>Ortho-P gefiltr</t>
  </si>
  <si>
    <t>fosfaat P totaal</t>
  </si>
  <si>
    <t>Algemeen rendement tweede trap</t>
  </si>
  <si>
    <t>Rendement 2e trap</t>
  </si>
  <si>
    <t>FeSO4 tot</t>
  </si>
  <si>
    <t>Hoev.heid</t>
  </si>
  <si>
    <t>kg</t>
  </si>
  <si>
    <t>Algemeen elektriciteit</t>
  </si>
  <si>
    <t>Elektr ink</t>
  </si>
  <si>
    <t>kWh</t>
  </si>
  <si>
    <t>Elec BLT A</t>
  </si>
  <si>
    <t>Elek BLT 4</t>
  </si>
  <si>
    <t>Elek 2e tr</t>
  </si>
  <si>
    <t>Elek slibl</t>
  </si>
  <si>
    <t>Algemeen slib toevoeren andere RWZI's</t>
  </si>
  <si>
    <t>Toev B-N</t>
  </si>
  <si>
    <t>Toev Chaam</t>
  </si>
  <si>
    <t>Toev Riel</t>
  </si>
  <si>
    <t>Toev Rijen</t>
  </si>
  <si>
    <t>Toev Dmond</t>
  </si>
  <si>
    <t>Toev Waspi</t>
  </si>
  <si>
    <t>Toev L-Zwa</t>
  </si>
  <si>
    <t>Algemeen gisting</t>
  </si>
  <si>
    <t>Bio pro GT</t>
  </si>
  <si>
    <t>methaan</t>
  </si>
  <si>
    <t>CO2</t>
  </si>
  <si>
    <t>zuurstof</t>
  </si>
  <si>
    <t>BG V elek</t>
  </si>
  <si>
    <t>Algemeen toevoer bandindikker 1</t>
  </si>
  <si>
    <t>Stam PEBI1</t>
  </si>
  <si>
    <t>verbruik</t>
  </si>
  <si>
    <t>Algemeen toevoer bandindikker 2</t>
  </si>
  <si>
    <t>Stam PEBI2</t>
  </si>
  <si>
    <t>Algemeen toevoer bandindikker 3</t>
  </si>
  <si>
    <t>Stam PEBI3</t>
  </si>
  <si>
    <t>Algemeen zeefbandpers totaal</t>
  </si>
  <si>
    <t>Verbr PE</t>
  </si>
  <si>
    <t>Algemeen afvoer slibkoek</t>
  </si>
  <si>
    <t>Afv silo</t>
  </si>
  <si>
    <t>hoev.heid</t>
  </si>
  <si>
    <t>indamprest</t>
  </si>
  <si>
    <t>gloeirest ir 600°C</t>
  </si>
  <si>
    <t>Algemeen slibafvoer naar elders</t>
  </si>
  <si>
    <t>Afv zand</t>
  </si>
  <si>
    <t>aantal vrachten</t>
  </si>
  <si>
    <t>.</t>
  </si>
  <si>
    <t>tpl</t>
  </si>
  <si>
    <t>monitor</t>
  </si>
  <si>
    <t>juistheid??</t>
  </si>
  <si>
    <t>Elek BLT 1</t>
  </si>
  <si>
    <t>Elek BLT 2</t>
  </si>
  <si>
    <t>Elek BLT 3</t>
  </si>
  <si>
    <t>Spui blt 4</t>
  </si>
  <si>
    <t>Rtslb NBT7</t>
  </si>
  <si>
    <t>is oude meter</t>
  </si>
  <si>
    <t>Date</t>
  </si>
  <si>
    <t>Recirculation factor</t>
  </si>
  <si>
    <t>d</t>
  </si>
  <si>
    <t>gTSS/gCOD</t>
  </si>
  <si>
    <t>D[4,3]</t>
  </si>
  <si>
    <t>EPS protein</t>
  </si>
  <si>
    <t>Ks</t>
  </si>
  <si>
    <t>=Qrecirc/Qin</t>
  </si>
  <si>
    <t>Volume A-trap</t>
  </si>
  <si>
    <t>m³</t>
  </si>
  <si>
    <t>fractie belucht</t>
  </si>
  <si>
    <t>Volume TBT totaal</t>
  </si>
  <si>
    <t>d-1</t>
  </si>
  <si>
    <t>Metingen dichtheid slib:</t>
  </si>
  <si>
    <t>tot</t>
  </si>
  <si>
    <t>Bx zonder rtwt</t>
  </si>
  <si>
    <t>theoretische BOD Qaflinfl</t>
  </si>
  <si>
    <t>TSSa_origineel</t>
  </si>
  <si>
    <t>VSSa_origineel</t>
  </si>
  <si>
    <t>Metadata</t>
  </si>
  <si>
    <t>Zuivering halve dag stilgelegd als experiment om te zien of de installatie dit aankan.</t>
  </si>
  <si>
    <t>Oktober: enten van Demon, bedrijven op 5 m³/h</t>
  </si>
  <si>
    <t>Gedurende December: Demon opdrijven van 5 naar 10 m³/h</t>
  </si>
  <si>
    <t>Demon volledig operationeel en effluentrecirculatie verlaagd. Verlaging naar max debiet van 3000 m3 per uur tot minstens eind Mei. Langere retentietijden, dus betere scheiding in TBT. Retourslibvijzels in B-trap van 800 naar 400 m3/h verlaagd. Dries meldt dat B-slib veel makkelijker bezinkt en centrifugeert.</t>
  </si>
  <si>
    <t>Tot en met maart 2014 was effluentrecirculatie zodanig geregeld dat Qafl infvij altijd 10000 m3/h was</t>
  </si>
  <si>
    <t>PSD</t>
  </si>
  <si>
    <t>Source file: 'Summary PSD'</t>
  </si>
  <si>
    <t>A-sludge</t>
  </si>
  <si>
    <t>B-sludge</t>
  </si>
  <si>
    <t>TSS</t>
  </si>
  <si>
    <t>VSS</t>
  </si>
  <si>
    <t>LabMET measurements</t>
  </si>
  <si>
    <t>ratio CODtot/CODdiss afl TBT</t>
  </si>
  <si>
    <t>Source file: 'TSS_VSS_B slib Chaim en FM'</t>
  </si>
  <si>
    <t>Source file: '20140407 Data Nieuwveer Oct13 -Feb14 en TSS_VSS_A slib Stijn en FM'</t>
  </si>
  <si>
    <t>BOD/COD ratio Qaflinfvij</t>
  </si>
  <si>
    <t>Average</t>
  </si>
  <si>
    <t>TSSa interpol</t>
  </si>
  <si>
    <t>VSSa interpol</t>
  </si>
  <si>
    <t>kg/L</t>
  </si>
  <si>
    <t>HRTnom A</t>
  </si>
  <si>
    <t>pagina in MOP systeem</t>
  </si>
  <si>
    <t>TSS(afl TBT) interpol</t>
  </si>
  <si>
    <t>TSS(afl TBT) origineel</t>
  </si>
  <si>
    <t>days since last measurement</t>
  </si>
  <si>
    <t>weight factor for influence of next measurement</t>
  </si>
  <si>
    <t>TSSw origineel</t>
  </si>
  <si>
    <t>TSSw interpol</t>
  </si>
  <si>
    <t>g BOD/g VSS .d</t>
  </si>
  <si>
    <t>SRTsystem A</t>
  </si>
  <si>
    <t>SRTreactor A</t>
  </si>
  <si>
    <t>SRTaer A</t>
  </si>
  <si>
    <t>CODdiss load spui A</t>
  </si>
  <si>
    <t>CODtot load afl TBT</t>
  </si>
  <si>
    <t>CODdiss load afl TBT</t>
  </si>
  <si>
    <t>CODtot load in A</t>
  </si>
  <si>
    <t>COD removed in A</t>
  </si>
  <si>
    <t>VSS/TSS A</t>
  </si>
  <si>
    <t>mg BSA/L</t>
  </si>
  <si>
    <t>Source file: 'EPS protein'</t>
  </si>
  <si>
    <t>absolute</t>
  </si>
  <si>
    <t>mg BSA/gVSS</t>
  </si>
  <si>
    <t>specific</t>
  </si>
  <si>
    <t>µmax (for Ks=10)</t>
  </si>
  <si>
    <t>TSS retourslib</t>
  </si>
  <si>
    <t>VSS retourslib</t>
  </si>
  <si>
    <t>beluchte fractie</t>
  </si>
  <si>
    <t>fractie Qafltbt</t>
  </si>
  <si>
    <t>naar 1,2,3</t>
  </si>
  <si>
    <t>ratio CODtot/CODsol</t>
  </si>
  <si>
    <t>old</t>
  </si>
  <si>
    <t>naar 4</t>
  </si>
  <si>
    <t>effluent</t>
  </si>
  <si>
    <t>new</t>
  </si>
  <si>
    <t>Breactors</t>
  </si>
  <si>
    <t>TSSgem</t>
  </si>
  <si>
    <t>VSSgem</t>
  </si>
  <si>
    <t>VSStheor</t>
  </si>
  <si>
    <t>VSS theor</t>
  </si>
  <si>
    <t>react 4</t>
  </si>
  <si>
    <t>Bx 4</t>
  </si>
  <si>
    <t>SRTsyst 4</t>
  </si>
  <si>
    <t>SRTreactor 4</t>
  </si>
  <si>
    <t>SRTaer 4</t>
  </si>
  <si>
    <t>Rr</t>
  </si>
  <si>
    <t>g COD/gVSS/d</t>
  </si>
  <si>
    <t>= trap 1+2+3</t>
  </si>
  <si>
    <t>=trap 4</t>
  </si>
  <si>
    <t>=tot</t>
  </si>
  <si>
    <t>Volume bezinkers</t>
  </si>
  <si>
    <t>Volume B tanks</t>
  </si>
  <si>
    <t>(source file: '20140203 COD fractionering')</t>
  </si>
  <si>
    <t>(source file: 'Gao 2011 Case study Nieuwveer')</t>
  </si>
  <si>
    <t>TSS 1,2,3 gem</t>
  </si>
  <si>
    <t>TSS 4</t>
  </si>
  <si>
    <t>VSS/TSS 1</t>
  </si>
  <si>
    <t>VSS/TSS 2</t>
  </si>
  <si>
    <t>VSS/TSS 3</t>
  </si>
  <si>
    <t>VSS/TSS 4</t>
  </si>
  <si>
    <t>VSS/TSS average</t>
  </si>
  <si>
    <t>VSS 1,2,3 gem</t>
  </si>
  <si>
    <t>VSS 4</t>
  </si>
  <si>
    <t>g BOD/gVSS/d</t>
  </si>
  <si>
    <t>BOD/COD ratio Qafl TBT</t>
  </si>
  <si>
    <t>theoretische BOD Qafl TBT</t>
  </si>
  <si>
    <t>Bx tot</t>
  </si>
  <si>
    <t>SRTsys 1</t>
  </si>
  <si>
    <t>SRTsys 2</t>
  </si>
  <si>
    <t>SRTsys 3</t>
  </si>
  <si>
    <t>SRTsys 1+2+3</t>
  </si>
  <si>
    <t>SRTreactor 1+2+3</t>
  </si>
  <si>
    <t>SRTsys tot</t>
  </si>
  <si>
    <t>% difference</t>
  </si>
  <si>
    <t>Dy 1 week</t>
  </si>
  <si>
    <t>Evenness</t>
  </si>
  <si>
    <t>Co (=100*Gini)</t>
  </si>
  <si>
    <t>Range-weighted richness</t>
  </si>
  <si>
    <t>HRTnom 4</t>
  </si>
  <si>
    <t>HRTnom tot</t>
  </si>
  <si>
    <t>CODtot removed in B (overall)</t>
  </si>
  <si>
    <t>fraction</t>
  </si>
  <si>
    <t>Day</t>
  </si>
  <si>
    <t>Temperature</t>
  </si>
  <si>
    <t>Yobs(TSS) 4</t>
  </si>
  <si>
    <t>Yobs(TSS) tot</t>
  </si>
  <si>
    <t>Yobs(TSS) zonder rtwt</t>
  </si>
  <si>
    <t>Source file: 'Richness and MRM data Oct13-Jan14 and 'Richness and MRM data Feb14-Apr14'</t>
  </si>
  <si>
    <t>Source file: 'Evenness B-stage Oct13-Jan14' and 'Evenness B-stage Feb14-Apr14'</t>
  </si>
  <si>
    <t>Source file: 'Dynanics Oct13-Jan14' and 'Dynamics Feb14-Apr14'</t>
  </si>
  <si>
    <t>Source file: 'Evenness A-stage Oct13-Jan14' and 'Evenness A-stage Feb14-Apr14'</t>
  </si>
  <si>
    <t>Source file: '20140407_Data Nieuwveer Oct13-Feb14'</t>
  </si>
  <si>
    <t>????</t>
  </si>
  <si>
    <t>AANGEPAST</t>
  </si>
  <si>
    <t>VSS.TSS</t>
  </si>
  <si>
    <t>R.factor</t>
  </si>
  <si>
    <t>Bx</t>
  </si>
  <si>
    <t>SRTsyst</t>
  </si>
  <si>
    <t>HRTnom</t>
  </si>
  <si>
    <t>COD.removed</t>
  </si>
  <si>
    <t>Yobs</t>
  </si>
  <si>
    <t>D.4.3</t>
  </si>
  <si>
    <t>EPS</t>
  </si>
  <si>
    <t>µmax.Ks.10</t>
  </si>
  <si>
    <t>Co</t>
  </si>
  <si>
    <t>Dy</t>
  </si>
  <si>
    <t>BOD</t>
  </si>
  <si>
    <t>A-stage</t>
  </si>
  <si>
    <t>B-stage</t>
  </si>
  <si>
    <t>! Data for B4 everywhere, except BOD, Bx, SRT, Yobs</t>
  </si>
  <si>
    <t>Neerslag</t>
  </si>
  <si>
    <t>KjN</t>
  </si>
  <si>
    <t>COD/N</t>
  </si>
  <si>
    <t>P</t>
  </si>
  <si>
    <t>g TSS/g COD</t>
  </si>
  <si>
    <t>Operated at low flow rates because of structure works on the influent piping. Return sludge of A-stage very diluted!!</t>
  </si>
  <si>
    <t>A-reactor crashed, return sludge very diluted!! Enriched by 1 species (see microscopy)</t>
  </si>
  <si>
    <t>O2.A2</t>
  </si>
  <si>
    <t>ISS</t>
  </si>
  <si>
    <t>Climate</t>
  </si>
  <si>
    <t>Precipitation</t>
  </si>
  <si>
    <t>Qinf</t>
  </si>
  <si>
    <t>Qeffl_recirc</t>
  </si>
  <si>
    <t>COD</t>
  </si>
  <si>
    <t>TOD</t>
  </si>
  <si>
    <t>general recycle</t>
  </si>
  <si>
    <t>Qinf_total</t>
  </si>
  <si>
    <t>influent + effluent_recycle</t>
  </si>
  <si>
    <t>Total Phosphate P</t>
  </si>
  <si>
    <t>Flow m3</t>
  </si>
  <si>
    <t>Phosphate P</t>
  </si>
  <si>
    <t>not available</t>
  </si>
  <si>
    <t>mean</t>
  </si>
  <si>
    <t>settling after 60'</t>
  </si>
  <si>
    <t>Filtrate from sludge thickening</t>
  </si>
  <si>
    <t>Qfiltrate</t>
  </si>
  <si>
    <t>TSS TPL</t>
  </si>
  <si>
    <t xml:space="preserve"> </t>
  </si>
  <si>
    <t xml:space="preserve">Influent_total </t>
  </si>
  <si>
    <t xml:space="preserve">A-stage bioreactor </t>
  </si>
  <si>
    <t>Waste sludge</t>
  </si>
  <si>
    <t>Q</t>
  </si>
  <si>
    <t xml:space="preserve">TSS unsoluable components </t>
  </si>
  <si>
    <t>O2  section II</t>
  </si>
  <si>
    <t>02_sec_2</t>
  </si>
  <si>
    <t>O2  section III</t>
  </si>
  <si>
    <t>02_sec_3</t>
  </si>
  <si>
    <t>airflow A-to</t>
  </si>
  <si>
    <t>?</t>
  </si>
  <si>
    <t>Effluent A-stage</t>
  </si>
  <si>
    <t>Q_effluent</t>
  </si>
  <si>
    <t>Effluent B-stage</t>
  </si>
  <si>
    <t>Fe-dosing A-stage</t>
  </si>
  <si>
    <t>Q_fe</t>
  </si>
  <si>
    <t xml:space="preserve">Elektricity </t>
  </si>
  <si>
    <t>Demon effluent</t>
  </si>
  <si>
    <t>Ammonium-N</t>
  </si>
  <si>
    <t>Ortho-P</t>
  </si>
  <si>
    <t>Nen</t>
  </si>
  <si>
    <t>gefiltr.</t>
  </si>
  <si>
    <t>totaal</t>
  </si>
  <si>
    <t>onopg.best</t>
  </si>
  <si>
    <t>mg/l</t>
  </si>
  <si>
    <t>Q_demon</t>
  </si>
  <si>
    <r>
      <rPr>
        <b/>
        <sz val="11"/>
        <color theme="1"/>
        <rFont val="Calibri"/>
        <family val="2"/>
        <scheme val="minor"/>
      </rPr>
      <t>Influent</t>
    </r>
    <r>
      <rPr>
        <sz val="11"/>
        <color theme="1"/>
        <rFont val="Calibri"/>
        <family val="2"/>
        <scheme val="minor"/>
      </rPr>
      <t xml:space="preserve"> </t>
    </r>
    <r>
      <rPr>
        <b/>
        <sz val="11"/>
        <color theme="1"/>
        <rFont val="Calibri"/>
        <family val="2"/>
        <scheme val="minor"/>
      </rPr>
      <t>characteristics</t>
    </r>
  </si>
  <si>
    <r>
      <rPr>
        <b/>
        <sz val="11"/>
        <color theme="1"/>
        <rFont val="Calibri"/>
        <family val="2"/>
        <scheme val="minor"/>
      </rPr>
      <t>influent_total</t>
    </r>
    <r>
      <rPr>
        <sz val="11"/>
        <color theme="1"/>
        <rFont val="Calibri"/>
        <family val="2"/>
        <scheme val="minor"/>
      </rPr>
      <t xml:space="preserve"> </t>
    </r>
    <r>
      <rPr>
        <b/>
        <sz val="11"/>
        <color theme="1"/>
        <rFont val="Calibri"/>
        <family val="2"/>
        <scheme val="minor"/>
      </rPr>
      <t>characteristics</t>
    </r>
  </si>
  <si>
    <t>filtrate characteristics</t>
  </si>
  <si>
    <t>A-sludge characteristics</t>
  </si>
  <si>
    <r>
      <rPr>
        <b/>
        <sz val="11"/>
        <color theme="1"/>
        <rFont val="Calibri"/>
        <family val="2"/>
        <scheme val="minor"/>
      </rPr>
      <t>Effluent characteristi</t>
    </r>
    <r>
      <rPr>
        <sz val="11"/>
        <color theme="1"/>
        <rFont val="Calibri"/>
        <family val="2"/>
        <scheme val="minor"/>
      </rPr>
      <t>cs</t>
    </r>
  </si>
  <si>
    <t>not important</t>
  </si>
  <si>
    <t>B-stage!</t>
  </si>
  <si>
    <t>sludge from other WWTPs</t>
  </si>
  <si>
    <t>demon effluent characteristics</t>
  </si>
  <si>
    <t>SRT</t>
  </si>
  <si>
    <t>HRT</t>
  </si>
  <si>
    <t>COD removed</t>
  </si>
  <si>
    <t>Unit</t>
  </si>
  <si>
    <t>Fe_doseA</t>
  </si>
  <si>
    <t>O2_section_II</t>
  </si>
  <si>
    <t>O2_section_III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</si>
</sst>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0.000"/>
    <numFmt numFmtId="166" formatCode="0.0"/>
  </numFmts>
  <fonts count="12" x14ac:knownFonts="1">
    <font>
      <sz val="11"/>
      <color theme="1"/>
      <name val="Calibri"/>
      <family val="2"/>
      <scheme val="minor"/>
    </font>
    <font>
      <b/>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theme="1"/>
      <name val="Calibri"/>
      <family val="2"/>
      <scheme val="minor"/>
    </font>
    <font>
      <sz val="10"/>
      <name val="Arial"/>
      <family val="2"/>
    </font>
    <font>
      <sz val="11"/>
      <color theme="0" tint="-0.499984740745262"/>
      <name val="Calibri"/>
      <family val="2"/>
      <scheme val="minor"/>
    </font>
    <font>
      <u/>
      <sz val="11"/>
      <color theme="1"/>
      <name val="Calibri"/>
      <family val="2"/>
      <scheme val="minor"/>
    </font>
    <font>
      <sz val="9"/>
      <color indexed="81"/>
      <name val="Tahoma"/>
      <charset val="1"/>
    </font>
    <font>
      <b/>
      <sz val="9"/>
      <color indexed="81"/>
      <name val="Tahoma"/>
      <charset val="1"/>
    </font>
    <font>
      <b/>
      <sz val="11"/>
      <color rgb="FFFF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FF00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59999389629810485"/>
        <bgColor indexed="65"/>
      </patternFill>
    </fill>
  </fills>
  <borders count="5">
    <border>
      <left/>
      <right/>
      <top/>
      <bottom/>
      <diagonal/>
    </border>
    <border>
      <left/>
      <right style="thin">
        <color indexed="64"/>
      </right>
      <top/>
      <bottom/>
      <diagonal/>
    </border>
    <border>
      <left/>
      <right/>
      <top/>
      <bottom style="thin">
        <color indexed="64"/>
      </bottom>
      <diagonal/>
    </border>
    <border>
      <left style="thin">
        <color indexed="64"/>
      </left>
      <right/>
      <top/>
      <bottom/>
      <diagonal/>
    </border>
    <border>
      <left/>
      <right style="thin">
        <color indexed="64"/>
      </right>
      <top style="thin">
        <color indexed="64"/>
      </top>
      <bottom/>
      <diagonal/>
    </border>
  </borders>
  <cellStyleXfs count="3">
    <xf numFmtId="0" fontId="0" fillId="0" borderId="0"/>
    <xf numFmtId="0" fontId="6" fillId="0" borderId="0"/>
    <xf numFmtId="0" fontId="5" fillId="11" borderId="0" applyNumberFormat="0" applyBorder="0" applyAlignment="0" applyProtection="0"/>
  </cellStyleXfs>
  <cellXfs count="101">
    <xf numFmtId="0" fontId="0" fillId="0" borderId="0" xfId="0"/>
    <xf numFmtId="0" fontId="1" fillId="0" borderId="0" xfId="0" applyFont="1"/>
    <xf numFmtId="14" fontId="0" fillId="0" borderId="0" xfId="0" applyNumberFormat="1"/>
    <xf numFmtId="0" fontId="0" fillId="0" borderId="0" xfId="0" applyFill="1"/>
    <xf numFmtId="0" fontId="2" fillId="2" borderId="0" xfId="0" applyFont="1" applyFill="1"/>
    <xf numFmtId="0" fontId="0" fillId="3" borderId="0" xfId="0" applyFill="1"/>
    <xf numFmtId="0" fontId="0" fillId="0" borderId="0" xfId="0" applyAlignment="1">
      <alignment horizontal="center"/>
    </xf>
    <xf numFmtId="0" fontId="0" fillId="0" borderId="0" xfId="0" quotePrefix="1"/>
    <xf numFmtId="0" fontId="0" fillId="0" borderId="0" xfId="0" applyAlignment="1">
      <alignment vertical="center"/>
    </xf>
    <xf numFmtId="0" fontId="0" fillId="0" borderId="0" xfId="0" applyFont="1"/>
    <xf numFmtId="0" fontId="0" fillId="4" borderId="0" xfId="0" applyFill="1"/>
    <xf numFmtId="0" fontId="1" fillId="4" borderId="0" xfId="0" applyFont="1" applyFill="1"/>
    <xf numFmtId="0" fontId="1" fillId="0" borderId="0" xfId="0" applyFont="1" applyFill="1"/>
    <xf numFmtId="0" fontId="1" fillId="0" borderId="0" xfId="0" applyFont="1" applyAlignment="1">
      <alignment horizontal="center"/>
    </xf>
    <xf numFmtId="0" fontId="0" fillId="4" borderId="0" xfId="0" applyFont="1" applyFill="1"/>
    <xf numFmtId="0" fontId="0" fillId="2" borderId="0" xfId="0" applyFill="1"/>
    <xf numFmtId="14" fontId="1" fillId="0" borderId="0" xfId="0" applyNumberFormat="1" applyFont="1"/>
    <xf numFmtId="0" fontId="1" fillId="0" borderId="0" xfId="0" quotePrefix="1" applyFont="1"/>
    <xf numFmtId="0" fontId="1" fillId="0" borderId="0" xfId="0" applyFont="1" applyFill="1" applyBorder="1"/>
    <xf numFmtId="0" fontId="0" fillId="0" borderId="0" xfId="0" applyAlignment="1">
      <alignment horizontal="left"/>
    </xf>
    <xf numFmtId="0" fontId="1" fillId="0" borderId="0" xfId="0" applyFont="1" applyAlignment="1">
      <alignment horizontal="left"/>
    </xf>
    <xf numFmtId="2" fontId="0" fillId="0" borderId="0" xfId="0" applyNumberFormat="1"/>
    <xf numFmtId="0" fontId="1" fillId="5" borderId="0" xfId="0" applyFont="1" applyFill="1"/>
    <xf numFmtId="0" fontId="0" fillId="0" borderId="1" xfId="0" applyBorder="1"/>
    <xf numFmtId="0" fontId="0" fillId="0" borderId="0" xfId="0" applyBorder="1"/>
    <xf numFmtId="0" fontId="0" fillId="0" borderId="0" xfId="0" applyFill="1" applyBorder="1"/>
    <xf numFmtId="0" fontId="0" fillId="4" borderId="2" xfId="0" applyFill="1" applyBorder="1"/>
    <xf numFmtId="0" fontId="1" fillId="4" borderId="2" xfId="0" applyFont="1" applyFill="1" applyBorder="1"/>
    <xf numFmtId="0" fontId="0" fillId="0" borderId="2" xfId="0" applyBorder="1"/>
    <xf numFmtId="1" fontId="0" fillId="0" borderId="2" xfId="0" applyNumberFormat="1" applyBorder="1"/>
    <xf numFmtId="0" fontId="0" fillId="0" borderId="2" xfId="0" applyBorder="1" applyAlignment="1">
      <alignment horizontal="center"/>
    </xf>
    <xf numFmtId="0" fontId="0" fillId="0" borderId="2" xfId="0" applyFill="1" applyBorder="1"/>
    <xf numFmtId="0" fontId="0" fillId="3" borderId="2" xfId="0" applyFill="1" applyBorder="1"/>
    <xf numFmtId="0" fontId="1" fillId="0" borderId="0" xfId="0" applyFont="1" applyBorder="1"/>
    <xf numFmtId="0" fontId="1" fillId="2" borderId="0" xfId="0" applyFont="1" applyFill="1"/>
    <xf numFmtId="14" fontId="0" fillId="2" borderId="2" xfId="0" applyNumberFormat="1" applyFill="1" applyBorder="1"/>
    <xf numFmtId="14" fontId="0" fillId="2" borderId="0" xfId="0" applyNumberFormat="1" applyFill="1"/>
    <xf numFmtId="0" fontId="0" fillId="0" borderId="0" xfId="0" applyAlignment="1">
      <alignment horizontal="center"/>
    </xf>
    <xf numFmtId="14" fontId="1" fillId="0" borderId="2" xfId="0" applyNumberFormat="1" applyFont="1" applyBorder="1"/>
    <xf numFmtId="0" fontId="6" fillId="0" borderId="0" xfId="1"/>
    <xf numFmtId="0" fontId="0" fillId="0" borderId="0" xfId="0" applyAlignment="1">
      <alignment horizontal="center"/>
    </xf>
    <xf numFmtId="165" fontId="0" fillId="0" borderId="0" xfId="0" applyNumberFormat="1"/>
    <xf numFmtId="1" fontId="0" fillId="0" borderId="0" xfId="0" applyNumberFormat="1"/>
    <xf numFmtId="2" fontId="1" fillId="0" borderId="0" xfId="0" applyNumberFormat="1" applyFont="1"/>
    <xf numFmtId="0" fontId="0" fillId="0" borderId="0" xfId="0" applyFont="1" applyFill="1" applyBorder="1"/>
    <xf numFmtId="0" fontId="0" fillId="0" borderId="0" xfId="0" applyFont="1" applyFill="1"/>
    <xf numFmtId="0" fontId="7" fillId="0" borderId="0" xfId="0" applyFont="1" applyFill="1"/>
    <xf numFmtId="165" fontId="1" fillId="0" borderId="0" xfId="0" applyNumberFormat="1" applyFont="1"/>
    <xf numFmtId="2" fontId="7" fillId="0" borderId="0" xfId="0" applyNumberFormat="1" applyFont="1" applyFill="1"/>
    <xf numFmtId="2" fontId="0" fillId="0" borderId="0" xfId="0" applyNumberFormat="1" applyFont="1" applyFill="1"/>
    <xf numFmtId="166" fontId="0" fillId="0" borderId="0" xfId="0" applyNumberFormat="1"/>
    <xf numFmtId="0" fontId="0" fillId="0" borderId="1" xfId="0" applyFill="1" applyBorder="1"/>
    <xf numFmtId="0" fontId="0" fillId="0" borderId="0" xfId="0" applyNumberFormat="1"/>
    <xf numFmtId="165" fontId="0" fillId="0" borderId="1" xfId="0" applyNumberFormat="1" applyBorder="1"/>
    <xf numFmtId="166" fontId="0" fillId="0" borderId="0" xfId="0" applyNumberFormat="1" applyBorder="1"/>
    <xf numFmtId="166" fontId="0" fillId="0" borderId="1" xfId="0" applyNumberFormat="1" applyBorder="1"/>
    <xf numFmtId="14" fontId="1" fillId="0" borderId="0" xfId="0" applyNumberFormat="1" applyFont="1" applyBorder="1"/>
    <xf numFmtId="0" fontId="0" fillId="0" borderId="1" xfId="0" applyBorder="1" applyAlignment="1">
      <alignment horizontal="center"/>
    </xf>
    <xf numFmtId="0" fontId="0" fillId="2" borderId="0" xfId="0" applyFill="1" applyBorder="1"/>
    <xf numFmtId="0" fontId="0" fillId="2" borderId="0" xfId="0" applyFont="1" applyFill="1" applyBorder="1"/>
    <xf numFmtId="0" fontId="0" fillId="2" borderId="0" xfId="0" applyFont="1" applyFill="1"/>
    <xf numFmtId="0" fontId="8" fillId="0" borderId="0" xfId="0" applyFont="1"/>
    <xf numFmtId="14" fontId="0" fillId="8" borderId="0" xfId="0" applyNumberFormat="1" applyFill="1"/>
    <xf numFmtId="0" fontId="0" fillId="8" borderId="0" xfId="0" applyFill="1"/>
    <xf numFmtId="0" fontId="0" fillId="8" borderId="0" xfId="0" applyFill="1" applyBorder="1"/>
    <xf numFmtId="2" fontId="0" fillId="8" borderId="0" xfId="0" applyNumberFormat="1" applyFill="1"/>
    <xf numFmtId="0" fontId="0" fillId="8" borderId="1" xfId="0" applyFill="1" applyBorder="1"/>
    <xf numFmtId="0" fontId="0" fillId="8" borderId="0" xfId="0" applyFont="1" applyFill="1" applyBorder="1"/>
    <xf numFmtId="16" fontId="0" fillId="0" borderId="0" xfId="0" applyNumberFormat="1"/>
    <xf numFmtId="16" fontId="6" fillId="0" borderId="0" xfId="0" applyNumberFormat="1" applyFont="1"/>
    <xf numFmtId="0" fontId="1" fillId="5" borderId="0" xfId="0" applyFont="1" applyFill="1" applyAlignment="1">
      <alignment horizontal="left"/>
    </xf>
    <xf numFmtId="0" fontId="0" fillId="4" borderId="0" xfId="0" applyFill="1" applyAlignment="1">
      <alignment horizontal="left"/>
    </xf>
    <xf numFmtId="0" fontId="1" fillId="4" borderId="0" xfId="0" applyFont="1" applyFill="1" applyAlignment="1">
      <alignment horizontal="left"/>
    </xf>
    <xf numFmtId="0" fontId="0" fillId="4" borderId="2" xfId="0" applyFill="1" applyBorder="1" applyAlignment="1">
      <alignment horizontal="left"/>
    </xf>
    <xf numFmtId="0" fontId="0" fillId="10" borderId="0" xfId="0" applyFill="1"/>
    <xf numFmtId="0" fontId="1" fillId="10" borderId="2" xfId="0" applyFont="1" applyFill="1" applyBorder="1"/>
    <xf numFmtId="0" fontId="0" fillId="9" borderId="2" xfId="0" applyFill="1" applyBorder="1"/>
    <xf numFmtId="2" fontId="1" fillId="0" borderId="2" xfId="0" applyNumberFormat="1" applyFont="1" applyBorder="1"/>
    <xf numFmtId="0" fontId="11" fillId="0" borderId="0" xfId="0" applyFont="1"/>
    <xf numFmtId="0" fontId="0" fillId="0" borderId="4" xfId="0" applyBorder="1"/>
    <xf numFmtId="0" fontId="5" fillId="11" borderId="0" xfId="2"/>
    <xf numFmtId="0" fontId="5" fillId="11" borderId="2" xfId="2" applyBorder="1"/>
    <xf numFmtId="0" fontId="0" fillId="11" borderId="0" xfId="2" applyFont="1"/>
    <xf numFmtId="0" fontId="0" fillId="5" borderId="0" xfId="0" applyFill="1"/>
    <xf numFmtId="0" fontId="1" fillId="11" borderId="0" xfId="2" applyFont="1"/>
    <xf numFmtId="0" fontId="5" fillId="5" borderId="0" xfId="2" applyFill="1"/>
    <xf numFmtId="0" fontId="5" fillId="11" borderId="0" xfId="2" applyBorder="1"/>
    <xf numFmtId="0" fontId="1" fillId="5" borderId="0" xfId="2" applyFont="1" applyFill="1"/>
    <xf numFmtId="164" fontId="5" fillId="11" borderId="0" xfId="2" applyNumberFormat="1"/>
    <xf numFmtId="2" fontId="5" fillId="11" borderId="0" xfId="2" applyNumberFormat="1"/>
    <xf numFmtId="165" fontId="5" fillId="11" borderId="0" xfId="2" applyNumberFormat="1"/>
    <xf numFmtId="0" fontId="0" fillId="5" borderId="0" xfId="2" applyFont="1" applyFill="1"/>
    <xf numFmtId="0" fontId="1" fillId="5" borderId="0" xfId="2" applyFont="1" applyFill="1" applyBorder="1"/>
    <xf numFmtId="0" fontId="1" fillId="5" borderId="0" xfId="0" applyFont="1" applyFill="1" applyBorder="1"/>
    <xf numFmtId="0" fontId="0" fillId="7" borderId="0" xfId="0" applyFill="1" applyAlignment="1">
      <alignment horizontal="center"/>
    </xf>
    <xf numFmtId="0" fontId="0" fillId="7" borderId="1" xfId="0" applyFill="1" applyBorder="1" applyAlignment="1">
      <alignment horizontal="center"/>
    </xf>
    <xf numFmtId="0" fontId="0" fillId="6" borderId="3" xfId="0" applyFill="1" applyBorder="1" applyAlignment="1">
      <alignment horizontal="center"/>
    </xf>
    <xf numFmtId="0" fontId="0" fillId="6" borderId="0" xfId="0" applyFill="1" applyBorder="1" applyAlignment="1">
      <alignment horizontal="center"/>
    </xf>
    <xf numFmtId="0" fontId="0" fillId="11" borderId="2" xfId="2" applyFont="1" applyBorder="1"/>
    <xf numFmtId="0" fontId="0" fillId="11" borderId="0" xfId="2" applyFont="1" applyBorder="1"/>
    <xf numFmtId="0" fontId="5" fillId="11" borderId="0" xfId="2" applyFont="1"/>
  </cellXfs>
  <cellStyles count="3">
    <cellStyle name="40 % - uthevingsfarge 1" xfId="2" builtinId="3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'Summary per week'!$A$1</c:f>
              <c:strCache>
                <c:ptCount val="1"/>
                <c:pt idx="0">
                  <c:v>A-stage</c:v>
                </c:pt>
              </c:strCache>
            </c:strRef>
          </c:tx>
          <c:spPr>
            <a:ln w="28575">
              <a:noFill/>
            </a:ln>
          </c:spPr>
          <c:xVal>
            <c:numRef>
              <c:f>'Summary per week'!$A$3:$A$46</c:f>
              <c:numCache>
                <c:formatCode>m/d/yyyy</c:formatCode>
                <c:ptCount val="44"/>
                <c:pt idx="0">
                  <c:v>41550.5</c:v>
                </c:pt>
                <c:pt idx="1">
                  <c:v>41557</c:v>
                </c:pt>
                <c:pt idx="2">
                  <c:v>41564</c:v>
                </c:pt>
                <c:pt idx="3">
                  <c:v>41571</c:v>
                </c:pt>
                <c:pt idx="4">
                  <c:v>41578</c:v>
                </c:pt>
                <c:pt idx="5">
                  <c:v>41585</c:v>
                </c:pt>
                <c:pt idx="6">
                  <c:v>41592</c:v>
                </c:pt>
                <c:pt idx="7">
                  <c:v>41599</c:v>
                </c:pt>
                <c:pt idx="8">
                  <c:v>41606</c:v>
                </c:pt>
                <c:pt idx="9">
                  <c:v>41613</c:v>
                </c:pt>
                <c:pt idx="10">
                  <c:v>41620</c:v>
                </c:pt>
                <c:pt idx="11">
                  <c:v>41627</c:v>
                </c:pt>
                <c:pt idx="12">
                  <c:v>41634</c:v>
                </c:pt>
                <c:pt idx="13">
                  <c:v>41641</c:v>
                </c:pt>
                <c:pt idx="14">
                  <c:v>41648</c:v>
                </c:pt>
                <c:pt idx="15">
                  <c:v>41655</c:v>
                </c:pt>
                <c:pt idx="16">
                  <c:v>41662</c:v>
                </c:pt>
                <c:pt idx="17">
                  <c:v>41669</c:v>
                </c:pt>
                <c:pt idx="18">
                  <c:v>41676</c:v>
                </c:pt>
                <c:pt idx="19">
                  <c:v>41683</c:v>
                </c:pt>
                <c:pt idx="20">
                  <c:v>41690</c:v>
                </c:pt>
                <c:pt idx="21">
                  <c:v>41697</c:v>
                </c:pt>
                <c:pt idx="22">
                  <c:v>41704</c:v>
                </c:pt>
                <c:pt idx="23">
                  <c:v>41711</c:v>
                </c:pt>
                <c:pt idx="24">
                  <c:v>41718</c:v>
                </c:pt>
                <c:pt idx="25">
                  <c:v>41725</c:v>
                </c:pt>
                <c:pt idx="26">
                  <c:v>41732</c:v>
                </c:pt>
                <c:pt idx="27">
                  <c:v>41739</c:v>
                </c:pt>
                <c:pt idx="28">
                  <c:v>41746</c:v>
                </c:pt>
                <c:pt idx="29">
                  <c:v>41753</c:v>
                </c:pt>
                <c:pt idx="30">
                  <c:v>41760</c:v>
                </c:pt>
                <c:pt idx="31">
                  <c:v>41767</c:v>
                </c:pt>
                <c:pt idx="32">
                  <c:v>41774</c:v>
                </c:pt>
                <c:pt idx="33">
                  <c:v>41781</c:v>
                </c:pt>
                <c:pt idx="34">
                  <c:v>41788</c:v>
                </c:pt>
                <c:pt idx="35">
                  <c:v>41795</c:v>
                </c:pt>
                <c:pt idx="36">
                  <c:v>41802</c:v>
                </c:pt>
                <c:pt idx="37">
                  <c:v>41809</c:v>
                </c:pt>
                <c:pt idx="38">
                  <c:v>41816</c:v>
                </c:pt>
                <c:pt idx="39">
                  <c:v>41823</c:v>
                </c:pt>
                <c:pt idx="40">
                  <c:v>41830</c:v>
                </c:pt>
                <c:pt idx="41">
                  <c:v>41837</c:v>
                </c:pt>
                <c:pt idx="42">
                  <c:v>41844</c:v>
                </c:pt>
                <c:pt idx="43">
                  <c:v>41849.5</c:v>
                </c:pt>
              </c:numCache>
            </c:numRef>
          </c:xVal>
          <c:yVal>
            <c:numRef>
              <c:f>'Summary per week'!$O$3:$O$46</c:f>
              <c:numCache>
                <c:formatCode>0.0</c:formatCode>
                <c:ptCount val="44"/>
                <c:pt idx="0">
                  <c:v>0</c:v>
                </c:pt>
                <c:pt idx="1">
                  <c:v>0</c:v>
                </c:pt>
                <c:pt idx="2">
                  <c:v>0</c:v>
                </c:pt>
                <c:pt idx="3">
                  <c:v>0</c:v>
                </c:pt>
                <c:pt idx="4">
                  <c:v>0</c:v>
                </c:pt>
                <c:pt idx="5">
                  <c:v>40.134059488898203</c:v>
                </c:pt>
                <c:pt idx="6">
                  <c:v>25.988000521716447</c:v>
                </c:pt>
                <c:pt idx="7">
                  <c:v>34.082134082134075</c:v>
                </c:pt>
                <c:pt idx="8">
                  <c:v>36.004447105105612</c:v>
                </c:pt>
                <c:pt idx="9">
                  <c:v>0</c:v>
                </c:pt>
                <c:pt idx="10">
                  <c:v>57.503739405019097</c:v>
                </c:pt>
                <c:pt idx="11">
                  <c:v>42.648709315375974</c:v>
                </c:pt>
                <c:pt idx="12">
                  <c:v>0</c:v>
                </c:pt>
                <c:pt idx="13">
                  <c:v>0</c:v>
                </c:pt>
                <c:pt idx="14">
                  <c:v>0</c:v>
                </c:pt>
                <c:pt idx="15">
                  <c:v>0</c:v>
                </c:pt>
                <c:pt idx="16">
                  <c:v>0</c:v>
                </c:pt>
                <c:pt idx="17">
                  <c:v>30.257666485211399</c:v>
                </c:pt>
                <c:pt idx="18">
                  <c:v>42.323747680890534</c:v>
                </c:pt>
                <c:pt idx="19">
                  <c:v>0</c:v>
                </c:pt>
                <c:pt idx="20">
                  <c:v>50.488354620586058</c:v>
                </c:pt>
                <c:pt idx="21">
                  <c:v>30.828082808280829</c:v>
                </c:pt>
                <c:pt idx="22">
                  <c:v>35.363370806408788</c:v>
                </c:pt>
                <c:pt idx="23">
                  <c:v>29.568342884269768</c:v>
                </c:pt>
                <c:pt idx="24">
                  <c:v>34.913580246913575</c:v>
                </c:pt>
                <c:pt idx="25">
                  <c:v>25.964539007092206</c:v>
                </c:pt>
                <c:pt idx="26">
                  <c:v>42.528122020972368</c:v>
                </c:pt>
                <c:pt idx="27">
                  <c:v>36.560985299960258</c:v>
                </c:pt>
                <c:pt idx="28">
                  <c:v>37.247798742138357</c:v>
                </c:pt>
                <c:pt idx="29">
                  <c:v>43.788800000000002</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yVal>
          <c:smooth val="0"/>
        </c:ser>
        <c:ser>
          <c:idx val="1"/>
          <c:order val="1"/>
          <c:tx>
            <c:strRef>
              <c:f>'Summary per week'!$AA$1</c:f>
              <c:strCache>
                <c:ptCount val="1"/>
                <c:pt idx="0">
                  <c:v>B-stage</c:v>
                </c:pt>
              </c:strCache>
            </c:strRef>
          </c:tx>
          <c:spPr>
            <a:ln w="28575">
              <a:noFill/>
            </a:ln>
          </c:spPr>
          <c:xVal>
            <c:numRef>
              <c:f>'Summary per week'!$AA$3:$AA$46</c:f>
              <c:numCache>
                <c:formatCode>m/d/yyyy</c:formatCode>
                <c:ptCount val="44"/>
                <c:pt idx="0">
                  <c:v>41550.5</c:v>
                </c:pt>
                <c:pt idx="1">
                  <c:v>41557</c:v>
                </c:pt>
                <c:pt idx="2">
                  <c:v>41564</c:v>
                </c:pt>
                <c:pt idx="3">
                  <c:v>41571</c:v>
                </c:pt>
                <c:pt idx="4">
                  <c:v>41578</c:v>
                </c:pt>
                <c:pt idx="5">
                  <c:v>41585</c:v>
                </c:pt>
                <c:pt idx="6">
                  <c:v>41592</c:v>
                </c:pt>
                <c:pt idx="7">
                  <c:v>41599</c:v>
                </c:pt>
                <c:pt idx="8">
                  <c:v>41606</c:v>
                </c:pt>
                <c:pt idx="9">
                  <c:v>41613</c:v>
                </c:pt>
                <c:pt idx="10">
                  <c:v>41620</c:v>
                </c:pt>
                <c:pt idx="11">
                  <c:v>41627</c:v>
                </c:pt>
                <c:pt idx="12">
                  <c:v>41634</c:v>
                </c:pt>
                <c:pt idx="13">
                  <c:v>41641</c:v>
                </c:pt>
                <c:pt idx="14">
                  <c:v>41648</c:v>
                </c:pt>
                <c:pt idx="15">
                  <c:v>41655</c:v>
                </c:pt>
                <c:pt idx="16">
                  <c:v>41662</c:v>
                </c:pt>
                <c:pt idx="17">
                  <c:v>41669</c:v>
                </c:pt>
                <c:pt idx="18">
                  <c:v>41676</c:v>
                </c:pt>
                <c:pt idx="19">
                  <c:v>41683</c:v>
                </c:pt>
                <c:pt idx="20">
                  <c:v>41690</c:v>
                </c:pt>
                <c:pt idx="21">
                  <c:v>41697</c:v>
                </c:pt>
                <c:pt idx="22">
                  <c:v>41704</c:v>
                </c:pt>
                <c:pt idx="23">
                  <c:v>41711</c:v>
                </c:pt>
                <c:pt idx="24">
                  <c:v>41718</c:v>
                </c:pt>
                <c:pt idx="25">
                  <c:v>41725</c:v>
                </c:pt>
                <c:pt idx="26">
                  <c:v>41732</c:v>
                </c:pt>
                <c:pt idx="27">
                  <c:v>41739</c:v>
                </c:pt>
                <c:pt idx="28">
                  <c:v>41746</c:v>
                </c:pt>
                <c:pt idx="29">
                  <c:v>41753</c:v>
                </c:pt>
                <c:pt idx="30">
                  <c:v>41760</c:v>
                </c:pt>
                <c:pt idx="31">
                  <c:v>41767</c:v>
                </c:pt>
                <c:pt idx="32">
                  <c:v>41774</c:v>
                </c:pt>
                <c:pt idx="33">
                  <c:v>41781</c:v>
                </c:pt>
                <c:pt idx="34">
                  <c:v>41788</c:v>
                </c:pt>
                <c:pt idx="35">
                  <c:v>41795</c:v>
                </c:pt>
                <c:pt idx="36">
                  <c:v>41802</c:v>
                </c:pt>
                <c:pt idx="37">
                  <c:v>41809</c:v>
                </c:pt>
                <c:pt idx="38">
                  <c:v>41816</c:v>
                </c:pt>
                <c:pt idx="39">
                  <c:v>41823</c:v>
                </c:pt>
                <c:pt idx="40">
                  <c:v>41830</c:v>
                </c:pt>
                <c:pt idx="41">
                  <c:v>41837</c:v>
                </c:pt>
                <c:pt idx="42">
                  <c:v>41844</c:v>
                </c:pt>
                <c:pt idx="43">
                  <c:v>41849.5</c:v>
                </c:pt>
              </c:numCache>
            </c:numRef>
          </c:xVal>
          <c:yVal>
            <c:numRef>
              <c:f>'Summary per week'!$AO$3:$AO$46</c:f>
              <c:numCache>
                <c:formatCode>0.0</c:formatCode>
                <c:ptCount val="44"/>
                <c:pt idx="0">
                  <c:v>0</c:v>
                </c:pt>
                <c:pt idx="1">
                  <c:v>0</c:v>
                </c:pt>
                <c:pt idx="2">
                  <c:v>0</c:v>
                </c:pt>
                <c:pt idx="3">
                  <c:v>0</c:v>
                </c:pt>
                <c:pt idx="4">
                  <c:v>0</c:v>
                </c:pt>
                <c:pt idx="5">
                  <c:v>53.861032584436835</c:v>
                </c:pt>
                <c:pt idx="6">
                  <c:v>64.646464646464665</c:v>
                </c:pt>
                <c:pt idx="7">
                  <c:v>78.203723986856531</c:v>
                </c:pt>
                <c:pt idx="8">
                  <c:v>61.607813673929378</c:v>
                </c:pt>
                <c:pt idx="9">
                  <c:v>0</c:v>
                </c:pt>
                <c:pt idx="10">
                  <c:v>61.847988077496254</c:v>
                </c:pt>
                <c:pt idx="11">
                  <c:v>68.698965704953721</c:v>
                </c:pt>
                <c:pt idx="12">
                  <c:v>0</c:v>
                </c:pt>
                <c:pt idx="13">
                  <c:v>0</c:v>
                </c:pt>
                <c:pt idx="14">
                  <c:v>0</c:v>
                </c:pt>
                <c:pt idx="15">
                  <c:v>58.470612161887324</c:v>
                </c:pt>
                <c:pt idx="16">
                  <c:v>0</c:v>
                </c:pt>
                <c:pt idx="17">
                  <c:v>65.83774969425194</c:v>
                </c:pt>
                <c:pt idx="18">
                  <c:v>0</c:v>
                </c:pt>
                <c:pt idx="19">
                  <c:v>0</c:v>
                </c:pt>
                <c:pt idx="20">
                  <c:v>63.160339022408024</c:v>
                </c:pt>
                <c:pt idx="21">
                  <c:v>0</c:v>
                </c:pt>
                <c:pt idx="22">
                  <c:v>70.8232445520581</c:v>
                </c:pt>
                <c:pt idx="23">
                  <c:v>63.63636363636364</c:v>
                </c:pt>
                <c:pt idx="24">
                  <c:v>81.37219730941699</c:v>
                </c:pt>
                <c:pt idx="25">
                  <c:v>74.023094688224162</c:v>
                </c:pt>
                <c:pt idx="26">
                  <c:v>72.096735187424457</c:v>
                </c:pt>
                <c:pt idx="27">
                  <c:v>95.731182795698956</c:v>
                </c:pt>
                <c:pt idx="28">
                  <c:v>167.45595054095836</c:v>
                </c:pt>
                <c:pt idx="29">
                  <c:v>54.442040185471384</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yVal>
          <c:smooth val="0"/>
        </c:ser>
        <c:dLbls>
          <c:showLegendKey val="0"/>
          <c:showVal val="0"/>
          <c:showCatName val="0"/>
          <c:showSerName val="0"/>
          <c:showPercent val="0"/>
          <c:showBubbleSize val="0"/>
        </c:dLbls>
        <c:axId val="327003520"/>
        <c:axId val="327000776"/>
      </c:scatterChart>
      <c:valAx>
        <c:axId val="327003520"/>
        <c:scaling>
          <c:orientation val="minMax"/>
        </c:scaling>
        <c:delete val="0"/>
        <c:axPos val="b"/>
        <c:numFmt formatCode="m/d/yyyy" sourceLinked="1"/>
        <c:majorTickMark val="out"/>
        <c:minorTickMark val="none"/>
        <c:tickLblPos val="nextTo"/>
        <c:crossAx val="327000776"/>
        <c:crosses val="autoZero"/>
        <c:crossBetween val="midCat"/>
      </c:valAx>
      <c:valAx>
        <c:axId val="327000776"/>
        <c:scaling>
          <c:orientation val="minMax"/>
        </c:scaling>
        <c:delete val="0"/>
        <c:axPos val="l"/>
        <c:majorGridlines/>
        <c:numFmt formatCode="0.0" sourceLinked="1"/>
        <c:majorTickMark val="out"/>
        <c:minorTickMark val="none"/>
        <c:tickLblPos val="nextTo"/>
        <c:crossAx val="327003520"/>
        <c:crosses val="autoZero"/>
        <c:crossBetween val="midCat"/>
      </c:valAx>
    </c:plotArea>
    <c:legend>
      <c:legendPos val="r"/>
      <c:layout/>
      <c:overlay val="0"/>
    </c:legend>
    <c:plotVisOnly val="1"/>
    <c:dispBlanksAs val="gap"/>
    <c:showDLblsOverMax val="0"/>
  </c:chart>
  <c:txPr>
    <a:bodyPr/>
    <a:lstStyle/>
    <a:p>
      <a:pPr>
        <a:defRPr sz="1400"/>
      </a:pPr>
      <a:endParaRPr lang="nb-N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23</xdr:col>
      <xdr:colOff>476248</xdr:colOff>
      <xdr:row>1</xdr:row>
      <xdr:rowOff>35719</xdr:rowOff>
    </xdr:from>
    <xdr:to>
      <xdr:col>28</xdr:col>
      <xdr:colOff>71438</xdr:colOff>
      <xdr:row>2</xdr:row>
      <xdr:rowOff>202406</xdr:rowOff>
    </xdr:to>
    <xdr:pic>
      <xdr:nvPicPr>
        <xdr:cNvPr id="2" name="Picture 5"/>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17037842" y="226219"/>
          <a:ext cx="3833815" cy="381000"/>
        </a:xfrm>
        <a:prstGeom prst="rect">
          <a:avLst/>
        </a:prstGeom>
        <a:noFill/>
      </xdr:spPr>
    </xdr:pic>
    <xdr:clientData/>
  </xdr:twoCellAnchor>
  <xdr:twoCellAnchor>
    <xdr:from>
      <xdr:col>19</xdr:col>
      <xdr:colOff>381001</xdr:colOff>
      <xdr:row>1</xdr:row>
      <xdr:rowOff>61178</xdr:rowOff>
    </xdr:from>
    <xdr:to>
      <xdr:col>23</xdr:col>
      <xdr:colOff>83345</xdr:colOff>
      <xdr:row>3</xdr:row>
      <xdr:rowOff>21431</xdr:rowOff>
    </xdr:to>
    <xdr:pic>
      <xdr:nvPicPr>
        <xdr:cNvPr id="3" name="Picture 7"/>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4466095" y="251678"/>
          <a:ext cx="2178844" cy="38887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149677</xdr:colOff>
      <xdr:row>46</xdr:row>
      <xdr:rowOff>176893</xdr:rowOff>
    </xdr:from>
    <xdr:to>
      <xdr:col>27</xdr:col>
      <xdr:colOff>40821</xdr:colOff>
      <xdr:row>70</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X315"/>
  <sheetViews>
    <sheetView tabSelected="1" zoomScale="80" zoomScaleNormal="80" workbookViewId="0">
      <pane xSplit="1" ySplit="8" topLeftCell="AE186" activePane="bottomRight" state="frozen"/>
      <selection pane="topRight" activeCell="B1" sqref="B1"/>
      <selection pane="bottomLeft" activeCell="A8" sqref="A8"/>
      <selection pane="bottomRight" activeCell="AV8" sqref="AV8"/>
    </sheetView>
  </sheetViews>
  <sheetFormatPr baseColWidth="10" defaultColWidth="8.88671875" defaultRowHeight="14.4" x14ac:dyDescent="0.3"/>
  <cols>
    <col min="1" max="1" width="11.5546875" bestFit="1" customWidth="1"/>
    <col min="2" max="2" width="9.5546875" style="21" customWidth="1"/>
    <col min="3" max="3" width="19" style="15" customWidth="1"/>
    <col min="4" max="4" width="18" style="71" bestFit="1" customWidth="1"/>
    <col min="5" max="5" width="13" style="10" bestFit="1" customWidth="1"/>
    <col min="6" max="6" width="12" style="10" bestFit="1" customWidth="1"/>
    <col min="7" max="7" width="14.33203125" style="10" bestFit="1" customWidth="1"/>
    <col min="8" max="8" width="8.109375" style="80" bestFit="1" customWidth="1"/>
    <col min="9" max="9" width="5.44140625" style="80" bestFit="1" customWidth="1"/>
    <col min="10" max="10" width="11.33203125" style="80" bestFit="1" customWidth="1"/>
    <col min="11" max="11" width="16.6640625" style="80" bestFit="1" customWidth="1"/>
    <col min="12" max="12" width="9.5546875" style="80" bestFit="1" customWidth="1"/>
    <col min="13" max="13" width="7" style="10" bestFit="1" customWidth="1"/>
    <col min="14" max="14" width="23.109375" bestFit="1" customWidth="1"/>
    <col min="15" max="15" width="30.109375" style="10" bestFit="1" customWidth="1"/>
    <col min="16" max="16" width="5.44140625" style="80" customWidth="1"/>
    <col min="17" max="17" width="5.44140625" style="80" bestFit="1" customWidth="1"/>
    <col min="18" max="18" width="12.109375" style="80" customWidth="1"/>
    <col min="19" max="19" width="16.6640625" style="80" bestFit="1" customWidth="1"/>
    <col min="20" max="20" width="9.5546875" style="80" bestFit="1" customWidth="1"/>
    <col min="21" max="21" width="23.44140625" bestFit="1" customWidth="1"/>
    <col min="22" max="22" width="8.6640625" style="80" bestFit="1" customWidth="1"/>
    <col min="23" max="23" width="5.88671875" style="80" bestFit="1" customWidth="1"/>
    <col min="24" max="24" width="5.44140625" style="80" bestFit="1" customWidth="1"/>
    <col min="25" max="25" width="10.109375" style="80" bestFit="1" customWidth="1"/>
    <col min="26" max="27" width="7" style="80" bestFit="1" customWidth="1"/>
    <col min="28" max="29" width="8.6640625" style="80" bestFit="1" customWidth="1"/>
    <col min="30" max="30" width="9.5546875" style="80" bestFit="1" customWidth="1"/>
    <col min="31" max="31" width="9.5546875" customWidth="1"/>
    <col min="32" max="32" width="16.44140625" style="80" customWidth="1"/>
    <col min="33" max="33" width="12.6640625" style="80" customWidth="1"/>
    <col min="34" max="34" width="5.44140625" style="80" bestFit="1" customWidth="1"/>
    <col min="35" max="35" width="14" style="80" customWidth="1"/>
    <col min="36" max="36" width="32.5546875" style="10" customWidth="1"/>
    <col min="37" max="37" width="14.6640625" style="10" customWidth="1"/>
    <col min="38" max="38" width="18.88671875" bestFit="1" customWidth="1"/>
    <col min="39" max="39" width="13" style="80" customWidth="1"/>
    <col min="40" max="40" width="14.33203125" style="80" bestFit="1" customWidth="1"/>
    <col min="41" max="41" width="5.88671875" style="80" customWidth="1"/>
    <col min="42" max="42" width="10.5546875" customWidth="1"/>
    <col min="43" max="43" width="23" style="10" customWidth="1"/>
    <col min="44" max="45" width="5.44140625" style="80" bestFit="1" customWidth="1"/>
    <col min="46" max="46" width="10.109375" style="80" bestFit="1" customWidth="1"/>
    <col min="47" max="47" width="8.6640625" style="80" bestFit="1" customWidth="1"/>
    <col min="48" max="48" width="9.5546875" style="80" bestFit="1" customWidth="1"/>
    <col min="49" max="49" width="38" style="6" bestFit="1" customWidth="1"/>
    <col min="50" max="50" width="21.88671875" style="10" bestFit="1" customWidth="1"/>
    <col min="51" max="51" width="8.88671875" style="10" bestFit="1" customWidth="1"/>
    <col min="52" max="52" width="13.44140625" style="10" bestFit="1" customWidth="1"/>
    <col min="53" max="53" width="10.44140625" style="10" bestFit="1" customWidth="1"/>
    <col min="54" max="54" width="21.88671875" bestFit="1" customWidth="1"/>
    <col min="55" max="55" width="8.88671875" bestFit="1" customWidth="1"/>
    <col min="56" max="56" width="13.44140625" bestFit="1" customWidth="1"/>
    <col min="57" max="57" width="10.44140625" bestFit="1" customWidth="1"/>
    <col min="58" max="58" width="21.88671875" style="10" bestFit="1" customWidth="1"/>
    <col min="59" max="59" width="8.88671875" style="10" bestFit="1" customWidth="1"/>
    <col min="60" max="60" width="13.44140625" style="10" bestFit="1" customWidth="1"/>
    <col min="61" max="61" width="10.44140625" style="10" bestFit="1" customWidth="1"/>
    <col min="62" max="62" width="21.88671875" bestFit="1" customWidth="1"/>
    <col min="63" max="63" width="8.88671875" bestFit="1" customWidth="1"/>
    <col min="64" max="64" width="7.33203125" bestFit="1" customWidth="1"/>
    <col min="65" max="65" width="13.44140625" bestFit="1" customWidth="1"/>
    <col min="66" max="66" width="10.44140625" bestFit="1" customWidth="1"/>
    <col min="67" max="67" width="26.109375" style="10" bestFit="1" customWidth="1"/>
    <col min="68" max="68" width="18.109375" bestFit="1" customWidth="1"/>
    <col min="69" max="69" width="4" bestFit="1" customWidth="1"/>
    <col min="70" max="71" width="5.44140625" bestFit="1" customWidth="1"/>
    <col min="72" max="72" width="10.109375" bestFit="1" customWidth="1"/>
    <col min="73" max="73" width="19.6640625" bestFit="1" customWidth="1"/>
    <col min="74" max="75" width="12.88671875" bestFit="1" customWidth="1"/>
    <col min="76" max="76" width="14" bestFit="1" customWidth="1"/>
    <col min="77" max="77" width="14.44140625" bestFit="1" customWidth="1"/>
    <col min="78" max="78" width="9.5546875" bestFit="1" customWidth="1"/>
    <col min="79" max="79" width="59.5546875" bestFit="1" customWidth="1"/>
    <col min="80" max="80" width="29.6640625" bestFit="1" customWidth="1"/>
    <col min="81" max="81" width="21.44140625" bestFit="1" customWidth="1"/>
    <col min="82" max="82" width="10.109375" bestFit="1" customWidth="1"/>
    <col min="83" max="85" width="10.109375" customWidth="1"/>
    <col min="86" max="86" width="15.88671875" bestFit="1" customWidth="1"/>
    <col min="87" max="87" width="10.109375" bestFit="1" customWidth="1"/>
    <col min="88" max="88" width="13.44140625" bestFit="1" customWidth="1"/>
    <col min="89" max="89" width="37.33203125" bestFit="1" customWidth="1"/>
    <col min="90" max="90" width="9.5546875" bestFit="1" customWidth="1"/>
    <col min="91" max="91" width="11.6640625" bestFit="1" customWidth="1"/>
    <col min="92" max="92" width="9.5546875" bestFit="1" customWidth="1"/>
    <col min="93" max="93" width="10.109375" bestFit="1" customWidth="1"/>
    <col min="94" max="94" width="9.5546875" bestFit="1" customWidth="1"/>
    <col min="95" max="95" width="10.33203125" bestFit="1" customWidth="1"/>
    <col min="96" max="96" width="9.5546875" bestFit="1" customWidth="1"/>
    <col min="97" max="102" width="12.88671875" bestFit="1" customWidth="1"/>
    <col min="103" max="105" width="31.88671875" bestFit="1" customWidth="1"/>
    <col min="106" max="106" width="16.5546875" bestFit="1" customWidth="1"/>
    <col min="107" max="107" width="8.88671875" bestFit="1" customWidth="1"/>
    <col min="108" max="108" width="7" bestFit="1" customWidth="1"/>
    <col min="109" max="109" width="8.33203125" bestFit="1" customWidth="1"/>
    <col min="110" max="110" width="10.88671875" bestFit="1" customWidth="1"/>
    <col min="111" max="111" width="10.88671875" customWidth="1"/>
    <col min="112" max="112" width="28.88671875" bestFit="1" customWidth="1"/>
    <col min="113" max="113" width="24.5546875" bestFit="1" customWidth="1"/>
    <col min="114" max="114" width="11.109375" bestFit="1" customWidth="1"/>
    <col min="115" max="115" width="16" bestFit="1" customWidth="1"/>
    <col min="116" max="116" width="30.44140625" bestFit="1" customWidth="1"/>
    <col min="117" max="117" width="10" bestFit="1" customWidth="1"/>
    <col min="121" max="128" width="9.109375" style="80"/>
  </cols>
  <sheetData>
    <row r="1" spans="1:128" x14ac:dyDescent="0.3">
      <c r="G1" s="70" t="s">
        <v>2</v>
      </c>
      <c r="N1" s="22" t="s">
        <v>1</v>
      </c>
      <c r="O1" s="22" t="s">
        <v>287</v>
      </c>
      <c r="U1" s="22" t="s">
        <v>283</v>
      </c>
      <c r="AF1" s="87" t="s">
        <v>288</v>
      </c>
      <c r="AG1" s="85"/>
      <c r="AL1" s="22" t="s">
        <v>289</v>
      </c>
      <c r="AQ1" s="22" t="s">
        <v>298</v>
      </c>
      <c r="AW1" s="37" t="s">
        <v>318</v>
      </c>
      <c r="AX1" s="22" t="s">
        <v>319</v>
      </c>
      <c r="BO1" s="22" t="s">
        <v>232</v>
      </c>
      <c r="BP1" s="22" t="s">
        <v>300</v>
      </c>
      <c r="CB1" s="22" t="s">
        <v>301</v>
      </c>
      <c r="CC1" s="22" t="s">
        <v>303</v>
      </c>
      <c r="CK1" s="83" t="s">
        <v>320</v>
      </c>
      <c r="DO1" s="22" t="s">
        <v>304</v>
      </c>
      <c r="DP1" s="83"/>
    </row>
    <row r="2" spans="1:128" x14ac:dyDescent="0.3">
      <c r="A2" s="1" t="s">
        <v>151</v>
      </c>
      <c r="B2" s="43"/>
      <c r="C2" s="34" t="s">
        <v>129</v>
      </c>
      <c r="N2">
        <v>2</v>
      </c>
      <c r="O2" s="10">
        <v>3</v>
      </c>
      <c r="U2">
        <v>4</v>
      </c>
      <c r="AF2" s="80">
        <v>7</v>
      </c>
      <c r="AL2">
        <v>8</v>
      </c>
      <c r="AQ2" s="10">
        <v>9</v>
      </c>
      <c r="AW2" s="6">
        <v>10</v>
      </c>
      <c r="AX2" s="14">
        <v>12</v>
      </c>
      <c r="BB2">
        <v>13</v>
      </c>
      <c r="BF2" s="10">
        <v>14</v>
      </c>
      <c r="BJ2">
        <v>15</v>
      </c>
      <c r="BO2" s="10">
        <v>16</v>
      </c>
      <c r="BP2">
        <v>17</v>
      </c>
      <c r="CA2">
        <v>19</v>
      </c>
      <c r="CB2">
        <v>21</v>
      </c>
      <c r="CC2">
        <v>22</v>
      </c>
      <c r="CK2">
        <v>23</v>
      </c>
      <c r="CS2">
        <v>24</v>
      </c>
      <c r="CY2">
        <v>25</v>
      </c>
      <c r="CZ2">
        <v>27</v>
      </c>
      <c r="DA2">
        <v>29</v>
      </c>
      <c r="DB2">
        <v>32</v>
      </c>
      <c r="DH2">
        <v>36</v>
      </c>
      <c r="DI2">
        <v>37</v>
      </c>
      <c r="DL2">
        <v>38</v>
      </c>
      <c r="DO2" s="78"/>
    </row>
    <row r="3" spans="1:128" x14ac:dyDescent="0.3">
      <c r="A3" s="1" t="s">
        <v>26</v>
      </c>
      <c r="B3" s="43"/>
      <c r="C3" s="34"/>
      <c r="D3" s="72" t="s">
        <v>0</v>
      </c>
      <c r="N3" s="12" t="s">
        <v>274</v>
      </c>
      <c r="O3" s="11" t="s">
        <v>276</v>
      </c>
      <c r="U3" s="1" t="s">
        <v>284</v>
      </c>
      <c r="V3" s="82"/>
      <c r="AQ3" s="11"/>
      <c r="AW3" s="13" t="s">
        <v>22</v>
      </c>
      <c r="AX3" s="11" t="s">
        <v>30</v>
      </c>
      <c r="BB3" s="1" t="s">
        <v>37</v>
      </c>
      <c r="BF3" s="11" t="s">
        <v>41</v>
      </c>
      <c r="BJ3" s="1" t="s">
        <v>45</v>
      </c>
      <c r="BO3" s="11"/>
      <c r="BP3" s="22" t="s">
        <v>50</v>
      </c>
      <c r="CA3" t="s">
        <v>57</v>
      </c>
      <c r="CB3" s="1"/>
      <c r="CC3" s="1" t="s">
        <v>62</v>
      </c>
      <c r="CK3" s="1" t="s">
        <v>69</v>
      </c>
      <c r="CY3" s="1" t="s">
        <v>83</v>
      </c>
      <c r="CZ3" s="1" t="s">
        <v>86</v>
      </c>
      <c r="DA3" s="1" t="s">
        <v>88</v>
      </c>
      <c r="DB3" s="1" t="s">
        <v>77</v>
      </c>
      <c r="DH3" s="1" t="s">
        <v>90</v>
      </c>
      <c r="DI3" s="1" t="s">
        <v>92</v>
      </c>
      <c r="DL3" s="1" t="s">
        <v>97</v>
      </c>
      <c r="DQ3" s="82" t="s">
        <v>321</v>
      </c>
    </row>
    <row r="4" spans="1:128" x14ac:dyDescent="0.3">
      <c r="A4" s="1" t="s">
        <v>27</v>
      </c>
      <c r="B4" s="43"/>
      <c r="C4" s="34"/>
      <c r="D4" s="71" t="s">
        <v>268</v>
      </c>
      <c r="H4" s="82" t="s">
        <v>313</v>
      </c>
      <c r="N4" s="3"/>
      <c r="P4" s="82" t="s">
        <v>314</v>
      </c>
      <c r="V4" s="84" t="s">
        <v>315</v>
      </c>
      <c r="AF4" s="80" t="s">
        <v>316</v>
      </c>
      <c r="AJ4" s="10" t="s">
        <v>292</v>
      </c>
      <c r="AK4" s="10" t="s">
        <v>294</v>
      </c>
      <c r="AP4" t="s">
        <v>297</v>
      </c>
      <c r="AR4" s="82" t="s">
        <v>317</v>
      </c>
      <c r="AW4" s="6" t="s">
        <v>23</v>
      </c>
      <c r="AX4" s="10" t="s">
        <v>31</v>
      </c>
      <c r="AZ4" s="10" t="s">
        <v>34</v>
      </c>
      <c r="BA4" s="10" t="s">
        <v>36</v>
      </c>
      <c r="BB4" t="s">
        <v>38</v>
      </c>
      <c r="BD4" t="s">
        <v>39</v>
      </c>
      <c r="BE4" t="s">
        <v>40</v>
      </c>
      <c r="BF4" s="10" t="s">
        <v>42</v>
      </c>
      <c r="BH4" s="10" t="s">
        <v>43</v>
      </c>
      <c r="BI4" s="10" t="s">
        <v>44</v>
      </c>
      <c r="BJ4" t="s">
        <v>46</v>
      </c>
      <c r="BM4" s="4" t="s">
        <v>107</v>
      </c>
      <c r="BN4" s="4" t="s">
        <v>108</v>
      </c>
      <c r="BP4" t="s">
        <v>51</v>
      </c>
      <c r="BQ4" t="s">
        <v>9</v>
      </c>
      <c r="CA4" t="s">
        <v>58</v>
      </c>
      <c r="CB4" t="s">
        <v>59</v>
      </c>
      <c r="CC4" t="s">
        <v>63</v>
      </c>
      <c r="CD4" t="s">
        <v>65</v>
      </c>
      <c r="CE4" t="s">
        <v>104</v>
      </c>
      <c r="CF4" t="s">
        <v>105</v>
      </c>
      <c r="CG4" t="s">
        <v>106</v>
      </c>
      <c r="CH4" t="s">
        <v>66</v>
      </c>
      <c r="CI4" t="s">
        <v>67</v>
      </c>
      <c r="CJ4" t="s">
        <v>68</v>
      </c>
      <c r="CK4" t="s">
        <v>70</v>
      </c>
      <c r="CM4" t="s">
        <v>71</v>
      </c>
      <c r="CO4" t="s">
        <v>72</v>
      </c>
      <c r="CQ4" t="s">
        <v>73</v>
      </c>
      <c r="CS4" t="s">
        <v>74</v>
      </c>
      <c r="CU4" t="s">
        <v>75</v>
      </c>
      <c r="CW4" t="s">
        <v>76</v>
      </c>
      <c r="CY4" t="s">
        <v>84</v>
      </c>
      <c r="CZ4" t="s">
        <v>87</v>
      </c>
      <c r="DA4" s="9" t="s">
        <v>89</v>
      </c>
      <c r="DB4" t="s">
        <v>78</v>
      </c>
      <c r="DF4" t="s">
        <v>82</v>
      </c>
      <c r="DG4" s="15" t="s">
        <v>82</v>
      </c>
      <c r="DH4" t="s">
        <v>91</v>
      </c>
      <c r="DI4" t="s">
        <v>93</v>
      </c>
      <c r="DL4" t="s">
        <v>98</v>
      </c>
      <c r="DO4" t="s">
        <v>312</v>
      </c>
      <c r="DP4" t="s">
        <v>286</v>
      </c>
      <c r="DQ4" s="80" t="s">
        <v>272</v>
      </c>
      <c r="DR4" s="80" t="s">
        <v>5</v>
      </c>
      <c r="DS4" s="80" t="s">
        <v>305</v>
      </c>
      <c r="DT4" s="80" t="s">
        <v>11</v>
      </c>
      <c r="DU4" s="80" t="s">
        <v>12</v>
      </c>
      <c r="DV4" s="80" t="s">
        <v>306</v>
      </c>
      <c r="DW4" s="80" t="s">
        <v>6</v>
      </c>
      <c r="DX4" s="80" t="s">
        <v>139</v>
      </c>
    </row>
    <row r="5" spans="1:128" x14ac:dyDescent="0.3">
      <c r="A5" s="1" t="s">
        <v>28</v>
      </c>
      <c r="B5" s="43"/>
      <c r="C5" s="34"/>
      <c r="D5" s="71" t="s">
        <v>269</v>
      </c>
      <c r="E5" s="74" t="s">
        <v>275</v>
      </c>
      <c r="F5" s="10" t="s">
        <v>271</v>
      </c>
      <c r="G5" s="10" t="s">
        <v>270</v>
      </c>
      <c r="H5" s="80" t="s">
        <v>272</v>
      </c>
      <c r="I5" s="80" t="s">
        <v>255</v>
      </c>
      <c r="J5" s="80" t="s">
        <v>5</v>
      </c>
      <c r="K5" s="80" t="s">
        <v>277</v>
      </c>
      <c r="L5" s="80" t="s">
        <v>139</v>
      </c>
      <c r="M5" s="10" t="s">
        <v>8</v>
      </c>
      <c r="N5" s="3" t="s">
        <v>273</v>
      </c>
      <c r="O5" s="10" t="s">
        <v>9</v>
      </c>
      <c r="P5" s="80" t="s">
        <v>272</v>
      </c>
      <c r="Q5" s="80" t="s">
        <v>255</v>
      </c>
      <c r="R5" s="80" t="s">
        <v>5</v>
      </c>
      <c r="S5" s="80" t="s">
        <v>277</v>
      </c>
      <c r="T5" s="80" t="s">
        <v>139</v>
      </c>
      <c r="U5" t="s">
        <v>278</v>
      </c>
      <c r="V5" s="80" t="s">
        <v>9</v>
      </c>
      <c r="W5" s="80" t="s">
        <v>272</v>
      </c>
      <c r="X5" s="80" t="s">
        <v>255</v>
      </c>
      <c r="Y5" s="80" t="s">
        <v>5</v>
      </c>
      <c r="Z5" s="80" t="s">
        <v>11</v>
      </c>
      <c r="AA5" s="80" t="s">
        <v>12</v>
      </c>
      <c r="AB5" s="80" t="s">
        <v>279</v>
      </c>
      <c r="AC5" s="80" t="s">
        <v>282</v>
      </c>
      <c r="AD5" s="80" t="s">
        <v>139</v>
      </c>
      <c r="AF5" s="80" t="s">
        <v>139</v>
      </c>
      <c r="AG5" s="80" t="s">
        <v>140</v>
      </c>
      <c r="AH5" s="80" t="s">
        <v>29</v>
      </c>
      <c r="AI5" s="80" t="s">
        <v>14</v>
      </c>
      <c r="AJ5" s="10" t="s">
        <v>293</v>
      </c>
      <c r="AK5" s="10" t="s">
        <v>295</v>
      </c>
      <c r="AL5" t="s">
        <v>290</v>
      </c>
      <c r="AM5" s="80" t="s">
        <v>291</v>
      </c>
      <c r="AN5" s="80" t="s">
        <v>285</v>
      </c>
      <c r="AO5" s="80" t="s">
        <v>140</v>
      </c>
      <c r="AP5" t="s">
        <v>296</v>
      </c>
      <c r="AQ5" s="10" t="s">
        <v>299</v>
      </c>
      <c r="AR5" s="80" t="s">
        <v>272</v>
      </c>
      <c r="AS5" s="80" t="s">
        <v>255</v>
      </c>
      <c r="AT5" s="80" t="s">
        <v>5</v>
      </c>
      <c r="AU5" s="80" t="s">
        <v>279</v>
      </c>
      <c r="AV5" s="100" t="s">
        <v>139</v>
      </c>
      <c r="AW5" s="6" t="s">
        <v>24</v>
      </c>
      <c r="AX5" s="10" t="s">
        <v>32</v>
      </c>
      <c r="AY5" s="10" t="s">
        <v>13</v>
      </c>
      <c r="AZ5" s="10" t="s">
        <v>10</v>
      </c>
      <c r="BA5" s="10" t="s">
        <v>7</v>
      </c>
      <c r="BB5" t="s">
        <v>32</v>
      </c>
      <c r="BC5" t="s">
        <v>13</v>
      </c>
      <c r="BD5" t="s">
        <v>10</v>
      </c>
      <c r="BE5" t="s">
        <v>7</v>
      </c>
      <c r="BF5" s="10" t="s">
        <v>32</v>
      </c>
      <c r="BG5" s="10" t="s">
        <v>13</v>
      </c>
      <c r="BH5" s="10" t="s">
        <v>10</v>
      </c>
      <c r="BI5" s="10" t="s">
        <v>7</v>
      </c>
      <c r="BJ5" t="s">
        <v>32</v>
      </c>
      <c r="BK5" t="s">
        <v>13</v>
      </c>
      <c r="BL5" t="s">
        <v>47</v>
      </c>
      <c r="BM5" t="s">
        <v>10</v>
      </c>
      <c r="BN5" t="s">
        <v>7</v>
      </c>
      <c r="BO5" s="10" t="s">
        <v>48</v>
      </c>
      <c r="BP5" t="s">
        <v>10</v>
      </c>
      <c r="BQ5" t="s">
        <v>101</v>
      </c>
      <c r="BR5" t="s">
        <v>3</v>
      </c>
      <c r="BS5" t="s">
        <v>4</v>
      </c>
      <c r="BT5" t="s">
        <v>5</v>
      </c>
      <c r="BU5" t="s">
        <v>52</v>
      </c>
      <c r="BV5" t="s">
        <v>53</v>
      </c>
      <c r="BW5" t="s">
        <v>54</v>
      </c>
      <c r="BX5" t="s">
        <v>55</v>
      </c>
      <c r="BY5" t="s">
        <v>56</v>
      </c>
      <c r="BZ5" t="s">
        <v>7</v>
      </c>
      <c r="CA5" t="s">
        <v>24</v>
      </c>
      <c r="CB5" t="s">
        <v>302</v>
      </c>
      <c r="CC5" t="s">
        <v>60</v>
      </c>
      <c r="CD5" t="s">
        <v>60</v>
      </c>
      <c r="CE5" t="s">
        <v>60</v>
      </c>
      <c r="CF5" t="s">
        <v>60</v>
      </c>
      <c r="CG5" t="s">
        <v>60</v>
      </c>
      <c r="CH5" t="s">
        <v>60</v>
      </c>
      <c r="CI5" t="s">
        <v>60</v>
      </c>
      <c r="CJ5" t="s">
        <v>60</v>
      </c>
      <c r="CK5" t="s">
        <v>60</v>
      </c>
      <c r="CL5" t="s">
        <v>7</v>
      </c>
      <c r="CM5" t="s">
        <v>60</v>
      </c>
      <c r="CN5" t="s">
        <v>7</v>
      </c>
      <c r="CO5" t="s">
        <v>60</v>
      </c>
      <c r="CP5" t="s">
        <v>7</v>
      </c>
      <c r="CQ5" t="s">
        <v>60</v>
      </c>
      <c r="CR5" t="s">
        <v>7</v>
      </c>
      <c r="CS5" t="s">
        <v>60</v>
      </c>
      <c r="CT5" t="s">
        <v>7</v>
      </c>
      <c r="CU5" t="s">
        <v>60</v>
      </c>
      <c r="CV5" t="s">
        <v>7</v>
      </c>
      <c r="CW5" t="s">
        <v>60</v>
      </c>
      <c r="CX5" t="s">
        <v>7</v>
      </c>
      <c r="CY5" t="s">
        <v>85</v>
      </c>
      <c r="CZ5" t="s">
        <v>85</v>
      </c>
      <c r="DA5" t="s">
        <v>85</v>
      </c>
      <c r="DB5" t="s">
        <v>60</v>
      </c>
      <c r="DC5" t="s">
        <v>79</v>
      </c>
      <c r="DD5" t="s">
        <v>80</v>
      </c>
      <c r="DE5" t="s">
        <v>81</v>
      </c>
      <c r="DF5" t="s">
        <v>60</v>
      </c>
      <c r="DG5" s="15" t="s">
        <v>60</v>
      </c>
      <c r="DH5" t="s">
        <v>85</v>
      </c>
      <c r="DI5" t="s">
        <v>94</v>
      </c>
      <c r="DJ5" t="s">
        <v>95</v>
      </c>
      <c r="DK5" t="s">
        <v>96</v>
      </c>
      <c r="DL5" t="s">
        <v>99</v>
      </c>
      <c r="DM5" t="s">
        <v>94</v>
      </c>
      <c r="DP5" t="s">
        <v>286</v>
      </c>
      <c r="DR5" s="80" t="s">
        <v>307</v>
      </c>
      <c r="DS5" s="80" t="s">
        <v>308</v>
      </c>
      <c r="DT5" s="80" t="s">
        <v>308</v>
      </c>
      <c r="DU5" s="80" t="s">
        <v>308</v>
      </c>
      <c r="DV5" s="80" t="s">
        <v>308</v>
      </c>
      <c r="DW5" s="80" t="s">
        <v>309</v>
      </c>
      <c r="DX5" s="80" t="s">
        <v>310</v>
      </c>
    </row>
    <row r="6" spans="1:128" x14ac:dyDescent="0.3">
      <c r="A6" s="1" t="s">
        <v>325</v>
      </c>
      <c r="B6" s="43"/>
      <c r="C6" s="34"/>
      <c r="D6" s="71" t="s">
        <v>18</v>
      </c>
      <c r="E6" s="74" t="s">
        <v>19</v>
      </c>
      <c r="F6" s="10" t="s">
        <v>19</v>
      </c>
      <c r="H6" s="80" t="s">
        <v>15</v>
      </c>
      <c r="I6" s="80" t="s">
        <v>15</v>
      </c>
      <c r="J6" s="80" t="s">
        <v>15</v>
      </c>
      <c r="K6" s="80" t="s">
        <v>15</v>
      </c>
      <c r="L6" s="80" t="s">
        <v>15</v>
      </c>
      <c r="N6" s="3" t="s">
        <v>20</v>
      </c>
      <c r="O6" s="10" t="s">
        <v>101</v>
      </c>
      <c r="P6" s="80" t="s">
        <v>15</v>
      </c>
      <c r="Q6" s="80" t="s">
        <v>15</v>
      </c>
      <c r="R6" s="80" t="s">
        <v>15</v>
      </c>
      <c r="S6" s="80" t="s">
        <v>15</v>
      </c>
      <c r="T6" s="80" t="s">
        <v>15</v>
      </c>
      <c r="U6" t="s">
        <v>19</v>
      </c>
      <c r="W6" s="80" t="s">
        <v>15</v>
      </c>
      <c r="X6" s="80" t="s">
        <v>15</v>
      </c>
      <c r="Y6" s="80" t="s">
        <v>15</v>
      </c>
      <c r="Z6" s="80" t="s">
        <v>15</v>
      </c>
      <c r="AA6" s="80" t="s">
        <v>15</v>
      </c>
      <c r="AB6" s="80" t="s">
        <v>15</v>
      </c>
      <c r="AC6" s="80" t="s">
        <v>21</v>
      </c>
      <c r="AD6" s="80" t="s">
        <v>15</v>
      </c>
      <c r="AF6" s="80" t="s">
        <v>15</v>
      </c>
      <c r="AG6" s="80" t="s">
        <v>17</v>
      </c>
      <c r="AH6" s="80" t="s">
        <v>35</v>
      </c>
      <c r="AI6" s="80" t="s">
        <v>15</v>
      </c>
      <c r="AJ6" s="10" t="s">
        <v>15</v>
      </c>
      <c r="AK6" s="10" t="s">
        <v>15</v>
      </c>
      <c r="AL6" t="s">
        <v>19</v>
      </c>
      <c r="AM6" s="80" t="s">
        <v>15</v>
      </c>
      <c r="AN6" s="80" t="s">
        <v>16</v>
      </c>
      <c r="AO6" s="80" t="s">
        <v>17</v>
      </c>
      <c r="AP6" t="s">
        <v>19</v>
      </c>
      <c r="AQ6" s="10" t="s">
        <v>19</v>
      </c>
      <c r="AR6" s="80" t="s">
        <v>15</v>
      </c>
      <c r="AS6" s="80" t="s">
        <v>15</v>
      </c>
      <c r="AT6" s="80" t="s">
        <v>15</v>
      </c>
      <c r="AU6" s="80" t="s">
        <v>15</v>
      </c>
      <c r="AV6" s="80" t="s">
        <v>15</v>
      </c>
      <c r="AW6" s="6" t="s">
        <v>25</v>
      </c>
      <c r="AX6" s="10" t="s">
        <v>33</v>
      </c>
      <c r="AY6" s="10" t="s">
        <v>17</v>
      </c>
      <c r="AZ6" s="10" t="s">
        <v>19</v>
      </c>
      <c r="BA6" s="10" t="s">
        <v>33</v>
      </c>
      <c r="BB6" t="s">
        <v>33</v>
      </c>
      <c r="BC6" t="s">
        <v>17</v>
      </c>
      <c r="BD6" t="s">
        <v>19</v>
      </c>
      <c r="BE6" t="s">
        <v>33</v>
      </c>
      <c r="BF6" s="10" t="s">
        <v>33</v>
      </c>
      <c r="BG6" s="10" t="s">
        <v>17</v>
      </c>
      <c r="BH6" s="10" t="s">
        <v>19</v>
      </c>
      <c r="BI6" s="10" t="s">
        <v>33</v>
      </c>
      <c r="BJ6" t="s">
        <v>33</v>
      </c>
      <c r="BK6" t="s">
        <v>17</v>
      </c>
      <c r="BL6" t="s">
        <v>35</v>
      </c>
      <c r="BM6" t="s">
        <v>19</v>
      </c>
      <c r="BN6" t="s">
        <v>33</v>
      </c>
      <c r="BO6" s="10" t="s">
        <v>49</v>
      </c>
      <c r="BP6" t="s">
        <v>19</v>
      </c>
      <c r="BQ6" t="s">
        <v>100</v>
      </c>
      <c r="BR6" t="s">
        <v>15</v>
      </c>
      <c r="BS6" t="s">
        <v>15</v>
      </c>
      <c r="BT6" t="s">
        <v>15</v>
      </c>
      <c r="BU6" t="s">
        <v>15</v>
      </c>
      <c r="BV6" t="s">
        <v>15</v>
      </c>
      <c r="BW6" t="s">
        <v>15</v>
      </c>
      <c r="BX6" t="s">
        <v>15</v>
      </c>
      <c r="BY6" t="s">
        <v>15</v>
      </c>
      <c r="BZ6" t="s">
        <v>15</v>
      </c>
      <c r="CA6" t="s">
        <v>25</v>
      </c>
      <c r="CB6" t="s">
        <v>19</v>
      </c>
      <c r="CC6" t="s">
        <v>64</v>
      </c>
      <c r="CD6" t="s">
        <v>64</v>
      </c>
      <c r="CE6" t="s">
        <v>64</v>
      </c>
      <c r="CF6" t="s">
        <v>64</v>
      </c>
      <c r="CG6" t="s">
        <v>64</v>
      </c>
      <c r="CH6" t="s">
        <v>64</v>
      </c>
      <c r="CI6" t="s">
        <v>64</v>
      </c>
      <c r="CJ6" t="s">
        <v>64</v>
      </c>
      <c r="CK6" t="s">
        <v>19</v>
      </c>
      <c r="CL6" t="s">
        <v>15</v>
      </c>
      <c r="CM6" t="s">
        <v>19</v>
      </c>
      <c r="CN6" t="s">
        <v>15</v>
      </c>
      <c r="CO6" t="s">
        <v>19</v>
      </c>
      <c r="CP6" t="s">
        <v>15</v>
      </c>
      <c r="CQ6" t="s">
        <v>19</v>
      </c>
      <c r="CR6" t="s">
        <v>15</v>
      </c>
      <c r="CS6" t="s">
        <v>19</v>
      </c>
      <c r="CT6" t="s">
        <v>15</v>
      </c>
      <c r="CU6" t="s">
        <v>19</v>
      </c>
      <c r="CV6" t="s">
        <v>15</v>
      </c>
      <c r="CW6" t="s">
        <v>19</v>
      </c>
      <c r="CX6" t="s">
        <v>15</v>
      </c>
      <c r="CY6" t="s">
        <v>61</v>
      </c>
      <c r="CZ6" t="s">
        <v>61</v>
      </c>
      <c r="DA6" t="s">
        <v>61</v>
      </c>
      <c r="DB6" t="s">
        <v>19</v>
      </c>
      <c r="DC6" t="s">
        <v>17</v>
      </c>
      <c r="DD6" t="s">
        <v>17</v>
      </c>
      <c r="DE6" t="s">
        <v>17</v>
      </c>
      <c r="DF6" t="s">
        <v>19</v>
      </c>
      <c r="DG6" s="15" t="s">
        <v>19</v>
      </c>
      <c r="DH6" t="s">
        <v>61</v>
      </c>
      <c r="DI6" t="s">
        <v>61</v>
      </c>
      <c r="DJ6" t="s">
        <v>17</v>
      </c>
      <c r="DK6" t="s">
        <v>17</v>
      </c>
      <c r="DM6" t="s">
        <v>61</v>
      </c>
      <c r="DO6" t="s">
        <v>19</v>
      </c>
      <c r="DP6" t="s">
        <v>286</v>
      </c>
      <c r="DQ6" s="80" t="s">
        <v>311</v>
      </c>
      <c r="DR6" s="80" t="s">
        <v>311</v>
      </c>
      <c r="DS6" s="80" t="s">
        <v>311</v>
      </c>
      <c r="DT6" s="80" t="s">
        <v>311</v>
      </c>
      <c r="DU6" s="80" t="s">
        <v>311</v>
      </c>
      <c r="DV6" s="80" t="s">
        <v>311</v>
      </c>
      <c r="DW6" s="80" t="s">
        <v>311</v>
      </c>
      <c r="DX6" s="80" t="s">
        <v>311</v>
      </c>
    </row>
    <row r="7" spans="1:128" x14ac:dyDescent="0.3">
      <c r="E7" s="75">
        <f>AVERAGE(E9:E159)</f>
        <v>191494.96026490067</v>
      </c>
      <c r="F7" s="27">
        <f>AVERAGE(F9:F159)</f>
        <v>101097.35099337748</v>
      </c>
      <c r="O7" s="10" t="s">
        <v>100</v>
      </c>
      <c r="U7" s="1" t="s">
        <v>281</v>
      </c>
      <c r="W7" s="80" t="s">
        <v>281</v>
      </c>
      <c r="X7" s="80" t="s">
        <v>281</v>
      </c>
      <c r="AF7" s="80" t="s">
        <v>139</v>
      </c>
      <c r="AG7" s="80" t="s">
        <v>267</v>
      </c>
      <c r="AJ7" s="76">
        <f>AVERAGE(AJ9:AJ312)</f>
        <v>0.47233230835240303</v>
      </c>
      <c r="AK7" s="76">
        <f>AVERAGE(AK9:AK312)</f>
        <v>1.7181623641304344</v>
      </c>
      <c r="AQ7" s="10">
        <f>AVERAGE(AQ9:AQ220)</f>
        <v>174936.03875471692</v>
      </c>
      <c r="AX7" s="10" t="s">
        <v>102</v>
      </c>
      <c r="BA7" s="10" t="s">
        <v>102</v>
      </c>
      <c r="BB7" t="s">
        <v>102</v>
      </c>
      <c r="BE7" t="s">
        <v>102</v>
      </c>
      <c r="BF7" s="10" t="s">
        <v>102</v>
      </c>
      <c r="BI7" s="10" t="s">
        <v>102</v>
      </c>
      <c r="BJ7" t="s">
        <v>102</v>
      </c>
      <c r="BN7" t="s">
        <v>102</v>
      </c>
      <c r="CB7" s="39"/>
      <c r="CJ7" s="4" t="s">
        <v>109</v>
      </c>
      <c r="DB7" s="4" t="s">
        <v>103</v>
      </c>
      <c r="DF7" s="4" t="s">
        <v>103</v>
      </c>
      <c r="DG7" s="4" t="s">
        <v>242</v>
      </c>
    </row>
    <row r="8" spans="1:128" s="28" customFormat="1" x14ac:dyDescent="0.3">
      <c r="A8" s="38" t="s">
        <v>110</v>
      </c>
      <c r="B8" s="77"/>
      <c r="C8" s="35"/>
      <c r="D8" s="73" t="s">
        <v>269</v>
      </c>
      <c r="E8" s="26" t="s">
        <v>275</v>
      </c>
      <c r="F8" s="26" t="s">
        <v>271</v>
      </c>
      <c r="G8" s="27" t="s">
        <v>270</v>
      </c>
      <c r="H8" s="98" t="s">
        <v>272</v>
      </c>
      <c r="I8" s="98" t="s">
        <v>255</v>
      </c>
      <c r="J8" s="81"/>
      <c r="K8" s="81"/>
      <c r="L8" s="98" t="s">
        <v>139</v>
      </c>
      <c r="M8" s="26"/>
      <c r="O8" s="26"/>
      <c r="P8" s="98" t="s">
        <v>272</v>
      </c>
      <c r="Q8" s="98" t="s">
        <v>255</v>
      </c>
      <c r="R8" s="81"/>
      <c r="S8" s="81"/>
      <c r="T8" s="98" t="s">
        <v>139</v>
      </c>
      <c r="U8" s="75">
        <f>AVERAGE(U9:U159)</f>
        <v>3903.7398410596029</v>
      </c>
      <c r="V8" s="81" t="s">
        <v>280</v>
      </c>
      <c r="W8" s="80">
        <f>AVERAGE(W9:W138)</f>
        <v>796</v>
      </c>
      <c r="X8" s="80">
        <f>AVERAGE(X9:X138)</f>
        <v>164.4</v>
      </c>
      <c r="Y8" s="81"/>
      <c r="Z8" s="81"/>
      <c r="AA8" s="81"/>
      <c r="AB8" s="81"/>
      <c r="AC8" s="81" t="s">
        <v>280</v>
      </c>
      <c r="AD8" s="81">
        <v>850</v>
      </c>
      <c r="AE8"/>
      <c r="AF8" s="80"/>
      <c r="AG8" s="81"/>
      <c r="AH8" s="98" t="s">
        <v>29</v>
      </c>
      <c r="AI8" s="81"/>
      <c r="AJ8" s="26" t="s">
        <v>327</v>
      </c>
      <c r="AK8" s="26" t="s">
        <v>328</v>
      </c>
      <c r="AL8">
        <f>AVERAGE(AL9:AL220)</f>
        <v>1684.6226415094343</v>
      </c>
      <c r="AM8" s="81"/>
      <c r="AN8" s="81"/>
      <c r="AO8" s="81"/>
      <c r="AP8" s="29"/>
      <c r="AQ8" s="26" t="s">
        <v>299</v>
      </c>
      <c r="AR8" s="98" t="s">
        <v>272</v>
      </c>
      <c r="AS8" s="81"/>
      <c r="AT8" s="81"/>
      <c r="AU8" s="81"/>
      <c r="AV8" s="98" t="s">
        <v>139</v>
      </c>
      <c r="AW8" s="30"/>
      <c r="AX8" s="26"/>
      <c r="AY8" s="26"/>
      <c r="AZ8" s="26"/>
      <c r="BA8" s="26"/>
      <c r="BD8" s="31"/>
      <c r="BE8" s="31"/>
      <c r="BF8" s="26"/>
      <c r="BG8" s="26"/>
      <c r="BH8" s="26"/>
      <c r="BI8" s="26"/>
      <c r="BM8" s="31"/>
      <c r="BN8" s="31"/>
      <c r="BO8" s="26" t="s">
        <v>232</v>
      </c>
      <c r="CB8" s="28" t="s">
        <v>326</v>
      </c>
      <c r="CS8" s="32">
        <v>0</v>
      </c>
      <c r="CU8" s="32">
        <v>0</v>
      </c>
      <c r="CW8" s="32">
        <v>0</v>
      </c>
      <c r="DQ8" s="81"/>
      <c r="DR8" s="81"/>
      <c r="DS8" s="81"/>
      <c r="DT8" s="81"/>
      <c r="DU8" s="81"/>
      <c r="DV8" s="81"/>
      <c r="DW8" s="81"/>
      <c r="DX8" s="81"/>
    </row>
    <row r="9" spans="1:128" x14ac:dyDescent="0.3">
      <c r="A9" s="2">
        <v>41548</v>
      </c>
      <c r="B9" s="21">
        <f>A9-$A$9</f>
        <v>0</v>
      </c>
      <c r="C9" s="36" t="s">
        <v>134</v>
      </c>
      <c r="D9" s="71">
        <v>0</v>
      </c>
      <c r="E9" s="74">
        <v>229042</v>
      </c>
      <c r="F9" s="10">
        <v>177300</v>
      </c>
      <c r="G9" s="10">
        <f>E9-F9</f>
        <v>51742</v>
      </c>
      <c r="U9" s="74">
        <v>2846.6</v>
      </c>
      <c r="AI9" s="80">
        <v>0.72399999999999998</v>
      </c>
      <c r="AJ9" s="10">
        <v>0.63666666666666671</v>
      </c>
      <c r="AK9" s="10">
        <v>1.5766666666666669</v>
      </c>
      <c r="AL9">
        <v>1197</v>
      </c>
      <c r="AP9">
        <v>122533.5</v>
      </c>
      <c r="AQ9" s="10">
        <f t="shared" ref="AQ9:AQ40" si="0">E9+U9-AL9</f>
        <v>230691.6</v>
      </c>
      <c r="AS9" s="88"/>
      <c r="AX9" s="10">
        <v>2.6880000000000002</v>
      </c>
      <c r="AZ9" s="10">
        <v>60</v>
      </c>
      <c r="BA9" s="10">
        <v>6.52</v>
      </c>
      <c r="BB9">
        <v>2.383</v>
      </c>
      <c r="BD9">
        <v>161</v>
      </c>
      <c r="BE9">
        <v>5.5869999999999997</v>
      </c>
      <c r="BF9" s="10">
        <v>2.8660000000000001</v>
      </c>
      <c r="BH9" s="10">
        <v>41</v>
      </c>
      <c r="BI9" s="10">
        <v>4.9189999999999996</v>
      </c>
      <c r="BJ9">
        <v>3.4159999999999999</v>
      </c>
      <c r="BM9">
        <v>243</v>
      </c>
      <c r="BN9">
        <v>5.5339999999999998</v>
      </c>
      <c r="BO9" s="10">
        <v>18.507000000000001</v>
      </c>
      <c r="BP9">
        <v>51742</v>
      </c>
      <c r="CB9">
        <v>7</v>
      </c>
      <c r="CC9">
        <v>25470</v>
      </c>
      <c r="CD9">
        <v>3227</v>
      </c>
      <c r="CE9">
        <v>3663</v>
      </c>
      <c r="CF9">
        <v>2485.5</v>
      </c>
      <c r="CG9">
        <v>3433</v>
      </c>
      <c r="CH9">
        <v>6290</v>
      </c>
      <c r="CI9">
        <v>15872</v>
      </c>
      <c r="CK9">
        <v>0</v>
      </c>
      <c r="CL9">
        <v>22000</v>
      </c>
      <c r="CM9">
        <v>0</v>
      </c>
      <c r="CN9">
        <v>28000</v>
      </c>
      <c r="CO9">
        <v>144.07</v>
      </c>
      <c r="CP9">
        <v>21000</v>
      </c>
      <c r="CQ9">
        <v>71</v>
      </c>
      <c r="CR9">
        <v>73000</v>
      </c>
      <c r="CS9" s="5">
        <v>0</v>
      </c>
      <c r="CU9" s="5">
        <v>0</v>
      </c>
      <c r="CW9" s="5">
        <v>0</v>
      </c>
      <c r="CY9">
        <v>27.2</v>
      </c>
      <c r="CZ9">
        <v>3.5</v>
      </c>
      <c r="DA9">
        <v>16.5</v>
      </c>
      <c r="DB9">
        <v>5360</v>
      </c>
      <c r="DC9">
        <v>66.891000000000005</v>
      </c>
      <c r="DD9">
        <v>37.39</v>
      </c>
      <c r="DE9">
        <v>8.0000000000000002E-3</v>
      </c>
      <c r="DF9">
        <v>4703</v>
      </c>
      <c r="DH9">
        <v>163.5</v>
      </c>
      <c r="DI9">
        <v>32720</v>
      </c>
      <c r="DJ9">
        <v>22.1</v>
      </c>
      <c r="DK9">
        <v>39</v>
      </c>
      <c r="DN9" s="79"/>
      <c r="DO9">
        <v>0</v>
      </c>
      <c r="DP9" t="s">
        <v>286</v>
      </c>
    </row>
    <row r="10" spans="1:128" x14ac:dyDescent="0.3">
      <c r="A10" s="2">
        <v>41549</v>
      </c>
      <c r="B10" s="21">
        <f t="shared" ref="B10:B73" si="1">A10-$A$9</f>
        <v>1</v>
      </c>
      <c r="C10" s="36"/>
      <c r="D10" s="71">
        <v>0</v>
      </c>
      <c r="E10" s="74">
        <v>226633</v>
      </c>
      <c r="F10" s="10">
        <v>176400</v>
      </c>
      <c r="G10" s="10">
        <f t="shared" ref="G10:G11" si="2">E10-F10</f>
        <v>50233</v>
      </c>
      <c r="U10" s="74">
        <v>2800.75</v>
      </c>
      <c r="AI10" s="80">
        <v>0.29099999999999998</v>
      </c>
      <c r="AJ10" s="10">
        <v>0.58333333333333337</v>
      </c>
      <c r="AK10" s="10">
        <v>1.5595833333333333</v>
      </c>
      <c r="AL10">
        <v>1192</v>
      </c>
      <c r="AN10" s="80">
        <v>10875</v>
      </c>
      <c r="AP10">
        <v>133116.5</v>
      </c>
      <c r="AQ10" s="10">
        <f t="shared" si="0"/>
        <v>228241.75</v>
      </c>
      <c r="AX10" s="10">
        <v>2.7759999999999998</v>
      </c>
      <c r="AZ10" s="10">
        <v>61.75</v>
      </c>
      <c r="BA10" s="10">
        <v>6.9109999999999996</v>
      </c>
      <c r="BB10">
        <v>2.3119999999999998</v>
      </c>
      <c r="BD10">
        <v>160</v>
      </c>
      <c r="BE10">
        <v>5.4290000000000003</v>
      </c>
      <c r="BF10" s="10">
        <v>2.8519999999999999</v>
      </c>
      <c r="BH10" s="10">
        <v>40</v>
      </c>
      <c r="BI10" s="10">
        <v>5.1479999999999997</v>
      </c>
      <c r="BJ10">
        <v>3.4390000000000001</v>
      </c>
      <c r="BM10">
        <v>264</v>
      </c>
      <c r="BN10">
        <v>5.5250000000000004</v>
      </c>
      <c r="BO10" s="10">
        <v>18.468</v>
      </c>
      <c r="BP10">
        <v>50233</v>
      </c>
      <c r="CB10">
        <v>8</v>
      </c>
      <c r="CC10">
        <v>23261</v>
      </c>
      <c r="CD10">
        <v>3362</v>
      </c>
      <c r="CE10">
        <v>3586</v>
      </c>
      <c r="CF10">
        <v>2428.5</v>
      </c>
      <c r="CG10">
        <v>3334.5</v>
      </c>
      <c r="CH10">
        <v>5872</v>
      </c>
      <c r="CI10">
        <v>15221</v>
      </c>
      <c r="CK10">
        <v>33.18</v>
      </c>
      <c r="CL10">
        <v>22000</v>
      </c>
      <c r="CM10">
        <v>0</v>
      </c>
      <c r="CN10">
        <v>28000</v>
      </c>
      <c r="CO10">
        <v>108.18</v>
      </c>
      <c r="CP10">
        <v>21000</v>
      </c>
      <c r="CQ10">
        <v>34</v>
      </c>
      <c r="CR10">
        <v>73000</v>
      </c>
      <c r="CS10" s="5">
        <v>0</v>
      </c>
      <c r="CU10" s="5">
        <v>0</v>
      </c>
      <c r="CW10" s="5">
        <v>0</v>
      </c>
      <c r="CY10">
        <v>27.2</v>
      </c>
      <c r="CZ10">
        <v>3.5</v>
      </c>
      <c r="DA10">
        <v>13.2</v>
      </c>
      <c r="DB10">
        <v>6027</v>
      </c>
      <c r="DC10">
        <v>67.540999999999997</v>
      </c>
      <c r="DD10">
        <v>37.131</v>
      </c>
      <c r="DE10">
        <v>8.0000000000000002E-3</v>
      </c>
      <c r="DF10">
        <v>5482</v>
      </c>
      <c r="DH10">
        <v>168.8</v>
      </c>
      <c r="DI10">
        <v>67020</v>
      </c>
      <c r="DJ10">
        <v>22.3</v>
      </c>
      <c r="DK10">
        <v>39</v>
      </c>
      <c r="DN10" s="23"/>
      <c r="DO10">
        <v>0</v>
      </c>
      <c r="DP10" t="s">
        <v>286</v>
      </c>
    </row>
    <row r="11" spans="1:128" x14ac:dyDescent="0.3">
      <c r="A11" s="2">
        <v>41550</v>
      </c>
      <c r="B11" s="21">
        <f t="shared" si="1"/>
        <v>2</v>
      </c>
      <c r="C11" s="36"/>
      <c r="D11" s="71">
        <v>0</v>
      </c>
      <c r="E11" s="74">
        <v>228000</v>
      </c>
      <c r="F11" s="10">
        <v>178600</v>
      </c>
      <c r="G11" s="10">
        <f t="shared" si="2"/>
        <v>49400</v>
      </c>
      <c r="U11" s="74">
        <v>3245.8649999999998</v>
      </c>
      <c r="AF11" s="80">
        <v>3276</v>
      </c>
      <c r="AG11" s="80">
        <v>20.399999999999999</v>
      </c>
      <c r="AH11" s="80">
        <v>85</v>
      </c>
      <c r="AI11" s="80">
        <v>0.14299999999999999</v>
      </c>
      <c r="AJ11" s="10">
        <v>0.45583333333333337</v>
      </c>
      <c r="AK11" s="10">
        <v>1.5375000000000003</v>
      </c>
      <c r="AL11">
        <v>1437</v>
      </c>
      <c r="AP11">
        <v>144100</v>
      </c>
      <c r="AQ11" s="10">
        <f t="shared" si="0"/>
        <v>229808.86499999999</v>
      </c>
      <c r="AX11" s="10">
        <v>3.12</v>
      </c>
      <c r="AZ11" s="10">
        <v>65.25</v>
      </c>
      <c r="BA11" s="10">
        <v>6.77</v>
      </c>
      <c r="BB11">
        <v>2.3199999999999998</v>
      </c>
      <c r="BD11">
        <v>151</v>
      </c>
      <c r="BE11">
        <v>5.6390000000000002</v>
      </c>
      <c r="BF11" s="10">
        <v>3.79</v>
      </c>
      <c r="BH11" s="10">
        <v>41</v>
      </c>
      <c r="BI11" s="10">
        <v>4.6239999999999997</v>
      </c>
      <c r="BJ11">
        <v>3.24</v>
      </c>
      <c r="BL11">
        <v>134</v>
      </c>
      <c r="BM11">
        <v>283</v>
      </c>
      <c r="BN11">
        <v>5.5590000000000002</v>
      </c>
      <c r="BO11" s="10">
        <v>18.244</v>
      </c>
      <c r="BP11">
        <v>49400</v>
      </c>
      <c r="CB11">
        <v>3</v>
      </c>
      <c r="CC11">
        <v>23158</v>
      </c>
      <c r="CD11">
        <v>3364</v>
      </c>
      <c r="CE11">
        <v>3097</v>
      </c>
      <c r="CF11">
        <v>2796</v>
      </c>
      <c r="CG11">
        <v>2885.5</v>
      </c>
      <c r="CH11">
        <v>6208</v>
      </c>
      <c r="CI11">
        <v>14987</v>
      </c>
      <c r="CK11">
        <v>71.88</v>
      </c>
      <c r="CL11">
        <v>22000</v>
      </c>
      <c r="CM11">
        <v>0</v>
      </c>
      <c r="CN11">
        <v>28000</v>
      </c>
      <c r="CO11">
        <v>72.3</v>
      </c>
      <c r="CP11">
        <v>21000</v>
      </c>
      <c r="CQ11">
        <v>34</v>
      </c>
      <c r="CR11">
        <v>73000</v>
      </c>
      <c r="CS11" s="5">
        <v>0</v>
      </c>
      <c r="CU11" s="5">
        <v>0</v>
      </c>
      <c r="CW11" s="5">
        <v>0</v>
      </c>
      <c r="CY11">
        <v>30.6</v>
      </c>
      <c r="CZ11">
        <v>3.5</v>
      </c>
      <c r="DA11">
        <v>16.5</v>
      </c>
      <c r="DB11">
        <v>6303</v>
      </c>
      <c r="DC11">
        <v>67.715999999999994</v>
      </c>
      <c r="DD11">
        <v>37.235999999999997</v>
      </c>
      <c r="DE11">
        <v>8.9999999999999993E-3</v>
      </c>
      <c r="DF11">
        <v>5913.75</v>
      </c>
      <c r="DH11">
        <v>184.8</v>
      </c>
      <c r="DI11">
        <v>65680</v>
      </c>
      <c r="DJ11">
        <v>22.3</v>
      </c>
      <c r="DK11">
        <v>39</v>
      </c>
      <c r="DN11" s="23"/>
      <c r="DO11">
        <v>0</v>
      </c>
      <c r="DP11" t="s">
        <v>286</v>
      </c>
    </row>
    <row r="12" spans="1:128" x14ac:dyDescent="0.3">
      <c r="A12" s="2">
        <v>41551</v>
      </c>
      <c r="B12" s="21">
        <f t="shared" si="1"/>
        <v>3</v>
      </c>
      <c r="C12" s="36"/>
      <c r="D12" s="71">
        <v>6.78</v>
      </c>
      <c r="E12" s="74">
        <v>236350</v>
      </c>
      <c r="F12" s="10">
        <v>152550</v>
      </c>
      <c r="G12" s="10">
        <f>E12-F12</f>
        <v>83800</v>
      </c>
      <c r="N12">
        <v>7781</v>
      </c>
      <c r="U12" s="74">
        <v>3494.34</v>
      </c>
      <c r="AI12" s="80">
        <v>0</v>
      </c>
      <c r="AJ12" s="10">
        <v>0.25958333333333333</v>
      </c>
      <c r="AK12" s="10">
        <v>1.6504166666666664</v>
      </c>
      <c r="AL12">
        <v>1682</v>
      </c>
      <c r="AP12">
        <v>161700</v>
      </c>
      <c r="AQ12" s="10">
        <f t="shared" si="0"/>
        <v>238162.34</v>
      </c>
      <c r="AX12" s="10">
        <v>2.9460000000000002</v>
      </c>
      <c r="AY12" s="10">
        <v>26</v>
      </c>
      <c r="AZ12" s="10">
        <v>70</v>
      </c>
      <c r="BA12" s="10">
        <v>6.7649999999999997</v>
      </c>
      <c r="BB12">
        <v>2.181</v>
      </c>
      <c r="BC12">
        <v>24</v>
      </c>
      <c r="BD12">
        <v>131.05500000000001</v>
      </c>
      <c r="BE12">
        <v>5.8019999999999996</v>
      </c>
      <c r="BF12" s="10">
        <v>3.3</v>
      </c>
      <c r="BG12" s="10">
        <v>24</v>
      </c>
      <c r="BH12" s="10">
        <v>41</v>
      </c>
      <c r="BI12" s="10">
        <v>4.83</v>
      </c>
      <c r="BJ12">
        <v>3.2759999999999998</v>
      </c>
      <c r="BK12">
        <v>27</v>
      </c>
      <c r="BM12">
        <v>283</v>
      </c>
      <c r="BN12">
        <v>5.6020000000000003</v>
      </c>
      <c r="BO12" s="10">
        <v>18.283000000000001</v>
      </c>
      <c r="BP12">
        <v>83800</v>
      </c>
      <c r="CB12">
        <v>13</v>
      </c>
      <c r="CC12">
        <v>24854</v>
      </c>
      <c r="CD12">
        <v>2015.7190000000001</v>
      </c>
      <c r="CE12">
        <v>3628</v>
      </c>
      <c r="CF12">
        <v>3281</v>
      </c>
      <c r="CG12">
        <v>3370</v>
      </c>
      <c r="CH12">
        <v>7096</v>
      </c>
      <c r="CI12">
        <v>17375</v>
      </c>
      <c r="CK12">
        <v>144.26</v>
      </c>
      <c r="CL12">
        <v>22000</v>
      </c>
      <c r="CM12">
        <v>0</v>
      </c>
      <c r="CN12">
        <v>28000</v>
      </c>
      <c r="CO12">
        <v>0</v>
      </c>
      <c r="CP12">
        <v>21000</v>
      </c>
      <c r="CQ12">
        <v>0</v>
      </c>
      <c r="CR12">
        <v>73000</v>
      </c>
      <c r="CS12" s="5">
        <v>0</v>
      </c>
      <c r="CU12" s="5">
        <v>0</v>
      </c>
      <c r="CW12" s="5">
        <v>0</v>
      </c>
      <c r="CY12">
        <v>26.4</v>
      </c>
      <c r="CZ12">
        <v>23.8</v>
      </c>
      <c r="DA12">
        <v>13.2</v>
      </c>
      <c r="DB12">
        <v>6840</v>
      </c>
      <c r="DC12">
        <v>67.356999999999999</v>
      </c>
      <c r="DD12">
        <v>37.314</v>
      </c>
      <c r="DE12">
        <v>8.9999999999999993E-3</v>
      </c>
      <c r="DF12">
        <v>6340.5</v>
      </c>
      <c r="DH12">
        <v>165</v>
      </c>
      <c r="DI12">
        <v>70560</v>
      </c>
      <c r="DJ12">
        <v>22.3</v>
      </c>
      <c r="DK12">
        <v>39</v>
      </c>
      <c r="DN12" s="23"/>
      <c r="DO12">
        <v>0</v>
      </c>
      <c r="DP12" t="s">
        <v>286</v>
      </c>
    </row>
    <row r="13" spans="1:128" x14ac:dyDescent="0.3">
      <c r="A13" s="2">
        <v>41552</v>
      </c>
      <c r="B13" s="21">
        <f t="shared" si="1"/>
        <v>4</v>
      </c>
      <c r="C13" s="36"/>
      <c r="D13" s="71">
        <v>0</v>
      </c>
      <c r="E13" s="74">
        <v>232750</v>
      </c>
      <c r="F13" s="10">
        <v>156250</v>
      </c>
      <c r="G13" s="10">
        <f t="shared" ref="G13:G76" si="3">E13-F13</f>
        <v>76500</v>
      </c>
      <c r="H13" s="80">
        <v>411</v>
      </c>
      <c r="I13" s="80">
        <v>187</v>
      </c>
      <c r="J13" s="80">
        <v>36.9</v>
      </c>
      <c r="K13" s="80">
        <v>5.96</v>
      </c>
      <c r="L13" s="80">
        <v>265</v>
      </c>
      <c r="M13" s="10">
        <v>295671</v>
      </c>
      <c r="O13" s="10">
        <v>7.7</v>
      </c>
      <c r="P13" s="80">
        <v>160</v>
      </c>
      <c r="Q13" s="80">
        <v>64</v>
      </c>
      <c r="R13" s="80">
        <v>14</v>
      </c>
      <c r="S13" s="80">
        <v>3.2</v>
      </c>
      <c r="T13" s="80">
        <v>93</v>
      </c>
      <c r="U13" s="74">
        <v>4459.415</v>
      </c>
      <c r="W13" s="80">
        <v>1130</v>
      </c>
      <c r="X13" s="80">
        <v>190</v>
      </c>
      <c r="Y13" s="80">
        <v>250</v>
      </c>
      <c r="Z13" s="80">
        <v>0.28999999999999998</v>
      </c>
      <c r="AA13" s="80">
        <v>3.7</v>
      </c>
      <c r="AB13" s="80">
        <v>81</v>
      </c>
      <c r="AD13" s="80">
        <v>850</v>
      </c>
      <c r="AI13" s="80">
        <v>4.2000000000000003E-2</v>
      </c>
      <c r="AJ13" s="10">
        <v>0.36958333333333332</v>
      </c>
      <c r="AK13" s="10">
        <v>1.0800000000000003</v>
      </c>
      <c r="AL13">
        <v>2321</v>
      </c>
      <c r="AP13">
        <v>135800</v>
      </c>
      <c r="AQ13" s="10">
        <f t="shared" si="0"/>
        <v>234888.41500000001</v>
      </c>
      <c r="AR13" s="80">
        <v>100</v>
      </c>
      <c r="AS13" s="80">
        <v>32</v>
      </c>
      <c r="AT13" s="80">
        <v>14</v>
      </c>
      <c r="AU13" s="80">
        <v>1.74</v>
      </c>
      <c r="AV13" s="80">
        <v>39</v>
      </c>
      <c r="AW13" s="6">
        <v>0.21</v>
      </c>
      <c r="AX13" s="10">
        <v>2.9569999999999999</v>
      </c>
      <c r="AZ13" s="10">
        <v>80</v>
      </c>
      <c r="BA13" s="10">
        <v>7.1719999999999997</v>
      </c>
      <c r="BB13">
        <v>2.109</v>
      </c>
      <c r="BD13">
        <v>121.27800000000001</v>
      </c>
      <c r="BE13">
        <v>5.415</v>
      </c>
      <c r="BF13" s="10">
        <v>3.355</v>
      </c>
      <c r="BH13" s="10">
        <v>63.5</v>
      </c>
      <c r="BI13" s="10">
        <v>5.1139999999999999</v>
      </c>
      <c r="BJ13">
        <v>3.28</v>
      </c>
      <c r="BM13">
        <v>284</v>
      </c>
      <c r="BN13">
        <v>5.601</v>
      </c>
      <c r="BO13" s="10">
        <v>18.163</v>
      </c>
      <c r="BP13">
        <v>76500</v>
      </c>
      <c r="BQ13">
        <v>7.6</v>
      </c>
      <c r="BR13">
        <v>37</v>
      </c>
      <c r="BS13">
        <v>4</v>
      </c>
      <c r="BT13">
        <v>2.8</v>
      </c>
      <c r="BU13">
        <v>0.69</v>
      </c>
      <c r="BV13">
        <v>0.11</v>
      </c>
      <c r="BW13">
        <v>8</v>
      </c>
      <c r="BX13">
        <v>1.6</v>
      </c>
      <c r="BY13">
        <v>1.85</v>
      </c>
      <c r="BZ13">
        <v>9</v>
      </c>
      <c r="CA13">
        <v>0.6</v>
      </c>
      <c r="CB13">
        <v>9</v>
      </c>
      <c r="CC13">
        <v>20331</v>
      </c>
      <c r="CD13">
        <v>3276.2809999999999</v>
      </c>
      <c r="CE13">
        <v>3370</v>
      </c>
      <c r="CF13">
        <v>2899</v>
      </c>
      <c r="CG13">
        <v>3193</v>
      </c>
      <c r="CH13">
        <v>6612</v>
      </c>
      <c r="CI13">
        <v>16074</v>
      </c>
      <c r="CK13">
        <v>108.08</v>
      </c>
      <c r="CL13">
        <v>22000</v>
      </c>
      <c r="CM13">
        <v>0</v>
      </c>
      <c r="CN13">
        <v>28000</v>
      </c>
      <c r="CO13">
        <v>0</v>
      </c>
      <c r="CP13">
        <v>21000</v>
      </c>
      <c r="CQ13">
        <v>35</v>
      </c>
      <c r="CR13">
        <v>73000</v>
      </c>
      <c r="CS13" s="5">
        <v>0</v>
      </c>
      <c r="CU13" s="5">
        <v>0</v>
      </c>
      <c r="CW13" s="5">
        <v>0</v>
      </c>
      <c r="CY13">
        <v>33</v>
      </c>
      <c r="CZ13">
        <v>34</v>
      </c>
      <c r="DA13">
        <v>16.5</v>
      </c>
      <c r="DB13">
        <v>7840</v>
      </c>
      <c r="DC13">
        <v>66.739999999999995</v>
      </c>
      <c r="DD13">
        <v>37.643000000000001</v>
      </c>
      <c r="DE13">
        <v>0.01</v>
      </c>
      <c r="DF13">
        <v>7715.5</v>
      </c>
      <c r="DH13">
        <v>245.1</v>
      </c>
      <c r="DI13">
        <v>101500</v>
      </c>
      <c r="DJ13">
        <v>22.3</v>
      </c>
      <c r="DK13">
        <v>39</v>
      </c>
      <c r="DN13" s="23"/>
      <c r="DO13">
        <v>0</v>
      </c>
      <c r="DP13" t="s">
        <v>286</v>
      </c>
    </row>
    <row r="14" spans="1:128" x14ac:dyDescent="0.3">
      <c r="A14" s="2">
        <v>41553</v>
      </c>
      <c r="B14" s="21">
        <f t="shared" si="1"/>
        <v>5</v>
      </c>
      <c r="C14" s="36"/>
      <c r="D14" s="71">
        <v>0</v>
      </c>
      <c r="E14" s="74">
        <v>226733</v>
      </c>
      <c r="F14" s="10">
        <v>176900</v>
      </c>
      <c r="G14" s="10">
        <f t="shared" si="3"/>
        <v>49833</v>
      </c>
      <c r="U14" s="74">
        <v>4207.84</v>
      </c>
      <c r="AI14" s="80">
        <v>1.7000000000000001E-2</v>
      </c>
      <c r="AJ14" s="10">
        <v>0.42291666666666677</v>
      </c>
      <c r="AK14" s="10">
        <v>1.0058333333333336</v>
      </c>
      <c r="AL14">
        <v>2558</v>
      </c>
      <c r="AP14">
        <v>141425</v>
      </c>
      <c r="AQ14" s="10">
        <f t="shared" si="0"/>
        <v>228382.84</v>
      </c>
      <c r="AX14" s="10">
        <v>2.968</v>
      </c>
      <c r="AZ14" s="10">
        <v>71</v>
      </c>
      <c r="BA14" s="10">
        <v>7.282</v>
      </c>
      <c r="BB14">
        <v>2.2429999999999999</v>
      </c>
      <c r="BD14">
        <v>110.316</v>
      </c>
      <c r="BE14">
        <v>5.86</v>
      </c>
      <c r="BF14" s="10">
        <v>3.2280000000000002</v>
      </c>
      <c r="BH14" s="10">
        <v>62.5</v>
      </c>
      <c r="BI14" s="10">
        <v>4.8940000000000001</v>
      </c>
      <c r="BJ14">
        <v>3.3460000000000001</v>
      </c>
      <c r="BM14">
        <v>302</v>
      </c>
      <c r="BN14">
        <v>5.6539999999999999</v>
      </c>
      <c r="BO14" s="10">
        <v>18.797999999999998</v>
      </c>
      <c r="BP14">
        <v>49833</v>
      </c>
      <c r="CB14">
        <v>8</v>
      </c>
      <c r="CC14">
        <v>15796</v>
      </c>
      <c r="CD14">
        <v>2522</v>
      </c>
      <c r="CE14">
        <v>3222</v>
      </c>
      <c r="CF14">
        <v>2776</v>
      </c>
      <c r="CG14">
        <v>2957</v>
      </c>
      <c r="CH14">
        <v>6116</v>
      </c>
      <c r="CI14">
        <v>15071</v>
      </c>
      <c r="CK14">
        <v>0</v>
      </c>
      <c r="CL14">
        <v>22000</v>
      </c>
      <c r="CM14">
        <v>0</v>
      </c>
      <c r="CN14">
        <v>28000</v>
      </c>
      <c r="CO14">
        <v>0</v>
      </c>
      <c r="CP14">
        <v>21000</v>
      </c>
      <c r="CQ14">
        <v>0</v>
      </c>
      <c r="CR14">
        <v>73000</v>
      </c>
      <c r="CS14" s="5">
        <v>0</v>
      </c>
      <c r="CU14" s="5">
        <v>0</v>
      </c>
      <c r="CW14" s="5">
        <v>0</v>
      </c>
      <c r="CY14">
        <v>36.299999999999997</v>
      </c>
      <c r="CZ14">
        <v>37.4</v>
      </c>
      <c r="DA14">
        <v>16.5</v>
      </c>
      <c r="DB14">
        <v>9387</v>
      </c>
      <c r="DC14">
        <v>66.177000000000007</v>
      </c>
      <c r="DD14">
        <v>38.485999999999997</v>
      </c>
      <c r="DE14">
        <v>0.01</v>
      </c>
      <c r="DF14">
        <v>9325.75</v>
      </c>
      <c r="DH14">
        <v>159</v>
      </c>
      <c r="DI14">
        <v>68940</v>
      </c>
      <c r="DJ14">
        <v>22.3</v>
      </c>
      <c r="DK14">
        <v>39</v>
      </c>
      <c r="DN14" s="23"/>
      <c r="DO14">
        <v>0</v>
      </c>
      <c r="DP14" t="s">
        <v>286</v>
      </c>
    </row>
    <row r="15" spans="1:128" x14ac:dyDescent="0.3">
      <c r="A15" s="2">
        <v>41554</v>
      </c>
      <c r="B15" s="21">
        <f t="shared" si="1"/>
        <v>6</v>
      </c>
      <c r="C15" s="36"/>
      <c r="D15" s="71">
        <v>0</v>
      </c>
      <c r="E15" s="74">
        <v>225834</v>
      </c>
      <c r="F15" s="10">
        <v>177700</v>
      </c>
      <c r="G15" s="10">
        <f t="shared" si="3"/>
        <v>48134</v>
      </c>
      <c r="U15" s="74">
        <v>4104</v>
      </c>
      <c r="AF15" s="80">
        <v>3182</v>
      </c>
      <c r="AG15" s="80">
        <v>23.5</v>
      </c>
      <c r="AH15" s="80">
        <v>94</v>
      </c>
      <c r="AI15" s="80">
        <v>0.11799999999999999</v>
      </c>
      <c r="AJ15" s="10">
        <v>0.27833333333333338</v>
      </c>
      <c r="AK15" s="10">
        <v>0.99124999999999996</v>
      </c>
      <c r="AL15">
        <v>2617</v>
      </c>
      <c r="AP15">
        <v>125375</v>
      </c>
      <c r="AQ15" s="10">
        <f t="shared" si="0"/>
        <v>227321</v>
      </c>
      <c r="AX15" s="10">
        <v>3.38</v>
      </c>
      <c r="AZ15" s="10">
        <v>70</v>
      </c>
      <c r="BA15" s="10">
        <v>6.907</v>
      </c>
      <c r="BB15">
        <v>2.04</v>
      </c>
      <c r="BD15">
        <v>110.245</v>
      </c>
      <c r="BE15">
        <v>6.0129999999999999</v>
      </c>
      <c r="BF15" s="10">
        <v>3.18</v>
      </c>
      <c r="BH15" s="10">
        <v>100</v>
      </c>
      <c r="BI15" s="10">
        <v>4.9029999999999996</v>
      </c>
      <c r="BJ15">
        <v>3.32</v>
      </c>
      <c r="BL15">
        <v>136</v>
      </c>
      <c r="BM15">
        <v>303</v>
      </c>
      <c r="BN15">
        <v>5.657</v>
      </c>
      <c r="BO15" s="10">
        <v>19.071999999999999</v>
      </c>
      <c r="BP15">
        <v>48134</v>
      </c>
      <c r="CB15">
        <v>7</v>
      </c>
      <c r="CC15">
        <v>16812</v>
      </c>
      <c r="CD15">
        <v>2960</v>
      </c>
      <c r="CE15">
        <v>3198.5</v>
      </c>
      <c r="CF15">
        <v>2776.5</v>
      </c>
      <c r="CG15">
        <v>2940</v>
      </c>
      <c r="CH15">
        <v>6232</v>
      </c>
      <c r="CI15">
        <v>15147</v>
      </c>
      <c r="CK15">
        <v>0</v>
      </c>
      <c r="CL15">
        <v>22000</v>
      </c>
      <c r="CM15">
        <v>0</v>
      </c>
      <c r="CN15">
        <v>28000</v>
      </c>
      <c r="CO15">
        <v>0</v>
      </c>
      <c r="CP15">
        <v>21000</v>
      </c>
      <c r="CQ15">
        <v>0</v>
      </c>
      <c r="CR15">
        <v>73000</v>
      </c>
      <c r="CS15" s="5">
        <v>0</v>
      </c>
      <c r="CU15" s="5">
        <v>0</v>
      </c>
      <c r="CW15" s="5">
        <v>0</v>
      </c>
      <c r="CY15">
        <v>36.299999999999997</v>
      </c>
      <c r="CZ15">
        <v>37.4</v>
      </c>
      <c r="DA15">
        <v>19.8</v>
      </c>
      <c r="DB15">
        <v>8667</v>
      </c>
      <c r="DC15">
        <v>66.311000000000007</v>
      </c>
      <c r="DD15">
        <v>38.658999999999999</v>
      </c>
      <c r="DE15">
        <v>0.01</v>
      </c>
      <c r="DF15">
        <v>8640.75</v>
      </c>
      <c r="DH15">
        <v>148</v>
      </c>
      <c r="DI15">
        <v>0</v>
      </c>
      <c r="DJ15">
        <v>22.3</v>
      </c>
      <c r="DK15">
        <v>39</v>
      </c>
      <c r="DN15" s="23"/>
      <c r="DO15">
        <v>0</v>
      </c>
      <c r="DP15" t="s">
        <v>286</v>
      </c>
    </row>
    <row r="16" spans="1:128" x14ac:dyDescent="0.3">
      <c r="A16" s="2">
        <v>41555</v>
      </c>
      <c r="B16" s="21">
        <f t="shared" si="1"/>
        <v>7</v>
      </c>
      <c r="C16" s="36"/>
      <c r="D16" s="71">
        <v>0</v>
      </c>
      <c r="E16" s="74">
        <v>227933</v>
      </c>
      <c r="F16" s="10">
        <v>178500</v>
      </c>
      <c r="G16" s="10">
        <f t="shared" si="3"/>
        <v>49433</v>
      </c>
      <c r="U16" s="74">
        <v>4487.2</v>
      </c>
      <c r="AI16" s="80">
        <v>0.51100000000000001</v>
      </c>
      <c r="AJ16" s="10">
        <v>0.39333333333333337</v>
      </c>
      <c r="AK16" s="10">
        <v>1.0970833333333336</v>
      </c>
      <c r="AL16">
        <v>2363</v>
      </c>
      <c r="AP16">
        <v>102367</v>
      </c>
      <c r="AQ16" s="10">
        <f t="shared" si="0"/>
        <v>230057.2</v>
      </c>
      <c r="AX16" s="10">
        <v>3.476</v>
      </c>
      <c r="AZ16" s="10">
        <v>90.316999999999993</v>
      </c>
      <c r="BA16" s="10">
        <v>7.8659999999999997</v>
      </c>
      <c r="BB16">
        <v>2.0150000000000001</v>
      </c>
      <c r="BD16">
        <v>104.605</v>
      </c>
      <c r="BE16">
        <v>5.6289999999999996</v>
      </c>
      <c r="BF16" s="10">
        <v>2.976</v>
      </c>
      <c r="BH16" s="10">
        <v>91</v>
      </c>
      <c r="BI16" s="10">
        <v>5.1760000000000002</v>
      </c>
      <c r="BJ16">
        <v>3.278</v>
      </c>
      <c r="BM16">
        <v>324</v>
      </c>
      <c r="BN16">
        <v>5.64</v>
      </c>
      <c r="BO16" s="10">
        <v>19.071000000000002</v>
      </c>
      <c r="BP16">
        <v>49433</v>
      </c>
      <c r="CB16">
        <v>7</v>
      </c>
      <c r="CC16">
        <v>17410</v>
      </c>
      <c r="CD16">
        <v>3005</v>
      </c>
      <c r="CE16">
        <v>2427.5</v>
      </c>
      <c r="CF16">
        <v>3395.5</v>
      </c>
      <c r="CG16">
        <v>3386</v>
      </c>
      <c r="CH16">
        <v>6810</v>
      </c>
      <c r="CI16">
        <v>16019</v>
      </c>
      <c r="CK16">
        <v>143.30000000000001</v>
      </c>
      <c r="CL16">
        <v>22000</v>
      </c>
      <c r="CM16">
        <v>0</v>
      </c>
      <c r="CN16">
        <v>28000</v>
      </c>
      <c r="CO16">
        <v>0</v>
      </c>
      <c r="CP16">
        <v>21000</v>
      </c>
      <c r="CQ16">
        <v>0</v>
      </c>
      <c r="CR16">
        <v>73000</v>
      </c>
      <c r="CS16" s="5">
        <v>0</v>
      </c>
      <c r="CU16" s="5">
        <v>0</v>
      </c>
      <c r="CW16" s="5">
        <v>0</v>
      </c>
      <c r="CY16">
        <v>37</v>
      </c>
      <c r="CZ16">
        <v>32.4</v>
      </c>
      <c r="DA16">
        <v>17.5</v>
      </c>
      <c r="DB16">
        <v>8604</v>
      </c>
      <c r="DC16">
        <v>67.03</v>
      </c>
      <c r="DD16">
        <v>38.085000000000001</v>
      </c>
      <c r="DE16">
        <v>8.9999999999999993E-3</v>
      </c>
      <c r="DF16">
        <v>8490.75</v>
      </c>
      <c r="DH16">
        <v>247.8</v>
      </c>
      <c r="DI16">
        <v>107240</v>
      </c>
      <c r="DJ16">
        <v>22.3</v>
      </c>
      <c r="DK16">
        <v>39</v>
      </c>
      <c r="DN16" s="23"/>
      <c r="DO16">
        <v>0</v>
      </c>
      <c r="DP16" t="s">
        <v>286</v>
      </c>
    </row>
    <row r="17" spans="1:120" x14ac:dyDescent="0.3">
      <c r="A17" s="2">
        <v>41556</v>
      </c>
      <c r="B17" s="21">
        <f t="shared" si="1"/>
        <v>8</v>
      </c>
      <c r="C17" s="36"/>
      <c r="D17" s="71">
        <v>0.06</v>
      </c>
      <c r="E17" s="74">
        <v>220000</v>
      </c>
      <c r="F17" s="10">
        <v>172900</v>
      </c>
      <c r="G17" s="10">
        <f t="shared" si="3"/>
        <v>47100</v>
      </c>
      <c r="U17" s="74">
        <v>3965.8</v>
      </c>
      <c r="AI17" s="80">
        <v>0.23100000000000001</v>
      </c>
      <c r="AJ17" s="10">
        <v>0.25416666666666671</v>
      </c>
      <c r="AK17" s="10">
        <v>1.0154166666666669</v>
      </c>
      <c r="AL17">
        <v>2344</v>
      </c>
      <c r="AN17" s="80">
        <v>9287</v>
      </c>
      <c r="AP17">
        <v>102000</v>
      </c>
      <c r="AQ17" s="10">
        <f t="shared" si="0"/>
        <v>221621.8</v>
      </c>
      <c r="AX17" s="10">
        <v>3.2839999999999998</v>
      </c>
      <c r="AZ17" s="10">
        <v>91.233000000000004</v>
      </c>
      <c r="BA17" s="10">
        <v>6.28</v>
      </c>
      <c r="BB17">
        <v>2.1389999999999998</v>
      </c>
      <c r="BD17">
        <v>103.5</v>
      </c>
      <c r="BE17">
        <v>6.0590000000000002</v>
      </c>
      <c r="BF17" s="10">
        <v>3.004</v>
      </c>
      <c r="BH17" s="10">
        <v>90</v>
      </c>
      <c r="BI17" s="10">
        <v>5.1790000000000003</v>
      </c>
      <c r="BJ17">
        <v>3.3260000000000001</v>
      </c>
      <c r="BM17">
        <v>324</v>
      </c>
      <c r="BN17">
        <v>5.617</v>
      </c>
      <c r="BO17" s="10">
        <v>19.216000000000001</v>
      </c>
      <c r="BP17">
        <v>47100</v>
      </c>
      <c r="CB17">
        <v>8</v>
      </c>
      <c r="CC17">
        <v>16459</v>
      </c>
      <c r="CD17">
        <v>2901</v>
      </c>
      <c r="CE17">
        <v>2256</v>
      </c>
      <c r="CF17">
        <v>3108</v>
      </c>
      <c r="CG17">
        <v>3168</v>
      </c>
      <c r="CH17">
        <v>6282</v>
      </c>
      <c r="CI17">
        <v>14814</v>
      </c>
      <c r="CK17">
        <v>0</v>
      </c>
      <c r="CL17">
        <v>22000</v>
      </c>
      <c r="CM17">
        <v>0</v>
      </c>
      <c r="CN17">
        <v>28000</v>
      </c>
      <c r="CO17">
        <v>0</v>
      </c>
      <c r="CP17">
        <v>21000</v>
      </c>
      <c r="CQ17">
        <v>35</v>
      </c>
      <c r="CR17">
        <v>73000</v>
      </c>
      <c r="CS17" s="5">
        <v>0</v>
      </c>
      <c r="CU17" s="5">
        <v>0</v>
      </c>
      <c r="CW17" s="5">
        <v>0</v>
      </c>
      <c r="CY17">
        <v>40.700000000000003</v>
      </c>
      <c r="CZ17">
        <v>32.4</v>
      </c>
      <c r="DA17">
        <v>21</v>
      </c>
      <c r="DB17">
        <v>8254</v>
      </c>
      <c r="DC17">
        <v>67.015000000000001</v>
      </c>
      <c r="DD17">
        <v>37.834000000000003</v>
      </c>
      <c r="DE17">
        <v>8.9999999999999993E-3</v>
      </c>
      <c r="DF17">
        <v>8125.5</v>
      </c>
      <c r="DH17">
        <v>144.9</v>
      </c>
      <c r="DI17">
        <v>70620</v>
      </c>
      <c r="DJ17">
        <v>22</v>
      </c>
      <c r="DK17">
        <v>39</v>
      </c>
      <c r="DN17" s="23"/>
      <c r="DO17">
        <v>0</v>
      </c>
      <c r="DP17" t="s">
        <v>286</v>
      </c>
    </row>
    <row r="18" spans="1:120" x14ac:dyDescent="0.3">
      <c r="A18" s="2">
        <v>41557</v>
      </c>
      <c r="B18" s="21">
        <f t="shared" si="1"/>
        <v>9</v>
      </c>
      <c r="C18" s="36"/>
      <c r="D18" s="71">
        <v>7.53</v>
      </c>
      <c r="E18" s="74">
        <v>237500</v>
      </c>
      <c r="F18" s="10">
        <v>152000</v>
      </c>
      <c r="G18" s="10">
        <f t="shared" si="3"/>
        <v>85500</v>
      </c>
      <c r="N18">
        <v>7223</v>
      </c>
      <c r="U18" s="74">
        <v>3540.8249999999998</v>
      </c>
      <c r="AF18" s="80">
        <v>3076</v>
      </c>
      <c r="AG18" s="80">
        <v>23.6</v>
      </c>
      <c r="AH18" s="80">
        <v>91</v>
      </c>
      <c r="AI18" s="80">
        <v>0.34</v>
      </c>
      <c r="AJ18" s="10">
        <v>0.48958333333333326</v>
      </c>
      <c r="AK18" s="10">
        <v>1.0141666666666669</v>
      </c>
      <c r="AL18">
        <v>2158</v>
      </c>
      <c r="AP18">
        <v>119933</v>
      </c>
      <c r="AQ18" s="10">
        <f t="shared" si="0"/>
        <v>238882.82500000001</v>
      </c>
      <c r="AX18" s="10">
        <v>3.39</v>
      </c>
      <c r="AZ18" s="10">
        <v>90.233000000000004</v>
      </c>
      <c r="BA18" s="10">
        <v>5.9029999999999996</v>
      </c>
      <c r="BB18">
        <v>2.17</v>
      </c>
      <c r="BD18">
        <v>66</v>
      </c>
      <c r="BE18">
        <v>6.468</v>
      </c>
      <c r="BF18" s="10">
        <v>2.46</v>
      </c>
      <c r="BH18" s="10">
        <v>100.086</v>
      </c>
      <c r="BI18" s="10">
        <v>5.1630000000000003</v>
      </c>
      <c r="BJ18">
        <v>3.15</v>
      </c>
      <c r="BL18">
        <v>133</v>
      </c>
      <c r="BM18">
        <v>324</v>
      </c>
      <c r="BN18">
        <v>5.6340000000000003</v>
      </c>
      <c r="BO18" s="10">
        <v>18.946000000000002</v>
      </c>
      <c r="BP18">
        <v>85500</v>
      </c>
      <c r="CB18">
        <v>13</v>
      </c>
      <c r="CC18">
        <v>19921</v>
      </c>
      <c r="CD18">
        <v>2492</v>
      </c>
      <c r="CE18">
        <v>2721</v>
      </c>
      <c r="CF18">
        <v>3662</v>
      </c>
      <c r="CG18">
        <v>3758</v>
      </c>
      <c r="CH18">
        <v>7536</v>
      </c>
      <c r="CI18">
        <v>17677</v>
      </c>
      <c r="CK18">
        <v>0</v>
      </c>
      <c r="CL18">
        <v>22000</v>
      </c>
      <c r="CM18">
        <v>0</v>
      </c>
      <c r="CN18">
        <v>28000</v>
      </c>
      <c r="CO18">
        <v>0</v>
      </c>
      <c r="CP18">
        <v>21000</v>
      </c>
      <c r="CQ18">
        <v>35</v>
      </c>
      <c r="CR18">
        <v>73000</v>
      </c>
      <c r="CS18" s="5">
        <v>0</v>
      </c>
      <c r="CU18" s="5">
        <v>0</v>
      </c>
      <c r="CW18" s="5">
        <v>0</v>
      </c>
      <c r="CY18">
        <v>11.1</v>
      </c>
      <c r="CZ18">
        <v>28.8</v>
      </c>
      <c r="DA18">
        <v>3.5</v>
      </c>
      <c r="DB18">
        <v>8289</v>
      </c>
      <c r="DC18">
        <v>66.408000000000001</v>
      </c>
      <c r="DD18">
        <v>37.926000000000002</v>
      </c>
      <c r="DE18">
        <v>8.9999999999999993E-3</v>
      </c>
      <c r="DF18">
        <v>8175.5</v>
      </c>
      <c r="DH18">
        <v>92.8</v>
      </c>
      <c r="DI18">
        <v>104080</v>
      </c>
      <c r="DJ18">
        <v>22</v>
      </c>
      <c r="DK18">
        <v>39</v>
      </c>
      <c r="DN18" s="23"/>
      <c r="DO18">
        <v>0</v>
      </c>
      <c r="DP18" t="s">
        <v>286</v>
      </c>
    </row>
    <row r="19" spans="1:120" x14ac:dyDescent="0.3">
      <c r="A19" s="2">
        <v>41558</v>
      </c>
      <c r="B19" s="21">
        <f t="shared" si="1"/>
        <v>10</v>
      </c>
      <c r="C19" s="36"/>
      <c r="D19" s="71">
        <v>0.23</v>
      </c>
      <c r="E19" s="74">
        <v>233075</v>
      </c>
      <c r="F19" s="10">
        <v>155300</v>
      </c>
      <c r="G19" s="10">
        <f t="shared" si="3"/>
        <v>77775</v>
      </c>
      <c r="H19" s="80">
        <v>348</v>
      </c>
      <c r="J19" s="80">
        <v>34.4</v>
      </c>
      <c r="K19" s="80">
        <v>5.4</v>
      </c>
      <c r="M19" s="10">
        <v>261696</v>
      </c>
      <c r="P19" s="80">
        <v>140</v>
      </c>
      <c r="R19" s="80">
        <v>13</v>
      </c>
      <c r="S19" s="80">
        <v>2.9</v>
      </c>
      <c r="U19" s="74">
        <v>3646.9250000000002</v>
      </c>
      <c r="AI19" s="80">
        <v>0.432</v>
      </c>
      <c r="AJ19" s="10">
        <v>0.46652173913043488</v>
      </c>
      <c r="AK19" s="10">
        <v>1.1065217391304349</v>
      </c>
      <c r="AL19">
        <v>2070</v>
      </c>
      <c r="AP19">
        <v>98267</v>
      </c>
      <c r="AQ19" s="10">
        <f t="shared" si="0"/>
        <v>234651.92499999999</v>
      </c>
      <c r="AR19" s="80">
        <v>93</v>
      </c>
      <c r="AT19" s="80">
        <v>12</v>
      </c>
      <c r="AU19" s="80">
        <v>1.58</v>
      </c>
      <c r="AV19" s="80">
        <v>39</v>
      </c>
      <c r="AX19" s="10">
        <v>3.36</v>
      </c>
      <c r="AZ19" s="10">
        <v>101.217</v>
      </c>
      <c r="BA19" s="10">
        <v>6.1580000000000004</v>
      </c>
      <c r="BB19">
        <v>2.2530000000000001</v>
      </c>
      <c r="BD19">
        <v>26</v>
      </c>
      <c r="BE19">
        <v>6.7720000000000002</v>
      </c>
      <c r="BF19" s="10">
        <v>2.8039999999999998</v>
      </c>
      <c r="BH19" s="10">
        <v>99.914000000000001</v>
      </c>
      <c r="BI19" s="10">
        <v>5.1559999999999997</v>
      </c>
      <c r="BJ19">
        <v>3.2090000000000001</v>
      </c>
      <c r="BM19">
        <v>353</v>
      </c>
      <c r="BN19">
        <v>5.6109999999999998</v>
      </c>
      <c r="BO19" s="10">
        <v>17.640999999999998</v>
      </c>
      <c r="BP19">
        <v>77775</v>
      </c>
      <c r="BR19">
        <v>36</v>
      </c>
      <c r="BS19">
        <v>3</v>
      </c>
      <c r="BT19">
        <v>2.2999999999999998</v>
      </c>
      <c r="BU19">
        <v>0.21</v>
      </c>
      <c r="BV19">
        <v>4.5999999999999999E-2</v>
      </c>
      <c r="BW19">
        <v>6.4</v>
      </c>
      <c r="BX19">
        <v>1.4</v>
      </c>
      <c r="BY19">
        <v>1.65</v>
      </c>
      <c r="BZ19">
        <v>6</v>
      </c>
      <c r="CA19">
        <v>0.57999999999999996</v>
      </c>
      <c r="CB19">
        <v>11</v>
      </c>
      <c r="CC19">
        <v>15751</v>
      </c>
      <c r="CD19">
        <v>2824</v>
      </c>
      <c r="CE19">
        <v>2198</v>
      </c>
      <c r="CF19">
        <v>2962</v>
      </c>
      <c r="CG19">
        <v>2994</v>
      </c>
      <c r="CH19">
        <v>5681</v>
      </c>
      <c r="CI19">
        <v>13835</v>
      </c>
      <c r="CK19">
        <v>0</v>
      </c>
      <c r="CL19">
        <v>22000</v>
      </c>
      <c r="CM19">
        <v>0</v>
      </c>
      <c r="CN19">
        <v>28000</v>
      </c>
      <c r="CO19">
        <v>0</v>
      </c>
      <c r="CP19">
        <v>21000</v>
      </c>
      <c r="CQ19">
        <v>36</v>
      </c>
      <c r="CR19">
        <v>73000</v>
      </c>
      <c r="CS19" s="5">
        <v>0</v>
      </c>
      <c r="CU19" s="5">
        <v>0</v>
      </c>
      <c r="CW19" s="5">
        <v>0</v>
      </c>
      <c r="CY19">
        <v>33.299999999999997</v>
      </c>
      <c r="CZ19">
        <v>30.4</v>
      </c>
      <c r="DA19">
        <v>19</v>
      </c>
      <c r="DB19">
        <v>8435</v>
      </c>
      <c r="DC19">
        <v>66.111000000000004</v>
      </c>
      <c r="DD19">
        <v>37.999000000000002</v>
      </c>
      <c r="DE19">
        <v>7.0000000000000001E-3</v>
      </c>
      <c r="DF19">
        <v>8300.75</v>
      </c>
      <c r="DH19">
        <v>130.19999999999999</v>
      </c>
      <c r="DI19">
        <v>71380</v>
      </c>
      <c r="DJ19">
        <v>22</v>
      </c>
      <c r="DK19">
        <v>39</v>
      </c>
      <c r="DN19" s="23"/>
      <c r="DO19">
        <v>0</v>
      </c>
      <c r="DP19" t="s">
        <v>286</v>
      </c>
    </row>
    <row r="20" spans="1:120" x14ac:dyDescent="0.3">
      <c r="A20" s="2">
        <v>41559</v>
      </c>
      <c r="B20" s="21">
        <f t="shared" si="1"/>
        <v>11</v>
      </c>
      <c r="C20" s="36"/>
      <c r="D20" s="71">
        <v>10.17</v>
      </c>
      <c r="E20" s="74">
        <v>238225</v>
      </c>
      <c r="F20" s="10">
        <v>94000</v>
      </c>
      <c r="G20" s="10">
        <f t="shared" si="3"/>
        <v>144225</v>
      </c>
      <c r="U20" s="74">
        <v>3896.4</v>
      </c>
      <c r="AI20" s="80">
        <v>0.20399999999999999</v>
      </c>
      <c r="AJ20" s="10">
        <v>0.41083333333333338</v>
      </c>
      <c r="AK20" s="10">
        <v>1.2016666666666669</v>
      </c>
      <c r="AL20">
        <v>2205</v>
      </c>
      <c r="AP20">
        <v>142033</v>
      </c>
      <c r="AQ20" s="10">
        <f t="shared" si="0"/>
        <v>239916.4</v>
      </c>
      <c r="AX20" s="10">
        <v>3.2839999999999998</v>
      </c>
      <c r="AZ20" s="10">
        <v>101</v>
      </c>
      <c r="BA20" s="10">
        <v>5.8380000000000001</v>
      </c>
      <c r="BB20">
        <v>2.3250000000000002</v>
      </c>
      <c r="BD20">
        <v>11</v>
      </c>
      <c r="BE20">
        <v>7.2569999999999997</v>
      </c>
      <c r="BF20" s="10">
        <v>2.8940000000000001</v>
      </c>
      <c r="BH20" s="10">
        <v>100.241</v>
      </c>
      <c r="BI20" s="10">
        <v>5.1710000000000003</v>
      </c>
      <c r="BJ20">
        <v>3.2269999999999999</v>
      </c>
      <c r="BM20">
        <v>353</v>
      </c>
      <c r="BN20">
        <v>5.5860000000000003</v>
      </c>
      <c r="BO20" s="10">
        <v>17.231999999999999</v>
      </c>
      <c r="BP20">
        <v>144225</v>
      </c>
      <c r="CB20">
        <v>17</v>
      </c>
      <c r="CC20">
        <v>19515</v>
      </c>
      <c r="CD20">
        <v>1729</v>
      </c>
      <c r="CE20">
        <v>2576.5</v>
      </c>
      <c r="CF20">
        <v>4066</v>
      </c>
      <c r="CG20">
        <v>4148</v>
      </c>
      <c r="CH20">
        <v>8115</v>
      </c>
      <c r="CI20">
        <v>18906</v>
      </c>
      <c r="CK20">
        <v>0</v>
      </c>
      <c r="CL20">
        <v>22000</v>
      </c>
      <c r="CM20">
        <v>0</v>
      </c>
      <c r="CN20">
        <v>28000</v>
      </c>
      <c r="CO20">
        <v>0</v>
      </c>
      <c r="CP20">
        <v>21000</v>
      </c>
      <c r="CQ20">
        <v>35</v>
      </c>
      <c r="CR20">
        <v>73000</v>
      </c>
      <c r="CS20" s="5">
        <v>0</v>
      </c>
      <c r="CU20" s="5">
        <v>0</v>
      </c>
      <c r="CW20" s="5">
        <v>0</v>
      </c>
      <c r="CY20">
        <v>40.700000000000003</v>
      </c>
      <c r="CZ20">
        <v>34.200000000000003</v>
      </c>
      <c r="DA20">
        <v>15.2</v>
      </c>
      <c r="DB20">
        <v>9508</v>
      </c>
      <c r="DC20">
        <v>66.114999999999995</v>
      </c>
      <c r="DD20">
        <v>38.338999999999999</v>
      </c>
      <c r="DE20">
        <v>5.0000000000000001E-3</v>
      </c>
      <c r="DF20">
        <v>8927.5</v>
      </c>
      <c r="DH20">
        <v>146.69999999999999</v>
      </c>
      <c r="DI20">
        <v>64920</v>
      </c>
      <c r="DJ20">
        <v>22</v>
      </c>
      <c r="DK20">
        <v>39</v>
      </c>
      <c r="DN20" s="23"/>
      <c r="DO20">
        <v>0</v>
      </c>
      <c r="DP20" t="s">
        <v>286</v>
      </c>
    </row>
    <row r="21" spans="1:120" x14ac:dyDescent="0.3">
      <c r="A21" s="2">
        <v>41560</v>
      </c>
      <c r="B21" s="21">
        <f t="shared" si="1"/>
        <v>12</v>
      </c>
      <c r="C21" s="36"/>
      <c r="D21" s="71">
        <v>41.16</v>
      </c>
      <c r="E21" s="74">
        <v>237600</v>
      </c>
      <c r="F21" s="10">
        <v>110600</v>
      </c>
      <c r="G21" s="10">
        <f t="shared" si="3"/>
        <v>127000</v>
      </c>
      <c r="U21" s="74">
        <v>3914.25</v>
      </c>
      <c r="AI21" s="80">
        <v>0.48499999999999999</v>
      </c>
      <c r="AJ21" s="10">
        <v>0.49041666666666656</v>
      </c>
      <c r="AK21" s="10">
        <v>1.2366666666666666</v>
      </c>
      <c r="AL21">
        <v>2387</v>
      </c>
      <c r="AP21">
        <v>101633</v>
      </c>
      <c r="AQ21" s="10">
        <f t="shared" si="0"/>
        <v>239127.25</v>
      </c>
      <c r="AX21" s="10">
        <v>3.2410000000000001</v>
      </c>
      <c r="AZ21" s="10">
        <v>79</v>
      </c>
      <c r="BA21" s="10">
        <v>5.88</v>
      </c>
      <c r="BB21">
        <v>2.415</v>
      </c>
      <c r="BD21">
        <v>0</v>
      </c>
      <c r="BE21">
        <v>7.5780000000000003</v>
      </c>
      <c r="BF21" s="10">
        <v>2.8610000000000002</v>
      </c>
      <c r="BH21" s="10">
        <v>100.25</v>
      </c>
      <c r="BI21" s="10">
        <v>5.375</v>
      </c>
      <c r="BJ21">
        <v>3.2309999999999999</v>
      </c>
      <c r="BM21">
        <v>353</v>
      </c>
      <c r="BN21">
        <v>5.7510000000000003</v>
      </c>
      <c r="BO21" s="10">
        <v>16.277999999999999</v>
      </c>
      <c r="BP21">
        <v>127000</v>
      </c>
      <c r="CB21">
        <v>12</v>
      </c>
      <c r="CC21">
        <v>22175</v>
      </c>
      <c r="CD21">
        <v>2263</v>
      </c>
      <c r="CE21">
        <v>2342.5</v>
      </c>
      <c r="CF21">
        <v>3174</v>
      </c>
      <c r="CG21">
        <v>3146</v>
      </c>
      <c r="CH21">
        <v>5996</v>
      </c>
      <c r="CI21">
        <v>14659</v>
      </c>
      <c r="CK21">
        <v>0</v>
      </c>
      <c r="CL21">
        <v>22000</v>
      </c>
      <c r="CM21">
        <v>0</v>
      </c>
      <c r="CN21">
        <v>28000</v>
      </c>
      <c r="CO21">
        <v>0</v>
      </c>
      <c r="CP21">
        <v>21000</v>
      </c>
      <c r="CQ21">
        <v>0</v>
      </c>
      <c r="CR21">
        <v>73000</v>
      </c>
      <c r="CS21" s="5">
        <v>0</v>
      </c>
      <c r="CU21" s="5">
        <v>0</v>
      </c>
      <c r="CW21" s="5">
        <v>0</v>
      </c>
      <c r="CY21">
        <v>44.4</v>
      </c>
      <c r="CZ21">
        <v>30.4</v>
      </c>
      <c r="DA21">
        <v>19</v>
      </c>
      <c r="DB21">
        <v>9147</v>
      </c>
      <c r="DC21">
        <v>65.409000000000006</v>
      </c>
      <c r="DD21">
        <v>39.018000000000001</v>
      </c>
      <c r="DE21">
        <v>7.0000000000000001E-3</v>
      </c>
      <c r="DF21">
        <v>5676.75</v>
      </c>
      <c r="DH21">
        <v>127.2</v>
      </c>
      <c r="DI21">
        <v>69820</v>
      </c>
      <c r="DJ21">
        <v>22</v>
      </c>
      <c r="DK21">
        <v>39</v>
      </c>
      <c r="DN21" s="23"/>
      <c r="DO21">
        <v>0</v>
      </c>
      <c r="DP21" t="s">
        <v>286</v>
      </c>
    </row>
    <row r="22" spans="1:120" x14ac:dyDescent="0.3">
      <c r="A22" s="2">
        <v>41561</v>
      </c>
      <c r="B22" s="21">
        <f t="shared" si="1"/>
        <v>13</v>
      </c>
      <c r="C22" s="36"/>
      <c r="D22" s="71">
        <v>21.89</v>
      </c>
      <c r="E22" s="74">
        <v>282900</v>
      </c>
      <c r="F22" s="10">
        <v>1800</v>
      </c>
      <c r="G22" s="10">
        <f t="shared" si="3"/>
        <v>281100</v>
      </c>
      <c r="U22" s="74">
        <v>3011.9</v>
      </c>
      <c r="AF22" s="80">
        <v>2158</v>
      </c>
      <c r="AG22" s="80">
        <v>28.3</v>
      </c>
      <c r="AH22" s="80">
        <v>74</v>
      </c>
      <c r="AI22" s="80">
        <v>1.2909999999999999</v>
      </c>
      <c r="AJ22" s="10">
        <v>4.0712500000000009</v>
      </c>
      <c r="AK22" s="10">
        <v>4.9908333333333328</v>
      </c>
      <c r="AL22">
        <v>1939</v>
      </c>
      <c r="AP22">
        <v>62767</v>
      </c>
      <c r="AQ22" s="10">
        <f t="shared" si="0"/>
        <v>283972.90000000002</v>
      </c>
      <c r="AX22" s="10">
        <v>2.27</v>
      </c>
      <c r="AZ22" s="10">
        <v>0</v>
      </c>
      <c r="BA22" s="10">
        <v>6.4710000000000001</v>
      </c>
      <c r="BB22">
        <v>2.61</v>
      </c>
      <c r="BD22">
        <v>0</v>
      </c>
      <c r="BE22">
        <v>7.4809999999999999</v>
      </c>
      <c r="BF22" s="10">
        <v>3.74</v>
      </c>
      <c r="BH22" s="10">
        <v>101.215</v>
      </c>
      <c r="BI22" s="10">
        <v>5.0339999999999998</v>
      </c>
      <c r="BJ22">
        <v>2.85</v>
      </c>
      <c r="BL22">
        <v>132</v>
      </c>
      <c r="BM22">
        <v>353</v>
      </c>
      <c r="BN22">
        <v>5.3550000000000004</v>
      </c>
      <c r="BO22" s="10">
        <v>13.034000000000001</v>
      </c>
      <c r="BP22">
        <v>281100</v>
      </c>
      <c r="CB22">
        <v>17</v>
      </c>
      <c r="CC22">
        <v>18867</v>
      </c>
      <c r="CD22">
        <v>2102</v>
      </c>
      <c r="CE22">
        <v>1936</v>
      </c>
      <c r="CF22">
        <v>2124</v>
      </c>
      <c r="CG22">
        <v>2045</v>
      </c>
      <c r="CH22">
        <v>3509</v>
      </c>
      <c r="CI22">
        <v>9614</v>
      </c>
      <c r="CK22">
        <v>0</v>
      </c>
      <c r="CL22">
        <v>22000</v>
      </c>
      <c r="CM22">
        <v>0</v>
      </c>
      <c r="CN22">
        <v>28000</v>
      </c>
      <c r="CO22">
        <v>0</v>
      </c>
      <c r="CP22">
        <v>21000</v>
      </c>
      <c r="CQ22">
        <v>0</v>
      </c>
      <c r="CR22">
        <v>73000</v>
      </c>
      <c r="CS22" s="5">
        <v>0</v>
      </c>
      <c r="CU22" s="5">
        <v>0</v>
      </c>
      <c r="CW22" s="5">
        <v>0</v>
      </c>
      <c r="CY22">
        <v>44.4</v>
      </c>
      <c r="CZ22">
        <v>19</v>
      </c>
      <c r="DA22">
        <v>15.2</v>
      </c>
      <c r="DB22">
        <v>7981</v>
      </c>
      <c r="DC22">
        <v>64.415999999999997</v>
      </c>
      <c r="DD22">
        <v>39.383000000000003</v>
      </c>
      <c r="DE22">
        <v>4.0000000000000001E-3</v>
      </c>
      <c r="DF22">
        <v>5047.25</v>
      </c>
      <c r="DH22">
        <v>76.2</v>
      </c>
      <c r="DI22">
        <v>0</v>
      </c>
      <c r="DJ22">
        <v>22</v>
      </c>
      <c r="DK22">
        <v>39</v>
      </c>
      <c r="DN22" s="23"/>
      <c r="DO22">
        <v>0</v>
      </c>
      <c r="DP22" t="s">
        <v>286</v>
      </c>
    </row>
    <row r="23" spans="1:120" x14ac:dyDescent="0.3">
      <c r="A23" s="2">
        <v>41562</v>
      </c>
      <c r="B23" s="21">
        <f t="shared" si="1"/>
        <v>14</v>
      </c>
      <c r="C23" s="36" t="s">
        <v>131</v>
      </c>
      <c r="D23" s="71">
        <v>6.79</v>
      </c>
      <c r="E23" s="74">
        <v>239650</v>
      </c>
      <c r="F23" s="10">
        <v>50250</v>
      </c>
      <c r="G23" s="10">
        <f t="shared" si="3"/>
        <v>189400</v>
      </c>
      <c r="U23" s="74">
        <v>3634.44</v>
      </c>
      <c r="AI23" s="80">
        <v>0.77700000000000002</v>
      </c>
      <c r="AJ23" s="10">
        <v>0.70333333333333325</v>
      </c>
      <c r="AK23" s="10">
        <v>1.8741666666666663</v>
      </c>
      <c r="AL23">
        <v>1853</v>
      </c>
      <c r="AP23">
        <v>85533</v>
      </c>
      <c r="AQ23" s="10">
        <f t="shared" si="0"/>
        <v>241431.44</v>
      </c>
      <c r="AX23" s="10">
        <v>2.633</v>
      </c>
      <c r="AZ23" s="10">
        <v>0</v>
      </c>
      <c r="BA23" s="10">
        <v>6.67</v>
      </c>
      <c r="BB23">
        <v>2.6360000000000001</v>
      </c>
      <c r="BD23">
        <v>0</v>
      </c>
      <c r="BE23">
        <v>7.9379999999999997</v>
      </c>
      <c r="BF23" s="10">
        <v>3.468</v>
      </c>
      <c r="BH23" s="10">
        <v>90.242999999999995</v>
      </c>
      <c r="BI23" s="10">
        <v>5.1360000000000001</v>
      </c>
      <c r="BJ23">
        <v>3.4079999999999999</v>
      </c>
      <c r="BM23">
        <v>343</v>
      </c>
      <c r="BN23">
        <v>5.7889999999999997</v>
      </c>
      <c r="BO23" s="10">
        <v>14.105</v>
      </c>
      <c r="BP23">
        <v>189400</v>
      </c>
      <c r="CB23">
        <v>15</v>
      </c>
      <c r="CC23">
        <v>25303</v>
      </c>
      <c r="CD23">
        <v>2522</v>
      </c>
      <c r="CE23">
        <v>3944</v>
      </c>
      <c r="CF23">
        <v>3874</v>
      </c>
      <c r="CG23">
        <v>3141</v>
      </c>
      <c r="CH23">
        <v>5508</v>
      </c>
      <c r="CI23">
        <v>16467</v>
      </c>
      <c r="CK23">
        <v>0</v>
      </c>
      <c r="CL23">
        <v>22000</v>
      </c>
      <c r="CM23">
        <v>179.23</v>
      </c>
      <c r="CN23">
        <v>28000</v>
      </c>
      <c r="CO23">
        <v>0</v>
      </c>
      <c r="CP23">
        <v>21000</v>
      </c>
      <c r="CQ23">
        <v>35</v>
      </c>
      <c r="CR23">
        <v>73000</v>
      </c>
      <c r="CS23" s="5">
        <v>0</v>
      </c>
      <c r="CU23" s="5">
        <v>0</v>
      </c>
      <c r="CW23" s="5">
        <v>0</v>
      </c>
      <c r="CY23">
        <v>42.9</v>
      </c>
      <c r="CZ23">
        <v>13.5</v>
      </c>
      <c r="DA23">
        <v>11.1</v>
      </c>
      <c r="DB23">
        <v>8400</v>
      </c>
      <c r="DC23">
        <v>65.100999999999999</v>
      </c>
      <c r="DD23">
        <v>38.832999999999998</v>
      </c>
      <c r="DE23">
        <v>7.0000000000000001E-3</v>
      </c>
      <c r="DF23">
        <v>4917.25</v>
      </c>
      <c r="DH23">
        <v>190</v>
      </c>
      <c r="DI23">
        <v>104320</v>
      </c>
      <c r="DJ23">
        <v>22</v>
      </c>
      <c r="DK23">
        <v>39</v>
      </c>
      <c r="DN23" s="23"/>
      <c r="DO23">
        <v>0</v>
      </c>
      <c r="DP23" t="s">
        <v>286</v>
      </c>
    </row>
    <row r="24" spans="1:120" x14ac:dyDescent="0.3">
      <c r="A24" s="2">
        <v>41563</v>
      </c>
      <c r="B24" s="21">
        <f t="shared" si="1"/>
        <v>15</v>
      </c>
      <c r="C24" s="36"/>
      <c r="D24" s="71">
        <v>3.29</v>
      </c>
      <c r="E24" s="74">
        <v>213517</v>
      </c>
      <c r="F24" s="10">
        <v>91350</v>
      </c>
      <c r="G24" s="10">
        <f t="shared" si="3"/>
        <v>122167</v>
      </c>
      <c r="N24">
        <v>5445</v>
      </c>
      <c r="U24" s="74">
        <v>4378.2649999999994</v>
      </c>
      <c r="AI24" s="80">
        <v>1.1499999999999999</v>
      </c>
      <c r="AJ24" s="10">
        <v>0.52541666666666675</v>
      </c>
      <c r="AK24" s="10">
        <v>1.75</v>
      </c>
      <c r="AL24">
        <v>2396</v>
      </c>
      <c r="AN24" s="80">
        <v>8647</v>
      </c>
      <c r="AP24">
        <v>86834</v>
      </c>
      <c r="AQ24" s="10">
        <f t="shared" si="0"/>
        <v>215499.26500000001</v>
      </c>
      <c r="AX24" s="10">
        <v>2.8109999999999999</v>
      </c>
      <c r="AZ24" s="10">
        <v>2</v>
      </c>
      <c r="BA24" s="10">
        <v>7.1769999999999996</v>
      </c>
      <c r="BB24">
        <v>2.8180000000000001</v>
      </c>
      <c r="BD24">
        <v>0</v>
      </c>
      <c r="BE24">
        <v>8.6839999999999993</v>
      </c>
      <c r="BF24" s="10">
        <v>3.694</v>
      </c>
      <c r="BH24" s="10">
        <v>108.55</v>
      </c>
      <c r="BI24" s="10">
        <v>5.6319999999999997</v>
      </c>
      <c r="BJ24">
        <v>3.7719999999999998</v>
      </c>
      <c r="BM24">
        <v>363</v>
      </c>
      <c r="BN24">
        <v>6.2709999999999999</v>
      </c>
      <c r="BO24" s="10">
        <v>15.202</v>
      </c>
      <c r="BP24">
        <v>122167</v>
      </c>
      <c r="CB24">
        <v>9</v>
      </c>
      <c r="CC24">
        <v>22983</v>
      </c>
      <c r="CD24">
        <v>2227</v>
      </c>
      <c r="CE24">
        <v>3338</v>
      </c>
      <c r="CF24">
        <v>3234</v>
      </c>
      <c r="CG24">
        <v>2878</v>
      </c>
      <c r="CH24">
        <v>5603</v>
      </c>
      <c r="CI24">
        <v>15053</v>
      </c>
      <c r="CK24">
        <v>107.45</v>
      </c>
      <c r="CL24">
        <v>22000</v>
      </c>
      <c r="CM24">
        <v>71.959999999999994</v>
      </c>
      <c r="CN24">
        <v>28000</v>
      </c>
      <c r="CO24">
        <v>0</v>
      </c>
      <c r="CP24">
        <v>21000</v>
      </c>
      <c r="CQ24">
        <v>68</v>
      </c>
      <c r="CR24">
        <v>73000</v>
      </c>
      <c r="CS24" s="5">
        <v>0</v>
      </c>
      <c r="CU24" s="5">
        <v>0</v>
      </c>
      <c r="CW24" s="5">
        <v>0</v>
      </c>
      <c r="CY24">
        <v>39</v>
      </c>
      <c r="CZ24">
        <v>21.6</v>
      </c>
      <c r="DA24">
        <v>14.8</v>
      </c>
      <c r="DB24">
        <v>10169</v>
      </c>
      <c r="DC24">
        <v>65.95</v>
      </c>
      <c r="DD24">
        <v>38.088000000000001</v>
      </c>
      <c r="DE24">
        <v>7.0000000000000001E-3</v>
      </c>
      <c r="DF24">
        <v>5056.75</v>
      </c>
      <c r="DH24">
        <v>246</v>
      </c>
      <c r="DI24">
        <v>68800</v>
      </c>
      <c r="DJ24">
        <v>23.1</v>
      </c>
      <c r="DK24">
        <v>39</v>
      </c>
      <c r="DN24" s="23"/>
      <c r="DO24">
        <v>0</v>
      </c>
      <c r="DP24" t="s">
        <v>286</v>
      </c>
    </row>
    <row r="25" spans="1:120" x14ac:dyDescent="0.3">
      <c r="A25" s="2">
        <v>41564</v>
      </c>
      <c r="B25" s="21">
        <f t="shared" si="1"/>
        <v>16</v>
      </c>
      <c r="C25" s="36"/>
      <c r="D25" s="71">
        <v>1.41</v>
      </c>
      <c r="E25" s="74">
        <v>224700</v>
      </c>
      <c r="F25" s="10">
        <v>152600</v>
      </c>
      <c r="G25" s="10">
        <f t="shared" si="3"/>
        <v>72100</v>
      </c>
      <c r="H25" s="80">
        <v>348</v>
      </c>
      <c r="J25" s="80">
        <v>36.5</v>
      </c>
      <c r="K25" s="80">
        <v>5.59</v>
      </c>
      <c r="M25" s="10">
        <v>247435</v>
      </c>
      <c r="P25" s="80">
        <v>130</v>
      </c>
      <c r="R25" s="80">
        <v>13</v>
      </c>
      <c r="S25" s="80">
        <v>2.1</v>
      </c>
      <c r="U25" s="74">
        <v>4313.05</v>
      </c>
      <c r="AF25" s="80">
        <v>2122</v>
      </c>
      <c r="AG25" s="80">
        <v>29.6</v>
      </c>
      <c r="AI25" s="80">
        <v>2.3199999999999998</v>
      </c>
      <c r="AJ25" s="10">
        <v>0.6349999999999999</v>
      </c>
      <c r="AK25" s="10">
        <v>1.9424999999999997</v>
      </c>
      <c r="AL25">
        <v>2044</v>
      </c>
      <c r="AP25">
        <v>77100</v>
      </c>
      <c r="AQ25" s="10">
        <f t="shared" si="0"/>
        <v>226969.05</v>
      </c>
      <c r="AR25" s="80">
        <v>69</v>
      </c>
      <c r="AT25" s="80">
        <v>12</v>
      </c>
      <c r="AU25" s="80">
        <v>1.87</v>
      </c>
      <c r="AV25" s="80">
        <v>32</v>
      </c>
      <c r="AX25" s="10">
        <v>2.88</v>
      </c>
      <c r="AY25" s="10">
        <v>23</v>
      </c>
      <c r="AZ25" s="10">
        <v>0.83699999999999997</v>
      </c>
      <c r="BA25" s="10">
        <v>7.1349999999999998</v>
      </c>
      <c r="BB25">
        <v>3.03</v>
      </c>
      <c r="BC25">
        <v>20</v>
      </c>
      <c r="BD25">
        <v>178.77699999999999</v>
      </c>
      <c r="BE25">
        <v>8.4689999999999994</v>
      </c>
      <c r="BF25" s="10">
        <v>3.92</v>
      </c>
      <c r="BG25" s="10">
        <v>20</v>
      </c>
      <c r="BH25" s="10">
        <v>122.5</v>
      </c>
      <c r="BI25" s="10">
        <v>5.3159999999999998</v>
      </c>
      <c r="BJ25">
        <v>3.77</v>
      </c>
      <c r="BK25">
        <v>23</v>
      </c>
      <c r="BL25">
        <v>127</v>
      </c>
      <c r="BM25">
        <v>384</v>
      </c>
      <c r="BN25">
        <v>5.9980000000000002</v>
      </c>
      <c r="BO25" s="10">
        <v>15.731999999999999</v>
      </c>
      <c r="BP25">
        <v>72100</v>
      </c>
      <c r="BR25">
        <v>27</v>
      </c>
      <c r="BS25">
        <v>5</v>
      </c>
      <c r="BT25">
        <v>1.9</v>
      </c>
      <c r="BU25">
        <v>0.32</v>
      </c>
      <c r="BV25">
        <v>3.2000000000000001E-2</v>
      </c>
      <c r="BW25">
        <v>5.0999999999999996</v>
      </c>
      <c r="BX25">
        <v>0.27</v>
      </c>
      <c r="BY25">
        <v>0.45</v>
      </c>
      <c r="BZ25">
        <v>7</v>
      </c>
      <c r="CA25">
        <v>0.74</v>
      </c>
      <c r="CB25">
        <v>10</v>
      </c>
      <c r="CC25">
        <v>14822</v>
      </c>
      <c r="CD25">
        <v>2368</v>
      </c>
      <c r="CE25">
        <v>3336</v>
      </c>
      <c r="CF25">
        <v>3191.5</v>
      </c>
      <c r="CG25">
        <v>2710</v>
      </c>
      <c r="CH25">
        <v>5594</v>
      </c>
      <c r="CI25">
        <v>14832</v>
      </c>
      <c r="CK25">
        <v>142.66999999999999</v>
      </c>
      <c r="CL25">
        <v>22000</v>
      </c>
      <c r="CM25">
        <v>0</v>
      </c>
      <c r="CN25">
        <v>28000</v>
      </c>
      <c r="CO25">
        <v>0</v>
      </c>
      <c r="CP25">
        <v>21000</v>
      </c>
      <c r="CQ25">
        <v>69</v>
      </c>
      <c r="CR25">
        <v>73000</v>
      </c>
      <c r="CS25" s="5">
        <v>0</v>
      </c>
      <c r="CU25" s="5">
        <v>0</v>
      </c>
      <c r="CW25" s="5">
        <v>0</v>
      </c>
      <c r="CY25">
        <v>35.1</v>
      </c>
      <c r="CZ25">
        <v>16.2</v>
      </c>
      <c r="DA25">
        <v>22.2</v>
      </c>
      <c r="DB25">
        <v>11371</v>
      </c>
      <c r="DC25">
        <v>65.13</v>
      </c>
      <c r="DD25">
        <v>38.935000000000002</v>
      </c>
      <c r="DE25">
        <v>7.0000000000000001E-3</v>
      </c>
      <c r="DF25">
        <v>8877.5</v>
      </c>
      <c r="DH25">
        <v>225.2</v>
      </c>
      <c r="DI25">
        <v>63580</v>
      </c>
      <c r="DJ25">
        <v>23.1</v>
      </c>
      <c r="DK25">
        <v>39</v>
      </c>
      <c r="DL25">
        <v>1</v>
      </c>
      <c r="DM25">
        <v>9980</v>
      </c>
      <c r="DN25" s="23"/>
      <c r="DO25">
        <v>0</v>
      </c>
      <c r="DP25" t="s">
        <v>286</v>
      </c>
    </row>
    <row r="26" spans="1:120" x14ac:dyDescent="0.3">
      <c r="A26" s="2">
        <v>41565</v>
      </c>
      <c r="B26" s="21">
        <f t="shared" si="1"/>
        <v>17</v>
      </c>
      <c r="C26" s="36"/>
      <c r="D26" s="71">
        <v>0.1</v>
      </c>
      <c r="E26" s="74">
        <v>229208</v>
      </c>
      <c r="F26" s="10">
        <v>167500</v>
      </c>
      <c r="G26" s="10">
        <f t="shared" si="3"/>
        <v>61708</v>
      </c>
      <c r="U26" s="74">
        <v>4464.95</v>
      </c>
      <c r="AI26" s="80">
        <v>2.085</v>
      </c>
      <c r="AJ26" s="10">
        <v>0.74374999999999991</v>
      </c>
      <c r="AK26" s="10">
        <v>1.715416666666667</v>
      </c>
      <c r="AL26">
        <v>2273</v>
      </c>
      <c r="AP26">
        <v>79800</v>
      </c>
      <c r="AQ26" s="10">
        <f t="shared" si="0"/>
        <v>231399.95</v>
      </c>
      <c r="AX26" s="10">
        <v>2.8260000000000001</v>
      </c>
      <c r="AZ26" s="10">
        <v>53.162999999999997</v>
      </c>
      <c r="BA26" s="10">
        <v>7.0940000000000003</v>
      </c>
      <c r="BB26">
        <v>2.8159999999999998</v>
      </c>
      <c r="BD26">
        <v>81.722999999999999</v>
      </c>
      <c r="BE26">
        <v>8.4580000000000002</v>
      </c>
      <c r="BF26" s="10">
        <v>3.3580000000000001</v>
      </c>
      <c r="BH26" s="10">
        <v>141</v>
      </c>
      <c r="BI26" s="10">
        <v>5.0730000000000004</v>
      </c>
      <c r="BJ26">
        <v>3.6419999999999999</v>
      </c>
      <c r="BM26">
        <v>384</v>
      </c>
      <c r="BN26">
        <v>6.0380000000000003</v>
      </c>
      <c r="BO26" s="10">
        <v>16.38</v>
      </c>
      <c r="BP26">
        <v>61708</v>
      </c>
      <c r="CB26">
        <v>9</v>
      </c>
      <c r="CC26">
        <v>11460</v>
      </c>
      <c r="CD26">
        <v>2505</v>
      </c>
      <c r="CE26">
        <v>3202</v>
      </c>
      <c r="CF26">
        <v>3065.5</v>
      </c>
      <c r="CG26">
        <v>2616.5</v>
      </c>
      <c r="CH26">
        <v>5184</v>
      </c>
      <c r="CI26">
        <v>14068</v>
      </c>
      <c r="CK26">
        <v>178.44</v>
      </c>
      <c r="CL26">
        <v>22000</v>
      </c>
      <c r="CM26">
        <v>0</v>
      </c>
      <c r="CN26">
        <v>28000</v>
      </c>
      <c r="CO26">
        <v>0</v>
      </c>
      <c r="CP26">
        <v>21000</v>
      </c>
      <c r="CQ26">
        <v>68</v>
      </c>
      <c r="CR26">
        <v>73000</v>
      </c>
      <c r="CS26" s="5">
        <v>0</v>
      </c>
      <c r="CU26" s="5">
        <v>0</v>
      </c>
      <c r="CW26" s="5">
        <v>0</v>
      </c>
      <c r="CY26">
        <v>33.299999999999997</v>
      </c>
      <c r="CZ26">
        <v>34.200000000000003</v>
      </c>
      <c r="DA26">
        <v>17</v>
      </c>
      <c r="DB26">
        <v>10335</v>
      </c>
      <c r="DC26">
        <v>65.340999999999994</v>
      </c>
      <c r="DD26">
        <v>38.878999999999998</v>
      </c>
      <c r="DE26">
        <v>8.0000000000000002E-3</v>
      </c>
      <c r="DF26">
        <v>10060.75</v>
      </c>
      <c r="DH26">
        <v>223.9</v>
      </c>
      <c r="DI26">
        <v>64340</v>
      </c>
      <c r="DJ26">
        <v>23.1</v>
      </c>
      <c r="DK26">
        <v>39</v>
      </c>
      <c r="DN26" s="23"/>
      <c r="DO26">
        <v>0</v>
      </c>
      <c r="DP26" t="s">
        <v>286</v>
      </c>
    </row>
    <row r="27" spans="1:120" x14ac:dyDescent="0.3">
      <c r="A27" s="2">
        <v>41566</v>
      </c>
      <c r="B27" s="21">
        <f t="shared" si="1"/>
        <v>18</v>
      </c>
      <c r="C27" s="36"/>
      <c r="D27" s="71">
        <v>0</v>
      </c>
      <c r="E27" s="74">
        <v>232000</v>
      </c>
      <c r="F27" s="10">
        <v>174200</v>
      </c>
      <c r="G27" s="10">
        <f t="shared" si="3"/>
        <v>57800</v>
      </c>
      <c r="U27" s="74">
        <v>4578.7</v>
      </c>
      <c r="AI27" s="80">
        <v>2.0329999999999999</v>
      </c>
      <c r="AJ27" s="10">
        <v>0.62749999999999995</v>
      </c>
      <c r="AK27" s="10">
        <v>1.6991666666666667</v>
      </c>
      <c r="AL27">
        <v>2167</v>
      </c>
      <c r="AP27">
        <v>81500</v>
      </c>
      <c r="AQ27" s="10">
        <f t="shared" si="0"/>
        <v>234411.7</v>
      </c>
      <c r="AX27" s="10">
        <v>2.806</v>
      </c>
      <c r="AZ27" s="10">
        <v>0</v>
      </c>
      <c r="BA27" s="10">
        <v>7.1420000000000003</v>
      </c>
      <c r="BB27">
        <v>2.718</v>
      </c>
      <c r="BD27">
        <v>757</v>
      </c>
      <c r="BE27">
        <v>8.0210000000000008</v>
      </c>
      <c r="BF27" s="10">
        <v>3.1419999999999999</v>
      </c>
      <c r="BH27" s="10">
        <v>57</v>
      </c>
      <c r="BI27" s="10">
        <v>4.8419999999999996</v>
      </c>
      <c r="BJ27">
        <v>3.6440000000000001</v>
      </c>
      <c r="BM27">
        <v>196.143</v>
      </c>
      <c r="BN27">
        <v>6.0750000000000002</v>
      </c>
      <c r="BO27" s="10">
        <v>16.866</v>
      </c>
      <c r="BP27">
        <v>57800</v>
      </c>
      <c r="CB27">
        <v>7.5</v>
      </c>
      <c r="CC27">
        <v>12351</v>
      </c>
      <c r="CD27">
        <v>2475</v>
      </c>
      <c r="CE27">
        <v>3338</v>
      </c>
      <c r="CF27">
        <v>3191</v>
      </c>
      <c r="CG27">
        <v>2675.5</v>
      </c>
      <c r="CH27">
        <v>5734</v>
      </c>
      <c r="CI27">
        <v>14939</v>
      </c>
      <c r="CK27">
        <v>71.37</v>
      </c>
      <c r="CL27">
        <v>22000</v>
      </c>
      <c r="CM27">
        <v>0</v>
      </c>
      <c r="CN27">
        <v>28000</v>
      </c>
      <c r="CO27">
        <v>0</v>
      </c>
      <c r="CP27">
        <v>21000</v>
      </c>
      <c r="CQ27">
        <v>70</v>
      </c>
      <c r="CR27">
        <v>73000</v>
      </c>
      <c r="CS27" s="5">
        <v>0</v>
      </c>
      <c r="CU27" s="5">
        <v>0</v>
      </c>
      <c r="CW27" s="5">
        <v>0</v>
      </c>
      <c r="CY27">
        <v>33.299999999999997</v>
      </c>
      <c r="CZ27">
        <v>26.6</v>
      </c>
      <c r="DA27">
        <v>23.8</v>
      </c>
      <c r="DB27">
        <v>10035</v>
      </c>
      <c r="DC27">
        <v>65.921000000000006</v>
      </c>
      <c r="DD27">
        <v>38.465000000000003</v>
      </c>
      <c r="DE27">
        <v>8.0000000000000002E-3</v>
      </c>
      <c r="DF27">
        <v>10010.75</v>
      </c>
      <c r="DH27">
        <v>214.7</v>
      </c>
      <c r="DI27">
        <v>95440</v>
      </c>
      <c r="DJ27">
        <v>23.1</v>
      </c>
      <c r="DK27">
        <v>39</v>
      </c>
      <c r="DN27" s="23"/>
      <c r="DO27">
        <v>0</v>
      </c>
      <c r="DP27" t="s">
        <v>286</v>
      </c>
    </row>
    <row r="28" spans="1:120" x14ac:dyDescent="0.3">
      <c r="A28" s="2">
        <v>41567</v>
      </c>
      <c r="B28" s="21">
        <f t="shared" si="1"/>
        <v>19</v>
      </c>
      <c r="C28" s="36"/>
      <c r="D28" s="71">
        <v>4.2699999999999996</v>
      </c>
      <c r="E28" s="74">
        <v>235525</v>
      </c>
      <c r="F28" s="10">
        <v>133900</v>
      </c>
      <c r="G28" s="10">
        <f t="shared" si="3"/>
        <v>101625</v>
      </c>
      <c r="U28" s="74">
        <v>3891.95</v>
      </c>
      <c r="AI28" s="80">
        <v>0.98099999999999998</v>
      </c>
      <c r="AJ28" s="10">
        <v>0.57500000000000007</v>
      </c>
      <c r="AK28" s="10">
        <v>1.5395833333333335</v>
      </c>
      <c r="AL28">
        <v>1984</v>
      </c>
      <c r="AP28">
        <v>109300</v>
      </c>
      <c r="AQ28" s="10">
        <f t="shared" si="0"/>
        <v>237432.95</v>
      </c>
      <c r="AX28" s="10">
        <v>2.8490000000000002</v>
      </c>
      <c r="AZ28" s="10">
        <v>0</v>
      </c>
      <c r="BA28" s="10">
        <v>7.2110000000000003</v>
      </c>
      <c r="BB28">
        <v>2.6419999999999999</v>
      </c>
      <c r="BD28">
        <v>6.5</v>
      </c>
      <c r="BE28">
        <v>7.8330000000000002</v>
      </c>
      <c r="BF28" s="10">
        <v>3.2509999999999999</v>
      </c>
      <c r="BH28" s="10">
        <v>131</v>
      </c>
      <c r="BI28" s="10">
        <v>4.952</v>
      </c>
      <c r="BJ28">
        <v>3.6739999999999999</v>
      </c>
      <c r="BM28">
        <v>414.85700000000003</v>
      </c>
      <c r="BN28">
        <v>6.1059999999999999</v>
      </c>
      <c r="BO28" s="10">
        <v>17.010999999999999</v>
      </c>
      <c r="BP28">
        <v>101625</v>
      </c>
      <c r="CB28">
        <v>12.5</v>
      </c>
      <c r="CC28">
        <v>16262</v>
      </c>
      <c r="CD28">
        <v>2035</v>
      </c>
      <c r="CE28">
        <v>3896</v>
      </c>
      <c r="CF28">
        <v>3695</v>
      </c>
      <c r="CG28">
        <v>3151</v>
      </c>
      <c r="CH28">
        <v>6580</v>
      </c>
      <c r="CI28">
        <v>17322</v>
      </c>
      <c r="CK28">
        <v>0</v>
      </c>
      <c r="CL28">
        <v>22000</v>
      </c>
      <c r="CM28">
        <v>0</v>
      </c>
      <c r="CN28">
        <v>28000</v>
      </c>
      <c r="CO28">
        <v>0</v>
      </c>
      <c r="CP28">
        <v>21000</v>
      </c>
      <c r="CQ28">
        <v>0</v>
      </c>
      <c r="CR28">
        <v>73000</v>
      </c>
      <c r="CS28" s="5">
        <v>0</v>
      </c>
      <c r="CU28" s="5">
        <v>0</v>
      </c>
      <c r="CW28" s="5">
        <v>0</v>
      </c>
      <c r="CY28">
        <v>33.299999999999997</v>
      </c>
      <c r="CZ28">
        <v>22.8</v>
      </c>
      <c r="DA28">
        <v>20.399999999999999</v>
      </c>
      <c r="DB28">
        <v>9130</v>
      </c>
      <c r="DC28">
        <v>65.674000000000007</v>
      </c>
      <c r="DD28">
        <v>38.274000000000001</v>
      </c>
      <c r="DE28">
        <v>8.0000000000000002E-3</v>
      </c>
      <c r="DF28">
        <v>9175.75</v>
      </c>
      <c r="DH28">
        <v>136.30000000000001</v>
      </c>
      <c r="DI28">
        <v>64260</v>
      </c>
      <c r="DJ28">
        <v>23.1</v>
      </c>
      <c r="DK28">
        <v>39</v>
      </c>
      <c r="DN28" s="23"/>
      <c r="DO28">
        <v>0</v>
      </c>
      <c r="DP28" t="s">
        <v>286</v>
      </c>
    </row>
    <row r="29" spans="1:120" x14ac:dyDescent="0.3">
      <c r="A29" s="2">
        <v>41568</v>
      </c>
      <c r="B29" s="21">
        <f t="shared" si="1"/>
        <v>20</v>
      </c>
      <c r="C29" s="36"/>
      <c r="D29" s="71">
        <v>6.53</v>
      </c>
      <c r="E29" s="74">
        <v>244250</v>
      </c>
      <c r="F29" s="10">
        <v>89450</v>
      </c>
      <c r="G29" s="10">
        <f t="shared" si="3"/>
        <v>154800</v>
      </c>
      <c r="U29" s="74">
        <v>3490.85</v>
      </c>
      <c r="AF29" s="80">
        <v>2792</v>
      </c>
      <c r="AG29" s="80">
        <v>27.2</v>
      </c>
      <c r="AH29" s="80">
        <v>64</v>
      </c>
      <c r="AI29" s="80">
        <v>0.72299999999999998</v>
      </c>
      <c r="AJ29" s="10">
        <v>0.62750000000000006</v>
      </c>
      <c r="AK29" s="10">
        <v>1.4858333333333331</v>
      </c>
      <c r="AL29">
        <v>1797</v>
      </c>
      <c r="AP29">
        <v>93616</v>
      </c>
      <c r="AQ29" s="10">
        <f t="shared" si="0"/>
        <v>245943.85</v>
      </c>
      <c r="AX29" s="10">
        <v>2.76</v>
      </c>
      <c r="AZ29" s="10">
        <v>0</v>
      </c>
      <c r="BA29" s="10">
        <v>7.34</v>
      </c>
      <c r="BB29">
        <v>2.68</v>
      </c>
      <c r="BD29">
        <v>0</v>
      </c>
      <c r="BE29">
        <v>8.1010000000000009</v>
      </c>
      <c r="BF29" s="10">
        <v>2.93</v>
      </c>
      <c r="BH29" s="10">
        <v>131.18199999999999</v>
      </c>
      <c r="BI29" s="10">
        <v>5.1319999999999997</v>
      </c>
      <c r="BJ29">
        <v>3.67</v>
      </c>
      <c r="BL29">
        <v>120</v>
      </c>
      <c r="BM29">
        <v>435</v>
      </c>
      <c r="BN29">
        <v>6.077</v>
      </c>
      <c r="BO29" s="10">
        <v>16.798999999999999</v>
      </c>
      <c r="BP29">
        <v>154800</v>
      </c>
      <c r="CB29">
        <v>14</v>
      </c>
      <c r="CC29">
        <v>21724</v>
      </c>
      <c r="CD29">
        <v>2548</v>
      </c>
      <c r="CE29">
        <v>3588</v>
      </c>
      <c r="CF29">
        <v>3391</v>
      </c>
      <c r="CG29">
        <v>2919</v>
      </c>
      <c r="CH29">
        <v>6082</v>
      </c>
      <c r="CI29">
        <v>15980</v>
      </c>
      <c r="CK29">
        <v>0</v>
      </c>
      <c r="CL29">
        <v>22000</v>
      </c>
      <c r="CM29">
        <v>0</v>
      </c>
      <c r="CN29">
        <v>28000</v>
      </c>
      <c r="CO29">
        <v>0</v>
      </c>
      <c r="CP29">
        <v>21000</v>
      </c>
      <c r="CQ29">
        <v>0</v>
      </c>
      <c r="CR29">
        <v>73000</v>
      </c>
      <c r="CS29" s="5">
        <v>0</v>
      </c>
      <c r="CU29" s="5">
        <v>0</v>
      </c>
      <c r="CW29" s="5">
        <v>0</v>
      </c>
      <c r="CY29">
        <v>37</v>
      </c>
      <c r="CZ29">
        <v>19</v>
      </c>
      <c r="DA29">
        <v>17</v>
      </c>
      <c r="DB29">
        <v>7134</v>
      </c>
      <c r="DC29">
        <v>65.075999999999993</v>
      </c>
      <c r="DD29">
        <v>38.762</v>
      </c>
      <c r="DE29">
        <v>8.0000000000000002E-3</v>
      </c>
      <c r="DF29">
        <v>6408.75</v>
      </c>
      <c r="DH29">
        <v>157.19999999999999</v>
      </c>
      <c r="DI29">
        <v>0</v>
      </c>
      <c r="DJ29">
        <v>23.1</v>
      </c>
      <c r="DK29">
        <v>39</v>
      </c>
      <c r="DN29" s="23"/>
      <c r="DO29">
        <v>0</v>
      </c>
      <c r="DP29" t="s">
        <v>286</v>
      </c>
    </row>
    <row r="30" spans="1:120" x14ac:dyDescent="0.3">
      <c r="A30" s="2">
        <v>41569</v>
      </c>
      <c r="B30" s="21">
        <f t="shared" si="1"/>
        <v>21</v>
      </c>
      <c r="C30" s="36"/>
      <c r="D30" s="71">
        <v>0</v>
      </c>
      <c r="E30" s="74">
        <v>232800</v>
      </c>
      <c r="F30" s="10">
        <v>153150</v>
      </c>
      <c r="G30" s="10">
        <f t="shared" si="3"/>
        <v>79650</v>
      </c>
      <c r="N30">
        <v>9342</v>
      </c>
      <c r="U30" s="74">
        <v>3452.65</v>
      </c>
      <c r="AI30" s="80">
        <v>0.249</v>
      </c>
      <c r="AJ30" s="10">
        <v>0.4250000000000001</v>
      </c>
      <c r="AK30" s="10">
        <v>1.5625</v>
      </c>
      <c r="AL30">
        <v>1719</v>
      </c>
      <c r="AP30">
        <v>81084</v>
      </c>
      <c r="AQ30" s="10">
        <f t="shared" si="0"/>
        <v>234533.65</v>
      </c>
      <c r="AX30" s="10">
        <v>2.859</v>
      </c>
      <c r="AZ30" s="10">
        <v>0</v>
      </c>
      <c r="BA30" s="10">
        <v>7.4219999999999997</v>
      </c>
      <c r="BB30">
        <v>2.6280000000000001</v>
      </c>
      <c r="BD30">
        <v>237</v>
      </c>
      <c r="BE30">
        <v>7.8949999999999996</v>
      </c>
      <c r="BF30" s="10">
        <v>3.1850000000000001</v>
      </c>
      <c r="BH30" s="10">
        <v>49.817999999999998</v>
      </c>
      <c r="BI30" s="10">
        <v>4.984</v>
      </c>
      <c r="BJ30">
        <v>3.6269999999999998</v>
      </c>
      <c r="BM30">
        <v>421</v>
      </c>
      <c r="BN30">
        <v>6.0869999999999997</v>
      </c>
      <c r="BO30" s="10">
        <v>16.423999999999999</v>
      </c>
      <c r="BP30">
        <v>79650</v>
      </c>
      <c r="CB30">
        <v>11</v>
      </c>
      <c r="CC30">
        <v>23087</v>
      </c>
      <c r="CD30">
        <v>2459</v>
      </c>
      <c r="CE30">
        <v>3187</v>
      </c>
      <c r="CF30">
        <v>3004</v>
      </c>
      <c r="CG30">
        <v>2594</v>
      </c>
      <c r="CH30">
        <v>5162</v>
      </c>
      <c r="CI30">
        <v>13947</v>
      </c>
      <c r="CK30">
        <v>0</v>
      </c>
      <c r="CL30">
        <v>22000</v>
      </c>
      <c r="CM30">
        <v>0</v>
      </c>
      <c r="CN30">
        <v>28000</v>
      </c>
      <c r="CO30">
        <v>72.52</v>
      </c>
      <c r="CP30">
        <v>21000</v>
      </c>
      <c r="CQ30">
        <v>70</v>
      </c>
      <c r="CR30">
        <v>73000</v>
      </c>
      <c r="CS30" s="5">
        <v>0</v>
      </c>
      <c r="CU30" s="5">
        <v>0</v>
      </c>
      <c r="CW30" s="5">
        <v>0</v>
      </c>
      <c r="CY30">
        <v>32.4</v>
      </c>
      <c r="CZ30">
        <v>14.4</v>
      </c>
      <c r="DA30">
        <v>21</v>
      </c>
      <c r="DB30">
        <v>8619</v>
      </c>
      <c r="DC30">
        <v>65.284999999999997</v>
      </c>
      <c r="DD30">
        <v>38.451999999999998</v>
      </c>
      <c r="DE30">
        <v>8.9999999999999993E-3</v>
      </c>
      <c r="DF30">
        <v>5000.25</v>
      </c>
      <c r="DH30">
        <v>158.4</v>
      </c>
      <c r="DI30">
        <v>90600</v>
      </c>
      <c r="DJ30">
        <v>23.1</v>
      </c>
      <c r="DK30">
        <v>39</v>
      </c>
      <c r="DN30" s="23"/>
      <c r="DO30">
        <v>0</v>
      </c>
      <c r="DP30" t="s">
        <v>286</v>
      </c>
    </row>
    <row r="31" spans="1:120" x14ac:dyDescent="0.3">
      <c r="A31" s="2">
        <v>41570</v>
      </c>
      <c r="B31" s="21">
        <f t="shared" si="1"/>
        <v>22</v>
      </c>
      <c r="C31" s="36"/>
      <c r="D31" s="71">
        <v>8.07</v>
      </c>
      <c r="E31" s="74">
        <v>242550</v>
      </c>
      <c r="F31" s="10">
        <v>122700</v>
      </c>
      <c r="G31" s="10">
        <f t="shared" si="3"/>
        <v>119850</v>
      </c>
      <c r="H31" s="80">
        <v>373</v>
      </c>
      <c r="J31" s="80">
        <v>32.799999999999997</v>
      </c>
      <c r="K31" s="80">
        <v>4.83</v>
      </c>
      <c r="M31" s="10">
        <v>417696</v>
      </c>
      <c r="P31" s="80">
        <v>210</v>
      </c>
      <c r="R31" s="80">
        <v>19</v>
      </c>
      <c r="S31" s="80">
        <v>3.2</v>
      </c>
      <c r="U31" s="74">
        <v>3933.75</v>
      </c>
      <c r="AI31" s="80">
        <v>3.7999999999999999E-2</v>
      </c>
      <c r="AJ31" s="10">
        <v>0.33916666666666678</v>
      </c>
      <c r="AK31" s="10">
        <v>1.5391666666666666</v>
      </c>
      <c r="AL31">
        <v>1678</v>
      </c>
      <c r="AN31" s="80">
        <v>11377</v>
      </c>
      <c r="AP31">
        <v>132866</v>
      </c>
      <c r="AQ31" s="10">
        <f t="shared" si="0"/>
        <v>244805.75</v>
      </c>
      <c r="AR31" s="80">
        <v>96</v>
      </c>
      <c r="AT31" s="80">
        <v>18</v>
      </c>
      <c r="AU31" s="80">
        <v>1.9</v>
      </c>
      <c r="AV31" s="80">
        <v>52</v>
      </c>
      <c r="AX31" s="10">
        <v>2.6819999999999999</v>
      </c>
      <c r="AZ31" s="10">
        <v>73</v>
      </c>
      <c r="BA31" s="10">
        <v>6.8970000000000002</v>
      </c>
      <c r="BB31">
        <v>2.6230000000000002</v>
      </c>
      <c r="BD31">
        <v>59</v>
      </c>
      <c r="BE31">
        <v>8.0069999999999997</v>
      </c>
      <c r="BF31" s="10">
        <v>2.9529999999999998</v>
      </c>
      <c r="BH31" s="10">
        <v>229</v>
      </c>
      <c r="BI31" s="10">
        <v>4.43</v>
      </c>
      <c r="BJ31">
        <v>3.633</v>
      </c>
      <c r="BM31">
        <v>453</v>
      </c>
      <c r="BN31">
        <v>6.1509999999999998</v>
      </c>
      <c r="BO31" s="10">
        <v>17.100000000000001</v>
      </c>
      <c r="BP31">
        <v>119850</v>
      </c>
      <c r="BR31">
        <v>51</v>
      </c>
      <c r="BS31">
        <v>10</v>
      </c>
      <c r="BT31">
        <v>5.5</v>
      </c>
      <c r="BU31">
        <v>1.7</v>
      </c>
      <c r="BV31">
        <v>3.5000000000000003E-2</v>
      </c>
      <c r="BW31">
        <v>5.6</v>
      </c>
      <c r="BX31">
        <v>0.51</v>
      </c>
      <c r="BY31">
        <v>1.61</v>
      </c>
      <c r="BZ31">
        <v>40</v>
      </c>
      <c r="CA31">
        <v>0.71</v>
      </c>
      <c r="CB31">
        <v>12.178000000000001</v>
      </c>
      <c r="CC31">
        <v>21149</v>
      </c>
      <c r="CD31">
        <v>1906</v>
      </c>
      <c r="CE31">
        <v>4086</v>
      </c>
      <c r="CF31">
        <v>3896</v>
      </c>
      <c r="CG31">
        <v>3252</v>
      </c>
      <c r="CH31">
        <v>6552</v>
      </c>
      <c r="CI31">
        <v>17786</v>
      </c>
      <c r="CK31">
        <v>0</v>
      </c>
      <c r="CL31">
        <v>22000</v>
      </c>
      <c r="CM31">
        <v>0</v>
      </c>
      <c r="CN31">
        <v>28000</v>
      </c>
      <c r="CO31">
        <v>72</v>
      </c>
      <c r="CP31">
        <v>21000</v>
      </c>
      <c r="CQ31">
        <v>69</v>
      </c>
      <c r="CR31">
        <v>73000</v>
      </c>
      <c r="CS31" s="5">
        <v>0</v>
      </c>
      <c r="CU31" s="5">
        <v>0</v>
      </c>
      <c r="CW31" s="5">
        <v>0</v>
      </c>
      <c r="CY31">
        <v>32.4</v>
      </c>
      <c r="CZ31">
        <v>14.4</v>
      </c>
      <c r="DA31">
        <v>28</v>
      </c>
      <c r="DB31">
        <v>9307</v>
      </c>
      <c r="DC31">
        <v>63.798999999999999</v>
      </c>
      <c r="DD31">
        <v>39.25</v>
      </c>
      <c r="DE31">
        <v>0.01</v>
      </c>
      <c r="DF31">
        <v>8194.25</v>
      </c>
      <c r="DH31">
        <v>223.7</v>
      </c>
      <c r="DI31">
        <v>63240</v>
      </c>
      <c r="DJ31">
        <v>22.1</v>
      </c>
      <c r="DK31">
        <v>40</v>
      </c>
      <c r="DN31" s="23"/>
      <c r="DO31">
        <v>0</v>
      </c>
      <c r="DP31" t="s">
        <v>286</v>
      </c>
    </row>
    <row r="32" spans="1:120" x14ac:dyDescent="0.3">
      <c r="A32" s="2">
        <v>41571</v>
      </c>
      <c r="B32" s="21">
        <f t="shared" si="1"/>
        <v>23</v>
      </c>
      <c r="C32" s="36"/>
      <c r="D32" s="71">
        <v>0.47</v>
      </c>
      <c r="E32" s="74">
        <v>234500</v>
      </c>
      <c r="F32" s="10">
        <v>168700</v>
      </c>
      <c r="G32" s="10">
        <f t="shared" si="3"/>
        <v>65800</v>
      </c>
      <c r="U32" s="74">
        <v>2202.6999999999998</v>
      </c>
      <c r="AF32" s="80">
        <v>2294</v>
      </c>
      <c r="AG32" s="80">
        <v>27.2</v>
      </c>
      <c r="AH32" s="80">
        <v>96</v>
      </c>
      <c r="AI32" s="80">
        <v>0.247</v>
      </c>
      <c r="AJ32" s="10">
        <v>0.30833333333333329</v>
      </c>
      <c r="AK32" s="10">
        <v>1.5137499999999999</v>
      </c>
      <c r="AL32">
        <v>1126</v>
      </c>
      <c r="AP32">
        <v>99442</v>
      </c>
      <c r="AQ32" s="10">
        <f t="shared" si="0"/>
        <v>235576.7</v>
      </c>
      <c r="AX32" s="10">
        <v>2.79</v>
      </c>
      <c r="AZ32" s="10">
        <v>0</v>
      </c>
      <c r="BA32" s="10">
        <v>7.2089999999999996</v>
      </c>
      <c r="BB32">
        <v>2.72</v>
      </c>
      <c r="BD32">
        <v>61</v>
      </c>
      <c r="BE32">
        <v>8.3539999999999992</v>
      </c>
      <c r="BF32" s="10">
        <v>3.6</v>
      </c>
      <c r="BH32" s="10">
        <v>67</v>
      </c>
      <c r="BI32" s="10">
        <v>6.3419999999999996</v>
      </c>
      <c r="BJ32">
        <v>3.8</v>
      </c>
      <c r="BL32">
        <v>116</v>
      </c>
      <c r="BM32">
        <v>368</v>
      </c>
      <c r="BN32">
        <v>6.2569999999999997</v>
      </c>
      <c r="BO32" s="10">
        <v>17.212</v>
      </c>
      <c r="BP32">
        <v>65800</v>
      </c>
      <c r="CB32">
        <v>8.8219999999999992</v>
      </c>
      <c r="CC32">
        <v>17351</v>
      </c>
      <c r="CD32">
        <v>2871</v>
      </c>
      <c r="CE32">
        <v>2961</v>
      </c>
      <c r="CF32">
        <v>2853</v>
      </c>
      <c r="CG32">
        <v>2584</v>
      </c>
      <c r="CH32">
        <v>5012</v>
      </c>
      <c r="CI32">
        <v>13410</v>
      </c>
      <c r="CK32">
        <v>0</v>
      </c>
      <c r="CL32">
        <v>22000</v>
      </c>
      <c r="CM32">
        <v>0</v>
      </c>
      <c r="CN32">
        <v>28000</v>
      </c>
      <c r="CO32">
        <v>34.61</v>
      </c>
      <c r="CP32">
        <v>21000</v>
      </c>
      <c r="CQ32">
        <v>70</v>
      </c>
      <c r="CR32">
        <v>73000</v>
      </c>
      <c r="CS32" s="5">
        <v>0</v>
      </c>
      <c r="CU32" s="5">
        <v>0</v>
      </c>
      <c r="CW32" s="5">
        <v>0</v>
      </c>
      <c r="CY32">
        <v>28.8</v>
      </c>
      <c r="CZ32">
        <v>3.6</v>
      </c>
      <c r="DA32">
        <v>17.5</v>
      </c>
      <c r="DB32">
        <v>8381</v>
      </c>
      <c r="DC32">
        <v>64.641999999999996</v>
      </c>
      <c r="DD32">
        <v>38.817999999999998</v>
      </c>
      <c r="DE32">
        <v>8.0000000000000002E-3</v>
      </c>
      <c r="DF32">
        <v>7263.75</v>
      </c>
      <c r="DH32">
        <v>85.8</v>
      </c>
      <c r="DI32">
        <v>64840</v>
      </c>
      <c r="DJ32">
        <v>22.1</v>
      </c>
      <c r="DK32">
        <v>40</v>
      </c>
      <c r="DN32" s="23"/>
      <c r="DO32">
        <v>0</v>
      </c>
      <c r="DP32" t="s">
        <v>286</v>
      </c>
    </row>
    <row r="33" spans="1:120" x14ac:dyDescent="0.3">
      <c r="A33" s="2">
        <v>41572</v>
      </c>
      <c r="B33" s="21">
        <f t="shared" si="1"/>
        <v>24</v>
      </c>
      <c r="C33" s="36"/>
      <c r="D33" s="71">
        <v>0.23</v>
      </c>
      <c r="E33" s="74">
        <v>230200</v>
      </c>
      <c r="F33" s="10">
        <v>173200</v>
      </c>
      <c r="G33" s="10">
        <f t="shared" si="3"/>
        <v>57000</v>
      </c>
      <c r="U33" s="74">
        <v>3285.9</v>
      </c>
      <c r="AI33" s="80">
        <v>7.5999999999999998E-2</v>
      </c>
      <c r="AJ33" s="10">
        <v>0.28250000000000008</v>
      </c>
      <c r="AK33" s="10">
        <v>1.5470833333333331</v>
      </c>
      <c r="AL33">
        <v>1438</v>
      </c>
      <c r="AP33">
        <v>121075</v>
      </c>
      <c r="AQ33" s="10">
        <f t="shared" si="0"/>
        <v>232047.9</v>
      </c>
      <c r="AX33" s="10">
        <v>2.9119999999999999</v>
      </c>
      <c r="AZ33" s="10">
        <v>59</v>
      </c>
      <c r="BA33" s="10">
        <v>8.3339999999999996</v>
      </c>
      <c r="BB33">
        <v>2.8439999999999999</v>
      </c>
      <c r="BD33">
        <v>80</v>
      </c>
      <c r="BE33">
        <v>8.0809999999999995</v>
      </c>
      <c r="BF33" s="10">
        <v>3.577</v>
      </c>
      <c r="BH33" s="10">
        <v>58</v>
      </c>
      <c r="BI33" s="10">
        <v>5.29</v>
      </c>
      <c r="BJ33">
        <v>3.6259999999999999</v>
      </c>
      <c r="BM33">
        <v>454</v>
      </c>
      <c r="BN33">
        <v>6.1719999999999997</v>
      </c>
      <c r="BO33" s="10">
        <v>17.3</v>
      </c>
      <c r="BP33">
        <v>57000</v>
      </c>
      <c r="CB33">
        <v>8</v>
      </c>
      <c r="CC33">
        <v>17055</v>
      </c>
      <c r="CD33">
        <v>3212</v>
      </c>
      <c r="CE33">
        <v>3093.5</v>
      </c>
      <c r="CF33">
        <v>3007</v>
      </c>
      <c r="CG33">
        <v>2832</v>
      </c>
      <c r="CH33">
        <v>5800</v>
      </c>
      <c r="CI33">
        <v>14733</v>
      </c>
      <c r="CK33">
        <v>0</v>
      </c>
      <c r="CL33">
        <v>22000</v>
      </c>
      <c r="CM33">
        <v>0</v>
      </c>
      <c r="CN33">
        <v>28000</v>
      </c>
      <c r="CO33">
        <v>35.93</v>
      </c>
      <c r="CP33">
        <v>21000</v>
      </c>
      <c r="CQ33">
        <v>69</v>
      </c>
      <c r="CR33">
        <v>73000</v>
      </c>
      <c r="CS33" s="5">
        <v>0</v>
      </c>
      <c r="CU33" s="5">
        <v>0</v>
      </c>
      <c r="CW33" s="5">
        <v>0</v>
      </c>
      <c r="CY33">
        <v>41.8</v>
      </c>
      <c r="CZ33">
        <v>0</v>
      </c>
      <c r="DA33">
        <v>22.8</v>
      </c>
      <c r="DB33">
        <v>8713</v>
      </c>
      <c r="DC33">
        <v>65.822999999999993</v>
      </c>
      <c r="DD33">
        <v>38.548000000000002</v>
      </c>
      <c r="DE33">
        <v>8.9999999999999993E-3</v>
      </c>
      <c r="DF33">
        <v>8440.5</v>
      </c>
      <c r="DH33">
        <v>179.1</v>
      </c>
      <c r="DI33">
        <v>33760</v>
      </c>
      <c r="DJ33">
        <v>22.1</v>
      </c>
      <c r="DK33">
        <v>40</v>
      </c>
      <c r="DN33" s="23"/>
      <c r="DO33">
        <v>0</v>
      </c>
      <c r="DP33" t="s">
        <v>286</v>
      </c>
    </row>
    <row r="34" spans="1:120" x14ac:dyDescent="0.3">
      <c r="A34" s="2">
        <v>41573</v>
      </c>
      <c r="B34" s="21">
        <f t="shared" si="1"/>
        <v>25</v>
      </c>
      <c r="C34" s="36"/>
      <c r="D34" s="71">
        <v>0.84</v>
      </c>
      <c r="E34" s="74">
        <v>230400</v>
      </c>
      <c r="F34" s="10">
        <v>173700</v>
      </c>
      <c r="G34" s="10">
        <f t="shared" si="3"/>
        <v>56700</v>
      </c>
      <c r="U34" s="74">
        <v>3199.85</v>
      </c>
      <c r="AI34" s="80">
        <v>6.2E-2</v>
      </c>
      <c r="AJ34" s="10">
        <v>0.3683333333333334</v>
      </c>
      <c r="AK34" s="10">
        <v>1.5041666666666667</v>
      </c>
      <c r="AL34">
        <v>1437</v>
      </c>
      <c r="AP34">
        <v>110783</v>
      </c>
      <c r="AQ34" s="10">
        <f t="shared" si="0"/>
        <v>232162.85</v>
      </c>
      <c r="AX34" s="10">
        <v>2.923</v>
      </c>
      <c r="AZ34" s="10">
        <v>73</v>
      </c>
      <c r="BA34" s="10">
        <v>8.0809999999999995</v>
      </c>
      <c r="BB34">
        <v>2.8490000000000002</v>
      </c>
      <c r="BD34">
        <v>73</v>
      </c>
      <c r="BE34">
        <v>7.9480000000000004</v>
      </c>
      <c r="BF34" s="10">
        <v>3.7650000000000001</v>
      </c>
      <c r="BH34" s="10">
        <v>66</v>
      </c>
      <c r="BI34" s="10">
        <v>5.2960000000000003</v>
      </c>
      <c r="BJ34">
        <v>3.5139999999999998</v>
      </c>
      <c r="BM34">
        <v>414</v>
      </c>
      <c r="BN34">
        <v>6.1180000000000003</v>
      </c>
      <c r="BO34" s="10">
        <v>17.523</v>
      </c>
      <c r="BP34">
        <v>56700</v>
      </c>
      <c r="CB34">
        <v>8</v>
      </c>
      <c r="CC34">
        <v>16407</v>
      </c>
      <c r="CD34">
        <v>3177</v>
      </c>
      <c r="CE34">
        <v>3154.5</v>
      </c>
      <c r="CF34">
        <v>3005.5</v>
      </c>
      <c r="CG34">
        <v>2766</v>
      </c>
      <c r="CH34">
        <v>6025</v>
      </c>
      <c r="CI34">
        <v>14951</v>
      </c>
      <c r="CK34">
        <v>0</v>
      </c>
      <c r="CL34">
        <v>22000</v>
      </c>
      <c r="CM34">
        <v>0</v>
      </c>
      <c r="CN34">
        <v>28000</v>
      </c>
      <c r="CO34">
        <v>107.75</v>
      </c>
      <c r="CP34">
        <v>21000</v>
      </c>
      <c r="CQ34">
        <v>70</v>
      </c>
      <c r="CR34">
        <v>73000</v>
      </c>
      <c r="CS34" s="5">
        <v>0</v>
      </c>
      <c r="CU34" s="5">
        <v>0</v>
      </c>
      <c r="CW34" s="5">
        <v>0</v>
      </c>
      <c r="CY34">
        <v>41.8</v>
      </c>
      <c r="CZ34">
        <v>0</v>
      </c>
      <c r="DA34">
        <v>22.8</v>
      </c>
      <c r="DB34">
        <v>8737</v>
      </c>
      <c r="DC34">
        <v>65.569999999999993</v>
      </c>
      <c r="DD34">
        <v>38.228000000000002</v>
      </c>
      <c r="DE34">
        <v>8.0000000000000002E-3</v>
      </c>
      <c r="DF34">
        <v>8620.75</v>
      </c>
      <c r="DH34">
        <v>190.5</v>
      </c>
      <c r="DI34">
        <v>101220</v>
      </c>
      <c r="DJ34">
        <v>22.1</v>
      </c>
      <c r="DK34">
        <v>40</v>
      </c>
      <c r="DN34" s="23"/>
      <c r="DO34">
        <v>0</v>
      </c>
      <c r="DP34" t="s">
        <v>286</v>
      </c>
    </row>
    <row r="35" spans="1:120" x14ac:dyDescent="0.3">
      <c r="A35" s="2">
        <v>41574</v>
      </c>
      <c r="B35" s="21">
        <f t="shared" si="1"/>
        <v>26</v>
      </c>
      <c r="C35" s="36"/>
      <c r="D35" s="71">
        <v>1.55</v>
      </c>
      <c r="E35" s="74">
        <v>238200</v>
      </c>
      <c r="F35" s="10">
        <v>180200</v>
      </c>
      <c r="G35" s="10">
        <f t="shared" si="3"/>
        <v>58000</v>
      </c>
      <c r="U35" s="74">
        <v>3378.0819999999999</v>
      </c>
      <c r="AI35" s="80">
        <v>0.13100000000000001</v>
      </c>
      <c r="AJ35" s="10">
        <v>0.31125000000000003</v>
      </c>
      <c r="AK35" s="10">
        <v>1.3404166666666668</v>
      </c>
      <c r="AL35">
        <v>1498</v>
      </c>
      <c r="AP35">
        <v>114134</v>
      </c>
      <c r="AQ35" s="10">
        <f t="shared" si="0"/>
        <v>240080.08199999999</v>
      </c>
      <c r="AX35" s="10">
        <v>2.88</v>
      </c>
      <c r="AZ35" s="10">
        <v>80</v>
      </c>
      <c r="BA35" s="10">
        <v>10.143000000000001</v>
      </c>
      <c r="BB35">
        <v>2.95</v>
      </c>
      <c r="BD35">
        <v>81</v>
      </c>
      <c r="BE35">
        <v>7.9820000000000002</v>
      </c>
      <c r="BF35" s="10">
        <v>3.5990000000000002</v>
      </c>
      <c r="BH35" s="10">
        <v>80</v>
      </c>
      <c r="BI35" s="10">
        <v>5.3769999999999998</v>
      </c>
      <c r="BJ35">
        <v>3.524</v>
      </c>
      <c r="BM35">
        <v>461</v>
      </c>
      <c r="BN35">
        <v>6.07</v>
      </c>
      <c r="BO35" s="10">
        <v>17.8</v>
      </c>
      <c r="BP35">
        <v>58000</v>
      </c>
      <c r="CB35">
        <v>9</v>
      </c>
      <c r="CC35">
        <v>18698</v>
      </c>
      <c r="CD35">
        <v>3172</v>
      </c>
      <c r="CE35">
        <v>3276</v>
      </c>
      <c r="CF35">
        <v>3163.5</v>
      </c>
      <c r="CG35">
        <v>3090</v>
      </c>
      <c r="CH35">
        <v>6230</v>
      </c>
      <c r="CI35">
        <v>15760</v>
      </c>
      <c r="CK35">
        <v>0</v>
      </c>
      <c r="CL35">
        <v>22000</v>
      </c>
      <c r="CM35">
        <v>0</v>
      </c>
      <c r="CN35">
        <v>28000</v>
      </c>
      <c r="CO35">
        <v>0</v>
      </c>
      <c r="CP35">
        <v>21000</v>
      </c>
      <c r="CQ35">
        <v>0</v>
      </c>
      <c r="CR35">
        <v>73000</v>
      </c>
      <c r="CS35" s="5">
        <v>0</v>
      </c>
      <c r="CU35" s="5">
        <v>0</v>
      </c>
      <c r="CW35" s="5">
        <v>0</v>
      </c>
      <c r="CY35">
        <v>30.4</v>
      </c>
      <c r="CZ35">
        <v>11.1</v>
      </c>
      <c r="DA35">
        <v>26.6</v>
      </c>
      <c r="DB35">
        <v>8336</v>
      </c>
      <c r="DC35">
        <v>65.468999999999994</v>
      </c>
      <c r="DD35">
        <v>38.026000000000003</v>
      </c>
      <c r="DE35">
        <v>8.9999999999999993E-3</v>
      </c>
      <c r="DF35">
        <v>8164</v>
      </c>
      <c r="DH35">
        <v>138</v>
      </c>
      <c r="DI35">
        <v>35060</v>
      </c>
      <c r="DJ35">
        <v>22.1</v>
      </c>
      <c r="DK35">
        <v>40</v>
      </c>
      <c r="DN35" s="23"/>
      <c r="DO35">
        <v>0</v>
      </c>
      <c r="DP35" t="s">
        <v>286</v>
      </c>
    </row>
    <row r="36" spans="1:120" x14ac:dyDescent="0.3">
      <c r="A36" s="2">
        <v>41575</v>
      </c>
      <c r="B36" s="21">
        <f t="shared" si="1"/>
        <v>27</v>
      </c>
      <c r="C36" s="36"/>
      <c r="D36" s="71">
        <v>8.6999999999999993</v>
      </c>
      <c r="E36" s="74">
        <v>241700</v>
      </c>
      <c r="F36" s="10">
        <v>121200</v>
      </c>
      <c r="G36" s="10">
        <f t="shared" si="3"/>
        <v>120500</v>
      </c>
      <c r="N36">
        <v>4814</v>
      </c>
      <c r="U36" s="74">
        <v>3613.8180000000002</v>
      </c>
      <c r="AF36" s="80">
        <v>3138</v>
      </c>
      <c r="AG36" s="80">
        <v>31.2</v>
      </c>
      <c r="AH36" s="80">
        <v>76</v>
      </c>
      <c r="AI36" s="80">
        <v>0.443</v>
      </c>
      <c r="AJ36" s="10">
        <v>0.32374999999999998</v>
      </c>
      <c r="AK36" s="10">
        <v>1.4770833333333335</v>
      </c>
      <c r="AL36">
        <v>1792</v>
      </c>
      <c r="AP36">
        <v>137758</v>
      </c>
      <c r="AQ36" s="10">
        <f t="shared" si="0"/>
        <v>243521.818</v>
      </c>
      <c r="AX36" s="10">
        <v>2.89</v>
      </c>
      <c r="AZ36" s="10">
        <v>80</v>
      </c>
      <c r="BA36" s="10">
        <v>10.085000000000001</v>
      </c>
      <c r="BB36">
        <v>2.99</v>
      </c>
      <c r="BD36">
        <v>90</v>
      </c>
      <c r="BE36">
        <v>8.0109999999999992</v>
      </c>
      <c r="BF36" s="10">
        <v>3.03</v>
      </c>
      <c r="BH36" s="10">
        <v>110.562</v>
      </c>
      <c r="BI36" s="10">
        <v>5.3449999999999998</v>
      </c>
      <c r="BJ36">
        <v>3.33</v>
      </c>
      <c r="BL36">
        <v>135</v>
      </c>
      <c r="BM36">
        <v>453</v>
      </c>
      <c r="BN36">
        <v>5.9829999999999997</v>
      </c>
      <c r="BO36" s="10">
        <v>17.375</v>
      </c>
      <c r="BP36">
        <v>120500</v>
      </c>
      <c r="CB36">
        <v>13</v>
      </c>
      <c r="CC36">
        <v>23564</v>
      </c>
      <c r="CD36">
        <v>2162</v>
      </c>
      <c r="CE36">
        <v>3754</v>
      </c>
      <c r="CF36">
        <v>3656</v>
      </c>
      <c r="CG36">
        <v>3590</v>
      </c>
      <c r="CH36">
        <v>6853</v>
      </c>
      <c r="CI36">
        <v>17853</v>
      </c>
      <c r="CK36">
        <v>0</v>
      </c>
      <c r="CL36">
        <v>22000</v>
      </c>
      <c r="CM36">
        <v>0</v>
      </c>
      <c r="CN36">
        <v>28000</v>
      </c>
      <c r="CO36">
        <v>0</v>
      </c>
      <c r="CP36">
        <v>21000</v>
      </c>
      <c r="CQ36">
        <v>0</v>
      </c>
      <c r="CR36">
        <v>73000</v>
      </c>
      <c r="CS36" s="5">
        <v>0</v>
      </c>
      <c r="CU36" s="5">
        <v>0</v>
      </c>
      <c r="CW36" s="5">
        <v>0</v>
      </c>
      <c r="CY36">
        <v>38</v>
      </c>
      <c r="CZ36">
        <v>14.8</v>
      </c>
      <c r="DA36">
        <v>30.4</v>
      </c>
      <c r="DB36">
        <v>7266</v>
      </c>
      <c r="DC36">
        <v>65.311000000000007</v>
      </c>
      <c r="DD36">
        <v>37.68</v>
      </c>
      <c r="DE36">
        <v>8.0000000000000002E-3</v>
      </c>
      <c r="DF36">
        <v>6849.75</v>
      </c>
      <c r="DH36">
        <v>129.1</v>
      </c>
      <c r="DI36">
        <v>0</v>
      </c>
      <c r="DJ36">
        <v>22.1</v>
      </c>
      <c r="DK36">
        <v>40</v>
      </c>
      <c r="DN36" s="23"/>
      <c r="DO36">
        <v>0</v>
      </c>
      <c r="DP36" t="s">
        <v>286</v>
      </c>
    </row>
    <row r="37" spans="1:120" x14ac:dyDescent="0.3">
      <c r="A37" s="2">
        <v>41576</v>
      </c>
      <c r="B37" s="21">
        <f t="shared" si="1"/>
        <v>28</v>
      </c>
      <c r="C37" s="36"/>
      <c r="D37" s="71">
        <v>4.9800000000000004</v>
      </c>
      <c r="E37" s="74">
        <v>236000</v>
      </c>
      <c r="F37" s="10">
        <v>126800</v>
      </c>
      <c r="G37" s="10">
        <f t="shared" si="3"/>
        <v>109200</v>
      </c>
      <c r="H37" s="80">
        <v>358</v>
      </c>
      <c r="J37" s="80">
        <v>27.5</v>
      </c>
      <c r="K37" s="80">
        <v>4.17</v>
      </c>
      <c r="M37" s="10">
        <v>351766</v>
      </c>
      <c r="P37" s="80">
        <v>180</v>
      </c>
      <c r="R37" s="80">
        <v>14</v>
      </c>
      <c r="S37" s="80">
        <v>2.5</v>
      </c>
      <c r="U37" s="74">
        <v>4261.1499999999996</v>
      </c>
      <c r="AI37" s="80">
        <v>0.67300000000000004</v>
      </c>
      <c r="AJ37" s="10">
        <v>0.36791666666666667</v>
      </c>
      <c r="AK37" s="10">
        <v>1.4312499999999997</v>
      </c>
      <c r="AL37">
        <v>1919</v>
      </c>
      <c r="AP37">
        <v>98075</v>
      </c>
      <c r="AQ37" s="10">
        <f t="shared" si="0"/>
        <v>238342.15</v>
      </c>
      <c r="AR37" s="80">
        <v>76</v>
      </c>
      <c r="AT37" s="80">
        <v>14</v>
      </c>
      <c r="AU37" s="80">
        <v>1.32</v>
      </c>
      <c r="AV37" s="80">
        <v>67</v>
      </c>
      <c r="AX37" s="10">
        <v>2.84</v>
      </c>
      <c r="AZ37" s="10">
        <v>81</v>
      </c>
      <c r="BA37" s="10">
        <v>8.8239999999999998</v>
      </c>
      <c r="BB37">
        <v>2.887</v>
      </c>
      <c r="BD37">
        <v>110.104</v>
      </c>
      <c r="BE37">
        <v>7.8959999999999999</v>
      </c>
      <c r="BF37" s="10">
        <v>3.3410000000000002</v>
      </c>
      <c r="BH37" s="10">
        <v>141.21600000000001</v>
      </c>
      <c r="BI37" s="10">
        <v>5.0970000000000004</v>
      </c>
      <c r="BJ37">
        <v>3.3780000000000001</v>
      </c>
      <c r="BM37">
        <v>454</v>
      </c>
      <c r="BN37">
        <v>5.8120000000000003</v>
      </c>
      <c r="BO37" s="10">
        <v>16.274000000000001</v>
      </c>
      <c r="BP37">
        <v>109200</v>
      </c>
      <c r="BR37">
        <v>27</v>
      </c>
      <c r="BS37">
        <v>3</v>
      </c>
      <c r="BT37">
        <v>2.4</v>
      </c>
      <c r="BU37">
        <v>1</v>
      </c>
      <c r="BV37">
        <v>5.2999999999999999E-2</v>
      </c>
      <c r="BW37">
        <v>7.3</v>
      </c>
      <c r="BX37">
        <v>0.82</v>
      </c>
      <c r="BY37">
        <v>1.06</v>
      </c>
      <c r="BZ37">
        <v>11</v>
      </c>
      <c r="CA37">
        <v>0.67</v>
      </c>
      <c r="CB37">
        <v>15</v>
      </c>
      <c r="CC37">
        <v>17807</v>
      </c>
      <c r="CD37">
        <v>2693</v>
      </c>
      <c r="CE37">
        <v>3336</v>
      </c>
      <c r="CF37">
        <v>3207</v>
      </c>
      <c r="CG37">
        <v>3196</v>
      </c>
      <c r="CH37">
        <v>6646</v>
      </c>
      <c r="CI37">
        <v>16385</v>
      </c>
      <c r="CK37">
        <v>0</v>
      </c>
      <c r="CL37">
        <v>22000</v>
      </c>
      <c r="CM37">
        <v>215.24</v>
      </c>
      <c r="CN37">
        <v>28000</v>
      </c>
      <c r="CO37">
        <v>0</v>
      </c>
      <c r="CP37">
        <v>21000</v>
      </c>
      <c r="CQ37">
        <v>70</v>
      </c>
      <c r="CR37">
        <v>73000</v>
      </c>
      <c r="CS37" s="5">
        <v>0</v>
      </c>
      <c r="CU37" s="5">
        <v>0</v>
      </c>
      <c r="CW37" s="5">
        <v>0</v>
      </c>
      <c r="CY37">
        <v>39</v>
      </c>
      <c r="CZ37">
        <v>23.4</v>
      </c>
      <c r="DA37">
        <v>25.9</v>
      </c>
      <c r="DB37">
        <v>8980</v>
      </c>
      <c r="DC37">
        <v>66.14</v>
      </c>
      <c r="DD37">
        <v>37.198</v>
      </c>
      <c r="DE37">
        <v>6.0000000000000001E-3</v>
      </c>
      <c r="DF37">
        <v>8363</v>
      </c>
      <c r="DH37">
        <v>247.8</v>
      </c>
      <c r="DI37">
        <v>101120</v>
      </c>
      <c r="DJ37">
        <v>22.1</v>
      </c>
      <c r="DK37">
        <v>40</v>
      </c>
      <c r="DN37" s="23"/>
      <c r="DO37">
        <v>0</v>
      </c>
      <c r="DP37" t="s">
        <v>286</v>
      </c>
    </row>
    <row r="38" spans="1:120" x14ac:dyDescent="0.3">
      <c r="A38" s="2">
        <v>41577</v>
      </c>
      <c r="B38" s="21">
        <f t="shared" si="1"/>
        <v>29</v>
      </c>
      <c r="C38" s="36"/>
      <c r="D38" s="71">
        <v>4.3099999999999996</v>
      </c>
      <c r="E38" s="74">
        <v>237733</v>
      </c>
      <c r="F38" s="10">
        <v>147500</v>
      </c>
      <c r="G38" s="10">
        <f t="shared" si="3"/>
        <v>90233</v>
      </c>
      <c r="U38" s="74">
        <v>3958</v>
      </c>
      <c r="AI38" s="80">
        <v>0.91700000000000004</v>
      </c>
      <c r="AJ38" s="10">
        <v>0.3658333333333334</v>
      </c>
      <c r="AK38" s="10">
        <v>1.5516666666666665</v>
      </c>
      <c r="AL38">
        <v>2067</v>
      </c>
      <c r="AN38" s="80">
        <v>9333</v>
      </c>
      <c r="AP38">
        <v>106808</v>
      </c>
      <c r="AQ38" s="10">
        <f t="shared" si="0"/>
        <v>239624</v>
      </c>
      <c r="AX38" s="10">
        <v>3.4620000000000002</v>
      </c>
      <c r="AZ38" s="10">
        <v>65</v>
      </c>
      <c r="BA38" s="10">
        <v>7.944</v>
      </c>
      <c r="BB38">
        <v>2.6379999999999999</v>
      </c>
      <c r="BD38">
        <v>100.224</v>
      </c>
      <c r="BE38">
        <v>7.9669999999999996</v>
      </c>
      <c r="BF38" s="10">
        <v>2.8759999999999999</v>
      </c>
      <c r="BH38" s="10">
        <v>116.723</v>
      </c>
      <c r="BI38" s="10">
        <v>5.0659999999999998</v>
      </c>
      <c r="BJ38">
        <v>3.194</v>
      </c>
      <c r="BM38">
        <v>415</v>
      </c>
      <c r="BN38">
        <v>5.9779999999999998</v>
      </c>
      <c r="BO38" s="10">
        <v>16.190000000000001</v>
      </c>
      <c r="BP38">
        <v>90233</v>
      </c>
      <c r="CB38">
        <v>12</v>
      </c>
      <c r="CC38">
        <v>15903</v>
      </c>
      <c r="CD38">
        <v>2062</v>
      </c>
      <c r="CE38">
        <v>2583</v>
      </c>
      <c r="CF38">
        <v>3526</v>
      </c>
      <c r="CG38">
        <v>3531</v>
      </c>
      <c r="CH38">
        <v>6324</v>
      </c>
      <c r="CI38">
        <v>15964</v>
      </c>
      <c r="CK38">
        <v>35.020000000000003</v>
      </c>
      <c r="CL38">
        <v>22000</v>
      </c>
      <c r="CM38">
        <v>35.68</v>
      </c>
      <c r="CN38">
        <v>28000</v>
      </c>
      <c r="CO38">
        <v>0</v>
      </c>
      <c r="CP38">
        <v>21000</v>
      </c>
      <c r="CQ38">
        <v>70</v>
      </c>
      <c r="CR38">
        <v>73000</v>
      </c>
      <c r="CS38" s="5">
        <v>0</v>
      </c>
      <c r="CU38" s="5">
        <v>0</v>
      </c>
      <c r="CW38" s="5">
        <v>0</v>
      </c>
      <c r="CY38">
        <v>39</v>
      </c>
      <c r="CZ38">
        <v>27.3</v>
      </c>
      <c r="DA38">
        <v>25.9</v>
      </c>
      <c r="DB38">
        <v>9257</v>
      </c>
      <c r="DC38">
        <v>66.355999999999995</v>
      </c>
      <c r="DD38">
        <v>38.008000000000003</v>
      </c>
      <c r="DE38">
        <v>6.0000000000000001E-3</v>
      </c>
      <c r="DF38">
        <v>8985.75</v>
      </c>
      <c r="DH38">
        <v>202</v>
      </c>
      <c r="DI38">
        <v>101100</v>
      </c>
      <c r="DJ38">
        <v>21.7</v>
      </c>
      <c r="DK38">
        <v>39</v>
      </c>
      <c r="DN38" s="23"/>
      <c r="DO38">
        <v>0</v>
      </c>
      <c r="DP38" t="s">
        <v>286</v>
      </c>
    </row>
    <row r="39" spans="1:120" x14ac:dyDescent="0.3">
      <c r="A39" s="2">
        <v>41578</v>
      </c>
      <c r="B39" s="21">
        <f t="shared" si="1"/>
        <v>30</v>
      </c>
      <c r="C39" s="36"/>
      <c r="D39" s="71">
        <v>0</v>
      </c>
      <c r="E39" s="74">
        <v>229567</v>
      </c>
      <c r="F39" s="10">
        <v>171100</v>
      </c>
      <c r="G39" s="10">
        <f t="shared" si="3"/>
        <v>58467</v>
      </c>
      <c r="U39" s="74">
        <v>4862.3</v>
      </c>
      <c r="AF39" s="80">
        <v>2396</v>
      </c>
      <c r="AG39" s="80">
        <v>30.9</v>
      </c>
      <c r="AH39" s="80">
        <v>67</v>
      </c>
      <c r="AI39" s="80">
        <v>1.954</v>
      </c>
      <c r="AJ39" s="10">
        <v>0.74958333333333327</v>
      </c>
      <c r="AK39" s="10">
        <v>1.8954166666666667</v>
      </c>
      <c r="AL39">
        <v>2397</v>
      </c>
      <c r="AM39" s="80">
        <v>8400</v>
      </c>
      <c r="AO39" s="80">
        <v>27</v>
      </c>
      <c r="AP39">
        <v>86617</v>
      </c>
      <c r="AQ39" s="10">
        <f t="shared" si="0"/>
        <v>232032.3</v>
      </c>
      <c r="AX39" s="10">
        <v>3.52</v>
      </c>
      <c r="AZ39" s="10">
        <v>81</v>
      </c>
      <c r="BA39" s="10">
        <v>8.734</v>
      </c>
      <c r="BB39">
        <v>2.82</v>
      </c>
      <c r="BD39">
        <v>110.242</v>
      </c>
      <c r="BE39">
        <v>6.8419999999999996</v>
      </c>
      <c r="BF39" s="10">
        <v>2.91</v>
      </c>
      <c r="BH39" s="10">
        <v>151.5</v>
      </c>
      <c r="BI39" s="10">
        <v>4.6680000000000001</v>
      </c>
      <c r="BJ39">
        <v>3.38</v>
      </c>
      <c r="BL39">
        <v>130</v>
      </c>
      <c r="BM39">
        <v>453</v>
      </c>
      <c r="BN39">
        <v>5.7530000000000001</v>
      </c>
      <c r="BO39" s="10">
        <v>16.164999999999999</v>
      </c>
      <c r="BP39">
        <v>58467</v>
      </c>
      <c r="CB39">
        <v>7</v>
      </c>
      <c r="CC39">
        <v>12034</v>
      </c>
      <c r="CD39">
        <v>2197</v>
      </c>
      <c r="CE39">
        <v>2219</v>
      </c>
      <c r="CF39">
        <v>2866</v>
      </c>
      <c r="CG39">
        <v>2933</v>
      </c>
      <c r="CH39">
        <v>5409</v>
      </c>
      <c r="CI39">
        <v>13427</v>
      </c>
      <c r="CK39">
        <v>142.02000000000001</v>
      </c>
      <c r="CL39">
        <v>22000</v>
      </c>
      <c r="CM39">
        <v>0</v>
      </c>
      <c r="CN39">
        <v>28000</v>
      </c>
      <c r="CO39">
        <v>0</v>
      </c>
      <c r="CP39">
        <v>21000</v>
      </c>
      <c r="CQ39">
        <v>33</v>
      </c>
      <c r="CR39">
        <v>73000</v>
      </c>
      <c r="CS39" s="5">
        <v>0</v>
      </c>
      <c r="CU39" s="5">
        <v>0</v>
      </c>
      <c r="CW39" s="5">
        <v>0</v>
      </c>
      <c r="CY39">
        <v>50.7</v>
      </c>
      <c r="CZ39">
        <v>35.1</v>
      </c>
      <c r="DA39">
        <v>25.9</v>
      </c>
      <c r="DB39">
        <v>10303</v>
      </c>
      <c r="DC39">
        <v>66.864999999999995</v>
      </c>
      <c r="DD39">
        <v>38.219000000000001</v>
      </c>
      <c r="DE39">
        <v>6.0000000000000001E-3</v>
      </c>
      <c r="DF39">
        <v>9480.75</v>
      </c>
      <c r="DH39">
        <v>262.10000000000002</v>
      </c>
      <c r="DI39">
        <v>67580</v>
      </c>
      <c r="DJ39">
        <v>21.7</v>
      </c>
      <c r="DK39">
        <v>39</v>
      </c>
      <c r="DN39" s="23"/>
      <c r="DO39">
        <v>0</v>
      </c>
      <c r="DP39" t="s">
        <v>286</v>
      </c>
    </row>
    <row r="40" spans="1:120" x14ac:dyDescent="0.3">
      <c r="A40" s="2">
        <v>41579</v>
      </c>
      <c r="B40" s="21">
        <f t="shared" si="1"/>
        <v>31</v>
      </c>
      <c r="C40" s="36"/>
      <c r="D40" s="71">
        <v>0.03</v>
      </c>
      <c r="E40" s="74">
        <v>227450</v>
      </c>
      <c r="F40" s="10">
        <v>172900</v>
      </c>
      <c r="G40" s="10">
        <f t="shared" si="3"/>
        <v>54550</v>
      </c>
      <c r="U40" s="74">
        <v>4745.25</v>
      </c>
      <c r="AI40" s="80">
        <v>2.2829999999999999</v>
      </c>
      <c r="AJ40" s="10">
        <v>0.44208333333333333</v>
      </c>
      <c r="AK40" s="10">
        <v>1.49875</v>
      </c>
      <c r="AL40">
        <v>2376</v>
      </c>
      <c r="AP40">
        <v>73575</v>
      </c>
      <c r="AQ40" s="10">
        <f t="shared" si="0"/>
        <v>229819.25</v>
      </c>
      <c r="AX40" s="10">
        <v>3.1989999999999998</v>
      </c>
      <c r="AZ40" s="10">
        <v>80</v>
      </c>
      <c r="BA40" s="10">
        <v>8.3179999999999996</v>
      </c>
      <c r="BB40">
        <v>2.6509999999999998</v>
      </c>
      <c r="BD40">
        <v>110.255</v>
      </c>
      <c r="BE40">
        <v>7.6280000000000001</v>
      </c>
      <c r="BF40" s="10">
        <v>2.794</v>
      </c>
      <c r="BH40" s="10">
        <v>141</v>
      </c>
      <c r="BI40" s="10">
        <v>4.5449999999999999</v>
      </c>
      <c r="BJ40">
        <v>3.331</v>
      </c>
      <c r="BM40">
        <v>473</v>
      </c>
      <c r="BN40">
        <v>5.7009999999999996</v>
      </c>
      <c r="BO40" s="10">
        <v>16.248000000000001</v>
      </c>
      <c r="BP40">
        <v>54550</v>
      </c>
      <c r="CB40">
        <v>6</v>
      </c>
      <c r="CC40">
        <v>11563</v>
      </c>
      <c r="CD40">
        <v>2271</v>
      </c>
      <c r="CE40">
        <v>2294</v>
      </c>
      <c r="CF40">
        <v>3137</v>
      </c>
      <c r="CG40">
        <v>3188</v>
      </c>
      <c r="CH40">
        <v>5945</v>
      </c>
      <c r="CI40">
        <v>14564</v>
      </c>
      <c r="CK40">
        <v>143</v>
      </c>
      <c r="CL40">
        <v>23000</v>
      </c>
      <c r="CM40">
        <v>0</v>
      </c>
      <c r="CN40">
        <v>35000</v>
      </c>
      <c r="CO40">
        <v>0</v>
      </c>
      <c r="CP40">
        <v>23000</v>
      </c>
      <c r="CQ40">
        <v>70</v>
      </c>
      <c r="CR40">
        <v>67000</v>
      </c>
      <c r="CS40" s="5">
        <v>0</v>
      </c>
      <c r="CU40" s="5">
        <v>0</v>
      </c>
      <c r="CW40" s="5">
        <v>0</v>
      </c>
      <c r="CY40">
        <v>44</v>
      </c>
      <c r="CZ40">
        <v>38</v>
      </c>
      <c r="DA40">
        <v>25.2</v>
      </c>
      <c r="DB40">
        <v>10836</v>
      </c>
      <c r="DC40">
        <v>66.826999999999998</v>
      </c>
      <c r="DD40">
        <v>37.948999999999998</v>
      </c>
      <c r="DE40">
        <v>7.0000000000000001E-3</v>
      </c>
      <c r="DF40">
        <v>9810.75</v>
      </c>
      <c r="DH40">
        <v>221.5</v>
      </c>
      <c r="DI40">
        <v>70920</v>
      </c>
      <c r="DJ40">
        <v>21.7</v>
      </c>
      <c r="DK40">
        <v>39</v>
      </c>
      <c r="DN40" s="23"/>
      <c r="DO40">
        <v>0</v>
      </c>
      <c r="DP40" t="s">
        <v>286</v>
      </c>
    </row>
    <row r="41" spans="1:120" x14ac:dyDescent="0.3">
      <c r="A41" s="2">
        <v>41580</v>
      </c>
      <c r="B41" s="21">
        <f t="shared" si="1"/>
        <v>32</v>
      </c>
      <c r="C41" s="36"/>
      <c r="D41" s="71">
        <v>8.81</v>
      </c>
      <c r="E41" s="74">
        <v>242750</v>
      </c>
      <c r="F41" s="10">
        <v>139800</v>
      </c>
      <c r="G41" s="10">
        <f t="shared" si="3"/>
        <v>102950</v>
      </c>
      <c r="U41" s="74">
        <v>4412.25</v>
      </c>
      <c r="AI41" s="80">
        <v>1.3280000000000001</v>
      </c>
      <c r="AJ41" s="10">
        <v>0.3116666666666667</v>
      </c>
      <c r="AK41" s="10">
        <v>1.5595833333333331</v>
      </c>
      <c r="AL41">
        <v>2391</v>
      </c>
      <c r="AP41">
        <v>100833.5</v>
      </c>
      <c r="AQ41" s="10">
        <f t="shared" ref="AQ41:AQ72" si="4">E41+U41-AL41</f>
        <v>244771.25</v>
      </c>
      <c r="AX41" s="10">
        <v>3.1709999999999998</v>
      </c>
      <c r="AZ41" s="10">
        <v>80</v>
      </c>
      <c r="BA41" s="10">
        <v>5.8369999999999997</v>
      </c>
      <c r="BB41">
        <v>2.6349999999999998</v>
      </c>
      <c r="BD41">
        <v>93.176000000000002</v>
      </c>
      <c r="BE41">
        <v>7.8949999999999996</v>
      </c>
      <c r="BF41" s="10">
        <v>2.7930000000000001</v>
      </c>
      <c r="BH41" s="10">
        <v>141</v>
      </c>
      <c r="BI41" s="10">
        <v>4.6399999999999997</v>
      </c>
      <c r="BJ41">
        <v>3.2709999999999999</v>
      </c>
      <c r="BM41">
        <v>473</v>
      </c>
      <c r="BN41">
        <v>5.6449999999999996</v>
      </c>
      <c r="BO41" s="10">
        <v>16.491</v>
      </c>
      <c r="BP41">
        <v>102950</v>
      </c>
      <c r="CB41">
        <v>10</v>
      </c>
      <c r="CC41">
        <v>14336</v>
      </c>
      <c r="CD41">
        <v>1990</v>
      </c>
      <c r="CE41">
        <v>2636</v>
      </c>
      <c r="CF41">
        <v>3523</v>
      </c>
      <c r="CG41">
        <v>3584</v>
      </c>
      <c r="CH41">
        <v>6404</v>
      </c>
      <c r="CI41">
        <v>16147</v>
      </c>
      <c r="CK41">
        <v>107</v>
      </c>
      <c r="CL41">
        <v>23000</v>
      </c>
      <c r="CM41">
        <v>0</v>
      </c>
      <c r="CN41">
        <v>35000</v>
      </c>
      <c r="CO41">
        <v>0</v>
      </c>
      <c r="CP41">
        <v>23000</v>
      </c>
      <c r="CQ41">
        <v>70</v>
      </c>
      <c r="CR41">
        <v>67000</v>
      </c>
      <c r="CS41" s="5">
        <v>0</v>
      </c>
      <c r="CU41" s="5">
        <v>0</v>
      </c>
      <c r="CW41" s="5">
        <v>0</v>
      </c>
      <c r="CY41">
        <v>44</v>
      </c>
      <c r="CZ41">
        <v>34.200000000000003</v>
      </c>
      <c r="DA41">
        <v>25.2</v>
      </c>
      <c r="DB41">
        <v>9717</v>
      </c>
      <c r="DC41">
        <v>65.903000000000006</v>
      </c>
      <c r="DD41">
        <v>38.116</v>
      </c>
      <c r="DE41">
        <v>6.0000000000000001E-3</v>
      </c>
      <c r="DF41">
        <v>9680.75</v>
      </c>
      <c r="DH41">
        <v>167.6</v>
      </c>
      <c r="DI41">
        <v>163580</v>
      </c>
      <c r="DJ41">
        <v>21.7</v>
      </c>
      <c r="DK41">
        <v>39</v>
      </c>
      <c r="DN41" s="23"/>
      <c r="DO41">
        <v>0</v>
      </c>
      <c r="DP41" t="s">
        <v>286</v>
      </c>
    </row>
    <row r="42" spans="1:120" x14ac:dyDescent="0.3">
      <c r="A42" s="2">
        <v>41581</v>
      </c>
      <c r="B42" s="21">
        <f t="shared" si="1"/>
        <v>33</v>
      </c>
      <c r="C42" s="36"/>
      <c r="D42" s="71">
        <v>2.02</v>
      </c>
      <c r="E42" s="74">
        <v>236975</v>
      </c>
      <c r="F42" s="10">
        <v>117000</v>
      </c>
      <c r="G42" s="10">
        <f t="shared" si="3"/>
        <v>119975</v>
      </c>
      <c r="N42">
        <v>5302</v>
      </c>
      <c r="U42" s="74">
        <v>3379.95</v>
      </c>
      <c r="AI42" s="80">
        <v>0.371</v>
      </c>
      <c r="AJ42" s="10">
        <v>0.36541666666666656</v>
      </c>
      <c r="AK42" s="10">
        <v>1.5145833333333332</v>
      </c>
      <c r="AL42">
        <v>1918</v>
      </c>
      <c r="AP42">
        <v>85433.5</v>
      </c>
      <c r="AQ42" s="10">
        <f t="shared" si="4"/>
        <v>238436.95</v>
      </c>
      <c r="AX42" s="10">
        <v>2.7160000000000002</v>
      </c>
      <c r="AZ42" s="10">
        <v>73</v>
      </c>
      <c r="BA42" s="10">
        <v>7.78</v>
      </c>
      <c r="BB42">
        <v>2.7869999999999999</v>
      </c>
      <c r="BD42">
        <v>115</v>
      </c>
      <c r="BE42">
        <v>7.8109999999999999</v>
      </c>
      <c r="BF42" s="10">
        <v>2.57</v>
      </c>
      <c r="BH42" s="10">
        <v>137</v>
      </c>
      <c r="BI42" s="10">
        <v>3.9489999999999998</v>
      </c>
      <c r="BJ42">
        <v>3.2789999999999999</v>
      </c>
      <c r="BM42">
        <v>435.75</v>
      </c>
      <c r="BN42">
        <v>5.6660000000000004</v>
      </c>
      <c r="BO42" s="10">
        <v>15.081</v>
      </c>
      <c r="BP42">
        <v>119975</v>
      </c>
      <c r="CB42">
        <v>7</v>
      </c>
      <c r="CC42">
        <v>16677</v>
      </c>
      <c r="CD42">
        <v>2388</v>
      </c>
      <c r="CE42">
        <v>3133.5</v>
      </c>
      <c r="CF42">
        <v>3208.5</v>
      </c>
      <c r="CG42">
        <v>3208</v>
      </c>
      <c r="CH42">
        <v>6256</v>
      </c>
      <c r="CI42">
        <v>15806</v>
      </c>
      <c r="CK42">
        <v>0</v>
      </c>
      <c r="CL42">
        <v>23000</v>
      </c>
      <c r="CM42">
        <v>0</v>
      </c>
      <c r="CN42">
        <v>35000</v>
      </c>
      <c r="CO42">
        <v>0</v>
      </c>
      <c r="CP42">
        <v>23000</v>
      </c>
      <c r="CQ42">
        <v>0</v>
      </c>
      <c r="CR42">
        <v>67000</v>
      </c>
      <c r="CS42" s="5">
        <v>0</v>
      </c>
      <c r="CU42" s="5">
        <v>0</v>
      </c>
      <c r="CW42" s="5">
        <v>0</v>
      </c>
      <c r="CY42">
        <v>36</v>
      </c>
      <c r="CZ42">
        <v>26.6</v>
      </c>
      <c r="DA42">
        <v>18</v>
      </c>
      <c r="DB42">
        <v>8476</v>
      </c>
      <c r="DC42">
        <v>65.013999999999996</v>
      </c>
      <c r="DD42">
        <v>38.331000000000003</v>
      </c>
      <c r="DE42">
        <v>6.0000000000000001E-3</v>
      </c>
      <c r="DF42">
        <v>8260.5</v>
      </c>
      <c r="DH42">
        <v>112.8</v>
      </c>
      <c r="DI42">
        <v>102260</v>
      </c>
      <c r="DJ42">
        <v>21.7</v>
      </c>
      <c r="DK42">
        <v>39</v>
      </c>
      <c r="DN42" s="23"/>
      <c r="DO42">
        <v>0</v>
      </c>
      <c r="DP42" t="s">
        <v>286</v>
      </c>
    </row>
    <row r="43" spans="1:120" x14ac:dyDescent="0.3">
      <c r="A43" s="2">
        <v>41582</v>
      </c>
      <c r="B43" s="21">
        <f t="shared" si="1"/>
        <v>34</v>
      </c>
      <c r="C43" s="36"/>
      <c r="D43" s="71">
        <v>13.32</v>
      </c>
      <c r="E43" s="74">
        <v>246325</v>
      </c>
      <c r="F43" s="10">
        <v>89700</v>
      </c>
      <c r="G43" s="10">
        <f t="shared" si="3"/>
        <v>156625</v>
      </c>
      <c r="H43" s="80">
        <v>261</v>
      </c>
      <c r="J43" s="80">
        <v>21.1</v>
      </c>
      <c r="K43" s="80">
        <v>3.66</v>
      </c>
      <c r="M43" s="10">
        <v>372814</v>
      </c>
      <c r="P43" s="80">
        <v>180</v>
      </c>
      <c r="R43" s="80">
        <v>15</v>
      </c>
      <c r="S43" s="80">
        <v>2.8</v>
      </c>
      <c r="U43" s="74">
        <v>3704.4</v>
      </c>
      <c r="AF43" s="80">
        <v>2478</v>
      </c>
      <c r="AG43" s="80">
        <v>22.3</v>
      </c>
      <c r="AH43" s="80">
        <v>81</v>
      </c>
      <c r="AI43" s="80">
        <v>0.375</v>
      </c>
      <c r="AJ43" s="10">
        <v>0.36583333333333329</v>
      </c>
      <c r="AK43" s="10">
        <v>1.530833333333333</v>
      </c>
      <c r="AL43">
        <v>1507</v>
      </c>
      <c r="AP43">
        <v>94008</v>
      </c>
      <c r="AQ43" s="10">
        <f t="shared" si="4"/>
        <v>248522.4</v>
      </c>
      <c r="AR43" s="80">
        <v>91</v>
      </c>
      <c r="AT43" s="80">
        <v>15</v>
      </c>
      <c r="AU43" s="80">
        <v>1.78</v>
      </c>
      <c r="AV43" s="80">
        <v>51</v>
      </c>
      <c r="AX43" s="10">
        <v>2.17</v>
      </c>
      <c r="AZ43" s="10">
        <v>51</v>
      </c>
      <c r="BA43" s="10">
        <v>8.1890000000000001</v>
      </c>
      <c r="BB43">
        <v>1.4590000000000001</v>
      </c>
      <c r="BD43">
        <v>76</v>
      </c>
      <c r="BE43">
        <v>4.4649999999999999</v>
      </c>
      <c r="BF43" s="10">
        <v>1.93</v>
      </c>
      <c r="BH43" s="10">
        <v>141</v>
      </c>
      <c r="BI43" s="10">
        <v>3.8940000000000001</v>
      </c>
      <c r="BJ43">
        <v>2.8</v>
      </c>
      <c r="BL43">
        <v>129</v>
      </c>
      <c r="BM43">
        <v>501.25</v>
      </c>
      <c r="BN43">
        <v>5.6070000000000002</v>
      </c>
      <c r="BO43" s="10">
        <v>15.129</v>
      </c>
      <c r="BP43">
        <v>156625</v>
      </c>
      <c r="BR43">
        <v>39</v>
      </c>
      <c r="BS43">
        <v>8</v>
      </c>
      <c r="BT43">
        <v>4.4000000000000004</v>
      </c>
      <c r="BU43">
        <v>2.1</v>
      </c>
      <c r="BV43">
        <v>0.11</v>
      </c>
      <c r="BW43">
        <v>7</v>
      </c>
      <c r="BX43">
        <v>0.78</v>
      </c>
      <c r="BY43">
        <v>1.29</v>
      </c>
      <c r="BZ43">
        <v>22</v>
      </c>
      <c r="CA43">
        <v>0.68</v>
      </c>
      <c r="CB43">
        <v>13</v>
      </c>
      <c r="CC43">
        <v>16799</v>
      </c>
      <c r="CD43">
        <v>2273</v>
      </c>
      <c r="CE43">
        <v>3740.5</v>
      </c>
      <c r="CF43">
        <v>3181.5</v>
      </c>
      <c r="CG43">
        <v>3517.5</v>
      </c>
      <c r="CH43">
        <v>6614</v>
      </c>
      <c r="CI43">
        <v>17054</v>
      </c>
      <c r="CK43">
        <v>0</v>
      </c>
      <c r="CL43">
        <v>23000</v>
      </c>
      <c r="CM43">
        <v>0</v>
      </c>
      <c r="CN43">
        <v>35000</v>
      </c>
      <c r="CO43">
        <v>0</v>
      </c>
      <c r="CP43">
        <v>23000</v>
      </c>
      <c r="CQ43">
        <v>0</v>
      </c>
      <c r="CR43">
        <v>67000</v>
      </c>
      <c r="CS43" s="5">
        <v>0</v>
      </c>
      <c r="CU43" s="5">
        <v>0</v>
      </c>
      <c r="CW43" s="5">
        <v>0</v>
      </c>
      <c r="CY43">
        <v>44</v>
      </c>
      <c r="CZ43">
        <v>7.6</v>
      </c>
      <c r="DA43">
        <v>25.2</v>
      </c>
      <c r="DB43">
        <v>9217</v>
      </c>
      <c r="DC43">
        <v>64.679000000000002</v>
      </c>
      <c r="DD43">
        <v>38.494</v>
      </c>
      <c r="DE43">
        <v>5.0000000000000001E-3</v>
      </c>
      <c r="DF43">
        <v>8805.75</v>
      </c>
      <c r="DH43">
        <v>190.5</v>
      </c>
      <c r="DI43">
        <v>0</v>
      </c>
      <c r="DJ43">
        <v>21.7</v>
      </c>
      <c r="DK43">
        <v>39</v>
      </c>
      <c r="DN43" s="23"/>
      <c r="DO43">
        <v>0</v>
      </c>
      <c r="DP43" t="s">
        <v>286</v>
      </c>
    </row>
    <row r="44" spans="1:120" x14ac:dyDescent="0.3">
      <c r="A44" s="2">
        <v>41583</v>
      </c>
      <c r="B44" s="21">
        <f t="shared" si="1"/>
        <v>35</v>
      </c>
      <c r="C44" s="36"/>
      <c r="D44" s="71">
        <v>18.73</v>
      </c>
      <c r="E44" s="74">
        <v>282300</v>
      </c>
      <c r="F44" s="10">
        <v>2000</v>
      </c>
      <c r="G44" s="10">
        <f t="shared" si="3"/>
        <v>280300</v>
      </c>
      <c r="U44" s="74">
        <v>3288.9</v>
      </c>
      <c r="AI44" s="80">
        <v>0.14899999999999999</v>
      </c>
      <c r="AJ44" s="10">
        <v>0.87291666666666667</v>
      </c>
      <c r="AK44" s="10">
        <v>1.8704166666666666</v>
      </c>
      <c r="AL44">
        <v>1438</v>
      </c>
      <c r="AP44">
        <v>63792</v>
      </c>
      <c r="AQ44" s="10">
        <f t="shared" si="4"/>
        <v>284150.90000000002</v>
      </c>
      <c r="AX44" s="10">
        <v>2.4969999999999999</v>
      </c>
      <c r="AZ44" s="10">
        <v>73</v>
      </c>
      <c r="BA44" s="10">
        <v>8.907</v>
      </c>
      <c r="BB44">
        <v>1.9350000000000001</v>
      </c>
      <c r="BD44">
        <v>154</v>
      </c>
      <c r="BE44">
        <v>5.8780000000000001</v>
      </c>
      <c r="BF44" s="10">
        <v>2.9350000000000001</v>
      </c>
      <c r="BH44" s="10">
        <v>141.39599999999999</v>
      </c>
      <c r="BI44" s="10">
        <v>4.4370000000000003</v>
      </c>
      <c r="BJ44">
        <v>3.0750000000000002</v>
      </c>
      <c r="BM44">
        <v>495</v>
      </c>
      <c r="BN44">
        <v>5.4379999999999997</v>
      </c>
      <c r="BO44" s="10">
        <v>13.247999999999999</v>
      </c>
      <c r="BP44">
        <v>280300</v>
      </c>
      <c r="CB44">
        <v>1</v>
      </c>
      <c r="CC44">
        <v>16322</v>
      </c>
      <c r="CD44">
        <v>1992</v>
      </c>
      <c r="CE44">
        <v>3134</v>
      </c>
      <c r="CF44">
        <v>3341</v>
      </c>
      <c r="CG44">
        <v>2428.5</v>
      </c>
      <c r="CH44">
        <v>4959</v>
      </c>
      <c r="CI44">
        <v>13863</v>
      </c>
      <c r="CK44">
        <v>0</v>
      </c>
      <c r="CL44">
        <v>23000</v>
      </c>
      <c r="CM44">
        <v>0</v>
      </c>
      <c r="CN44">
        <v>35000</v>
      </c>
      <c r="CO44">
        <v>0</v>
      </c>
      <c r="CP44">
        <v>23000</v>
      </c>
      <c r="CQ44">
        <v>35</v>
      </c>
      <c r="CR44">
        <v>67000</v>
      </c>
      <c r="CS44" s="5">
        <v>0</v>
      </c>
      <c r="CU44" s="5">
        <v>0</v>
      </c>
      <c r="CW44" s="5">
        <v>0</v>
      </c>
      <c r="CY44">
        <v>45.6</v>
      </c>
      <c r="CZ44">
        <v>0</v>
      </c>
      <c r="DA44">
        <v>25.9</v>
      </c>
      <c r="DB44">
        <v>8075</v>
      </c>
      <c r="DC44">
        <v>64.355999999999995</v>
      </c>
      <c r="DD44">
        <v>38.524999999999999</v>
      </c>
      <c r="DE44">
        <v>5.0000000000000001E-3</v>
      </c>
      <c r="DF44">
        <v>7745.5</v>
      </c>
      <c r="DH44">
        <v>131.5</v>
      </c>
      <c r="DI44">
        <v>97220</v>
      </c>
      <c r="DJ44">
        <v>21.7</v>
      </c>
      <c r="DK44">
        <v>39</v>
      </c>
      <c r="DN44" s="23"/>
      <c r="DO44">
        <v>0</v>
      </c>
      <c r="DP44" t="s">
        <v>286</v>
      </c>
    </row>
    <row r="45" spans="1:120" x14ac:dyDescent="0.3">
      <c r="A45" s="2">
        <v>41584</v>
      </c>
      <c r="B45" s="21">
        <f t="shared" si="1"/>
        <v>36</v>
      </c>
      <c r="C45" s="36"/>
      <c r="D45" s="71">
        <v>7.98</v>
      </c>
      <c r="E45" s="74">
        <v>243150</v>
      </c>
      <c r="F45" s="10">
        <v>33500</v>
      </c>
      <c r="G45" s="10">
        <f t="shared" si="3"/>
        <v>209650</v>
      </c>
      <c r="U45" s="74">
        <v>3505</v>
      </c>
      <c r="AI45" s="80">
        <v>0.15</v>
      </c>
      <c r="AJ45" s="10">
        <v>0.33749999999999997</v>
      </c>
      <c r="AK45" s="10">
        <v>1.5204166666666667</v>
      </c>
      <c r="AL45">
        <v>1638</v>
      </c>
      <c r="AP45">
        <v>80733</v>
      </c>
      <c r="AQ45" s="10">
        <f t="shared" si="4"/>
        <v>245017</v>
      </c>
      <c r="AX45" s="10">
        <v>2.669</v>
      </c>
      <c r="AZ45" s="10">
        <v>81</v>
      </c>
      <c r="BA45" s="10">
        <v>9.9629999999999992</v>
      </c>
      <c r="BB45">
        <v>2.7029999999999998</v>
      </c>
      <c r="BD45">
        <v>141</v>
      </c>
      <c r="BE45">
        <v>7.6559999999999997</v>
      </c>
      <c r="BF45" s="10">
        <v>3.6</v>
      </c>
      <c r="BH45" s="10">
        <v>140.27099999999999</v>
      </c>
      <c r="BI45" s="10">
        <v>4.5679999999999996</v>
      </c>
      <c r="BJ45">
        <v>3.5790000000000002</v>
      </c>
      <c r="BM45">
        <v>494</v>
      </c>
      <c r="BN45">
        <v>6.125</v>
      </c>
      <c r="BO45" s="10">
        <v>13.255000000000001</v>
      </c>
      <c r="BP45">
        <v>209650</v>
      </c>
      <c r="CB45">
        <v>9</v>
      </c>
      <c r="CC45">
        <v>17614</v>
      </c>
      <c r="CD45">
        <v>2408</v>
      </c>
      <c r="CE45">
        <v>3669</v>
      </c>
      <c r="CF45">
        <v>3589</v>
      </c>
      <c r="CG45">
        <v>2818</v>
      </c>
      <c r="CH45">
        <v>5801</v>
      </c>
      <c r="CI45">
        <v>15877</v>
      </c>
      <c r="CK45">
        <v>0</v>
      </c>
      <c r="CL45">
        <v>23000</v>
      </c>
      <c r="CM45">
        <v>0</v>
      </c>
      <c r="CN45">
        <v>35000</v>
      </c>
      <c r="CO45">
        <v>0</v>
      </c>
      <c r="CP45">
        <v>23000</v>
      </c>
      <c r="CQ45">
        <v>66</v>
      </c>
      <c r="CR45">
        <v>67000</v>
      </c>
      <c r="CS45" s="5">
        <v>0</v>
      </c>
      <c r="CU45" s="5">
        <v>0</v>
      </c>
      <c r="CW45" s="5">
        <v>0</v>
      </c>
      <c r="CY45">
        <v>53.2</v>
      </c>
      <c r="CZ45">
        <v>7.6</v>
      </c>
      <c r="DA45">
        <v>25.9</v>
      </c>
      <c r="DB45">
        <v>8005</v>
      </c>
      <c r="DC45">
        <v>64.575999999999993</v>
      </c>
      <c r="DD45">
        <v>38.546999999999997</v>
      </c>
      <c r="DE45">
        <v>4.0000000000000001E-3</v>
      </c>
      <c r="DF45">
        <v>7840.75</v>
      </c>
      <c r="DH45">
        <v>154</v>
      </c>
      <c r="DI45">
        <v>68600</v>
      </c>
      <c r="DJ45">
        <v>21.7</v>
      </c>
      <c r="DK45">
        <v>40</v>
      </c>
      <c r="DL45">
        <v>1</v>
      </c>
      <c r="DM45">
        <v>10160</v>
      </c>
      <c r="DN45" s="23"/>
      <c r="DO45">
        <v>0</v>
      </c>
      <c r="DP45" t="s">
        <v>286</v>
      </c>
    </row>
    <row r="46" spans="1:120" x14ac:dyDescent="0.3">
      <c r="A46" s="2">
        <v>41585</v>
      </c>
      <c r="B46" s="21">
        <f t="shared" si="1"/>
        <v>37</v>
      </c>
      <c r="C46" s="36"/>
      <c r="D46" s="71">
        <v>10.08</v>
      </c>
      <c r="E46" s="74">
        <v>240350</v>
      </c>
      <c r="F46" s="10">
        <v>96700</v>
      </c>
      <c r="G46" s="10">
        <f t="shared" si="3"/>
        <v>143650</v>
      </c>
      <c r="U46" s="74">
        <v>3898.9</v>
      </c>
      <c r="AF46" s="80">
        <v>2436</v>
      </c>
      <c r="AG46" s="80">
        <v>24.3</v>
      </c>
      <c r="AH46" s="80">
        <v>74</v>
      </c>
      <c r="AI46" s="80">
        <v>0.52300000000000002</v>
      </c>
      <c r="AJ46" s="10">
        <v>0.35666666666666669</v>
      </c>
      <c r="AK46" s="10">
        <v>1.1516666666666666</v>
      </c>
      <c r="AL46">
        <v>1796</v>
      </c>
      <c r="AP46">
        <v>70925</v>
      </c>
      <c r="AQ46" s="10">
        <f t="shared" si="4"/>
        <v>242452.9</v>
      </c>
      <c r="AX46" s="10">
        <v>2.9</v>
      </c>
      <c r="AZ46" s="10">
        <v>80</v>
      </c>
      <c r="BA46" s="10">
        <v>8.3209999999999997</v>
      </c>
      <c r="BB46">
        <v>2.95</v>
      </c>
      <c r="BD46">
        <v>150</v>
      </c>
      <c r="BE46">
        <v>8.8109999999999999</v>
      </c>
      <c r="BF46" s="10">
        <v>4</v>
      </c>
      <c r="BH46" s="10">
        <v>151.238</v>
      </c>
      <c r="BI46" s="10">
        <v>4.6079999999999997</v>
      </c>
      <c r="BJ46">
        <v>3.51</v>
      </c>
      <c r="BL46">
        <v>120</v>
      </c>
      <c r="BM46">
        <v>514</v>
      </c>
      <c r="BN46">
        <v>6.4039999999999999</v>
      </c>
      <c r="BO46" s="10">
        <v>14.125</v>
      </c>
      <c r="BP46">
        <v>143650</v>
      </c>
      <c r="CB46">
        <v>0</v>
      </c>
      <c r="CC46">
        <v>15466</v>
      </c>
      <c r="CD46">
        <v>2173</v>
      </c>
      <c r="CE46">
        <v>3337</v>
      </c>
      <c r="CF46">
        <v>3314</v>
      </c>
      <c r="CG46">
        <v>2700</v>
      </c>
      <c r="CH46">
        <v>6020</v>
      </c>
      <c r="CI46">
        <v>15371</v>
      </c>
      <c r="CK46">
        <v>0</v>
      </c>
      <c r="CL46">
        <v>23000</v>
      </c>
      <c r="CM46">
        <v>0</v>
      </c>
      <c r="CN46">
        <v>35000</v>
      </c>
      <c r="CO46">
        <v>0</v>
      </c>
      <c r="CP46">
        <v>23000</v>
      </c>
      <c r="CQ46">
        <v>26</v>
      </c>
      <c r="CR46">
        <v>67000</v>
      </c>
      <c r="CS46" s="5">
        <v>0</v>
      </c>
      <c r="CU46" s="5">
        <v>0</v>
      </c>
      <c r="CW46" s="5">
        <v>0</v>
      </c>
      <c r="CY46">
        <v>49.4</v>
      </c>
      <c r="CZ46">
        <v>11.4</v>
      </c>
      <c r="DA46">
        <v>29.6</v>
      </c>
      <c r="DB46">
        <v>8877</v>
      </c>
      <c r="DC46">
        <v>64.361999999999995</v>
      </c>
      <c r="DD46">
        <v>39.021999999999998</v>
      </c>
      <c r="DE46">
        <v>7.0000000000000001E-3</v>
      </c>
      <c r="DF46">
        <v>8545.5</v>
      </c>
      <c r="DH46">
        <v>167</v>
      </c>
      <c r="DI46">
        <v>62840</v>
      </c>
      <c r="DJ46">
        <v>21.7</v>
      </c>
      <c r="DK46">
        <v>40</v>
      </c>
      <c r="DN46" s="23"/>
      <c r="DO46">
        <v>0</v>
      </c>
      <c r="DP46" t="s">
        <v>286</v>
      </c>
    </row>
    <row r="47" spans="1:120" x14ac:dyDescent="0.3">
      <c r="A47" s="2">
        <v>41586</v>
      </c>
      <c r="B47" s="21">
        <f t="shared" si="1"/>
        <v>38</v>
      </c>
      <c r="C47" s="36"/>
      <c r="D47" s="71">
        <v>4.37</v>
      </c>
      <c r="E47" s="74">
        <v>245100</v>
      </c>
      <c r="F47" s="10">
        <v>69500</v>
      </c>
      <c r="G47" s="10">
        <f t="shared" si="3"/>
        <v>175600</v>
      </c>
      <c r="U47" s="74">
        <v>3884</v>
      </c>
      <c r="AI47" s="80">
        <v>0</v>
      </c>
      <c r="AJ47" s="10">
        <v>0.39333333333333331</v>
      </c>
      <c r="AK47" s="10">
        <v>1.5679166666666664</v>
      </c>
      <c r="AL47">
        <v>1798</v>
      </c>
      <c r="AP47">
        <v>77000</v>
      </c>
      <c r="AQ47" s="10">
        <f t="shared" si="4"/>
        <v>247186</v>
      </c>
      <c r="AX47" s="10">
        <v>3.13</v>
      </c>
      <c r="AY47" s="10">
        <v>25</v>
      </c>
      <c r="AZ47" s="10">
        <v>98</v>
      </c>
      <c r="BA47" s="10">
        <v>7.6120000000000001</v>
      </c>
      <c r="BB47">
        <v>3.0779999999999998</v>
      </c>
      <c r="BC47">
        <v>22</v>
      </c>
      <c r="BD47">
        <v>171.2</v>
      </c>
      <c r="BE47">
        <v>8.9719999999999995</v>
      </c>
      <c r="BF47" s="10">
        <v>3.2349999999999999</v>
      </c>
      <c r="BG47" s="10">
        <v>22</v>
      </c>
      <c r="BH47" s="10">
        <v>167.095</v>
      </c>
      <c r="BI47" s="10">
        <v>5.1159999999999997</v>
      </c>
      <c r="BJ47">
        <v>3.7879999999999998</v>
      </c>
      <c r="BK47">
        <v>25</v>
      </c>
      <c r="BM47">
        <v>543</v>
      </c>
      <c r="BN47">
        <v>6.5439999999999996</v>
      </c>
      <c r="BO47" s="10">
        <v>14.672000000000001</v>
      </c>
      <c r="BP47">
        <v>175600</v>
      </c>
      <c r="CB47">
        <v>0</v>
      </c>
      <c r="CC47">
        <v>15932</v>
      </c>
      <c r="CD47">
        <v>2332</v>
      </c>
      <c r="CE47">
        <v>3130</v>
      </c>
      <c r="CF47">
        <v>3090.5</v>
      </c>
      <c r="CG47">
        <v>3106</v>
      </c>
      <c r="CH47">
        <v>5946</v>
      </c>
      <c r="CI47">
        <v>15273</v>
      </c>
      <c r="CK47">
        <v>0</v>
      </c>
      <c r="CL47">
        <v>23000</v>
      </c>
      <c r="CM47">
        <v>0</v>
      </c>
      <c r="CN47">
        <v>35000</v>
      </c>
      <c r="CO47">
        <v>0</v>
      </c>
      <c r="CP47">
        <v>23000</v>
      </c>
      <c r="CQ47">
        <v>34</v>
      </c>
      <c r="CR47">
        <v>67000</v>
      </c>
      <c r="CS47" s="5">
        <v>0</v>
      </c>
      <c r="CU47" s="5">
        <v>0</v>
      </c>
      <c r="CW47" s="5">
        <v>0</v>
      </c>
      <c r="CY47">
        <v>39.6</v>
      </c>
      <c r="CZ47">
        <v>10.8</v>
      </c>
      <c r="DA47">
        <v>38.5</v>
      </c>
      <c r="DB47">
        <v>9612</v>
      </c>
      <c r="DC47">
        <v>63.795000000000002</v>
      </c>
      <c r="DD47">
        <v>39.814</v>
      </c>
      <c r="DE47">
        <v>7.0000000000000001E-3</v>
      </c>
      <c r="DF47">
        <v>8825.75</v>
      </c>
      <c r="DH47">
        <v>171.2</v>
      </c>
      <c r="DI47">
        <v>64840</v>
      </c>
      <c r="DJ47">
        <v>21.7</v>
      </c>
      <c r="DK47">
        <v>40</v>
      </c>
      <c r="DL47">
        <v>1</v>
      </c>
      <c r="DM47">
        <v>11040</v>
      </c>
      <c r="DN47" s="23"/>
      <c r="DO47">
        <v>0</v>
      </c>
      <c r="DP47" t="s">
        <v>286</v>
      </c>
    </row>
    <row r="48" spans="1:120" x14ac:dyDescent="0.3">
      <c r="A48" s="2">
        <v>41587</v>
      </c>
      <c r="B48" s="21">
        <f t="shared" si="1"/>
        <v>39</v>
      </c>
      <c r="C48" s="36"/>
      <c r="D48" s="71">
        <v>24.17</v>
      </c>
      <c r="E48" s="74">
        <v>250100</v>
      </c>
      <c r="F48" s="10">
        <v>63900</v>
      </c>
      <c r="G48" s="10">
        <f t="shared" si="3"/>
        <v>186200</v>
      </c>
      <c r="N48">
        <v>756</v>
      </c>
      <c r="U48" s="74">
        <v>4187.5</v>
      </c>
      <c r="AI48" s="80">
        <v>6.2E-2</v>
      </c>
      <c r="AJ48" s="10">
        <v>0.57416666666666671</v>
      </c>
      <c r="AK48" s="10">
        <v>1.613333333333334</v>
      </c>
      <c r="AL48">
        <v>1777</v>
      </c>
      <c r="AP48">
        <v>86050</v>
      </c>
      <c r="AQ48" s="10">
        <f t="shared" si="4"/>
        <v>252510.5</v>
      </c>
      <c r="AX48" s="10">
        <v>3.1560000000000001</v>
      </c>
      <c r="AZ48" s="10">
        <v>160</v>
      </c>
      <c r="BA48" s="10">
        <v>7.5750000000000002</v>
      </c>
      <c r="BB48">
        <v>3.153</v>
      </c>
      <c r="BD48">
        <v>200.256</v>
      </c>
      <c r="BE48">
        <v>8.9440000000000008</v>
      </c>
      <c r="BF48" s="10">
        <v>2.823</v>
      </c>
      <c r="BH48" s="10">
        <v>210</v>
      </c>
      <c r="BI48" s="10">
        <v>5.2949999999999999</v>
      </c>
      <c r="BJ48">
        <v>3.8050000000000002</v>
      </c>
      <c r="BM48">
        <v>602</v>
      </c>
      <c r="BN48">
        <v>6.5330000000000004</v>
      </c>
      <c r="BO48" s="10">
        <v>14.534000000000001</v>
      </c>
      <c r="BP48">
        <v>186200</v>
      </c>
      <c r="CB48">
        <v>12</v>
      </c>
      <c r="CC48">
        <v>14704</v>
      </c>
      <c r="CD48">
        <v>2165</v>
      </c>
      <c r="CE48">
        <v>3070</v>
      </c>
      <c r="CF48">
        <v>2930</v>
      </c>
      <c r="CG48">
        <v>3404</v>
      </c>
      <c r="CH48">
        <v>5629</v>
      </c>
      <c r="CI48">
        <v>15033</v>
      </c>
      <c r="CK48">
        <v>0</v>
      </c>
      <c r="CL48">
        <v>23000</v>
      </c>
      <c r="CM48">
        <v>0</v>
      </c>
      <c r="CN48">
        <v>35000</v>
      </c>
      <c r="CO48">
        <v>0</v>
      </c>
      <c r="CP48">
        <v>23000</v>
      </c>
      <c r="CQ48">
        <v>72</v>
      </c>
      <c r="CR48">
        <v>67000</v>
      </c>
      <c r="CS48" s="5">
        <v>0</v>
      </c>
      <c r="CU48" s="5">
        <v>0</v>
      </c>
      <c r="CW48" s="5">
        <v>0</v>
      </c>
      <c r="CY48">
        <v>39.6</v>
      </c>
      <c r="CZ48">
        <v>10.8</v>
      </c>
      <c r="DA48">
        <v>42</v>
      </c>
      <c r="DB48">
        <v>9772</v>
      </c>
      <c r="DC48">
        <v>63.319000000000003</v>
      </c>
      <c r="DD48">
        <v>40.024000000000001</v>
      </c>
      <c r="DE48">
        <v>6.0000000000000001E-3</v>
      </c>
      <c r="DF48">
        <v>9190.75</v>
      </c>
      <c r="DH48">
        <v>169.4</v>
      </c>
      <c r="DI48">
        <v>95960</v>
      </c>
      <c r="DJ48">
        <v>21.7</v>
      </c>
      <c r="DK48">
        <v>40</v>
      </c>
      <c r="DN48" s="23"/>
      <c r="DO48">
        <v>0</v>
      </c>
      <c r="DP48" t="s">
        <v>286</v>
      </c>
    </row>
    <row r="49" spans="1:120" x14ac:dyDescent="0.3">
      <c r="A49" s="2">
        <v>41588</v>
      </c>
      <c r="B49" s="21">
        <f t="shared" si="1"/>
        <v>40</v>
      </c>
      <c r="C49" s="36"/>
      <c r="D49" s="71">
        <v>9.91</v>
      </c>
      <c r="E49" s="74">
        <v>233576</v>
      </c>
      <c r="F49" s="10">
        <v>19876</v>
      </c>
      <c r="G49" s="10">
        <f t="shared" si="3"/>
        <v>213700</v>
      </c>
      <c r="H49" s="80">
        <v>271</v>
      </c>
      <c r="I49" s="80">
        <v>95</v>
      </c>
      <c r="J49" s="80">
        <v>21.7</v>
      </c>
      <c r="K49" s="80">
        <v>4.21</v>
      </c>
      <c r="L49" s="80">
        <v>196</v>
      </c>
      <c r="M49" s="10">
        <v>526577</v>
      </c>
      <c r="O49" s="10">
        <v>7.3</v>
      </c>
      <c r="P49" s="80">
        <v>250</v>
      </c>
      <c r="Q49" s="80">
        <v>87</v>
      </c>
      <c r="R49" s="80">
        <v>20</v>
      </c>
      <c r="S49" s="80">
        <v>3.9</v>
      </c>
      <c r="T49" s="80">
        <v>180</v>
      </c>
      <c r="U49" s="74">
        <v>3928.95</v>
      </c>
      <c r="W49" s="80">
        <v>780</v>
      </c>
      <c r="X49" s="80">
        <v>180</v>
      </c>
      <c r="Y49" s="80">
        <v>210</v>
      </c>
      <c r="Z49" s="80">
        <v>0.28000000000000003</v>
      </c>
      <c r="AA49" s="80">
        <v>0.88</v>
      </c>
      <c r="AB49" s="80">
        <v>25</v>
      </c>
      <c r="AD49" s="80">
        <v>480</v>
      </c>
      <c r="AI49" s="80">
        <v>0.24199999999999999</v>
      </c>
      <c r="AJ49" s="10">
        <v>0.59958333333333336</v>
      </c>
      <c r="AK49" s="10">
        <v>3.58</v>
      </c>
      <c r="AL49">
        <v>1791</v>
      </c>
      <c r="AP49">
        <v>124025</v>
      </c>
      <c r="AQ49" s="10">
        <f t="shared" si="4"/>
        <v>235713.95</v>
      </c>
      <c r="AR49" s="80">
        <v>87</v>
      </c>
      <c r="AS49" s="80">
        <v>31</v>
      </c>
      <c r="AT49" s="80">
        <v>14</v>
      </c>
      <c r="AU49" s="80">
        <v>0.94</v>
      </c>
      <c r="AV49" s="80">
        <v>39</v>
      </c>
      <c r="AW49" s="6">
        <v>0.02</v>
      </c>
      <c r="AX49" s="10">
        <v>3.1579999999999999</v>
      </c>
      <c r="AZ49" s="10">
        <v>181</v>
      </c>
      <c r="BA49" s="10">
        <v>7.2229999999999999</v>
      </c>
      <c r="BB49">
        <v>3.1909999999999998</v>
      </c>
      <c r="BD49">
        <v>200.32599999999999</v>
      </c>
      <c r="BE49">
        <v>8.734</v>
      </c>
      <c r="BF49" s="10">
        <v>2.8170000000000002</v>
      </c>
      <c r="BH49" s="10">
        <v>182</v>
      </c>
      <c r="BI49" s="10">
        <v>4.7969999999999997</v>
      </c>
      <c r="BJ49">
        <v>3.8479999999999999</v>
      </c>
      <c r="BM49">
        <v>603</v>
      </c>
      <c r="BN49">
        <v>6.3860000000000001</v>
      </c>
      <c r="BO49" s="10">
        <v>13.589</v>
      </c>
      <c r="BP49">
        <v>213700</v>
      </c>
      <c r="BQ49">
        <v>6.7</v>
      </c>
      <c r="BR49">
        <v>28</v>
      </c>
      <c r="BS49">
        <v>3</v>
      </c>
      <c r="BT49">
        <v>2.2000000000000002</v>
      </c>
      <c r="BU49">
        <v>0.52</v>
      </c>
      <c r="BV49">
        <v>5.8000000000000003E-2</v>
      </c>
      <c r="BW49">
        <v>4</v>
      </c>
      <c r="BX49">
        <v>0.36</v>
      </c>
      <c r="BY49">
        <v>0.6</v>
      </c>
      <c r="BZ49">
        <v>10</v>
      </c>
      <c r="CA49">
        <v>0.56000000000000005</v>
      </c>
      <c r="CB49">
        <v>18</v>
      </c>
      <c r="CC49">
        <v>14637</v>
      </c>
      <c r="CD49">
        <v>936</v>
      </c>
      <c r="CE49">
        <v>2888</v>
      </c>
      <c r="CF49">
        <v>2876.5</v>
      </c>
      <c r="CG49">
        <v>3648</v>
      </c>
      <c r="CH49">
        <v>5407</v>
      </c>
      <c r="CI49">
        <v>14820</v>
      </c>
      <c r="CK49">
        <v>0</v>
      </c>
      <c r="CL49">
        <v>23000</v>
      </c>
      <c r="CM49">
        <v>0</v>
      </c>
      <c r="CN49">
        <v>35000</v>
      </c>
      <c r="CO49">
        <v>0</v>
      </c>
      <c r="CP49">
        <v>23000</v>
      </c>
      <c r="CQ49">
        <v>0</v>
      </c>
      <c r="CR49">
        <v>67000</v>
      </c>
      <c r="CS49" s="5">
        <v>0</v>
      </c>
      <c r="CU49" s="5">
        <v>0</v>
      </c>
      <c r="CW49" s="5">
        <v>0</v>
      </c>
      <c r="CY49">
        <v>43.2</v>
      </c>
      <c r="CZ49">
        <v>7.2</v>
      </c>
      <c r="DA49">
        <v>56</v>
      </c>
      <c r="DB49">
        <v>8932</v>
      </c>
      <c r="DC49">
        <v>64.114000000000004</v>
      </c>
      <c r="DD49">
        <v>39.335999999999999</v>
      </c>
      <c r="DE49">
        <v>5.0000000000000001E-3</v>
      </c>
      <c r="DF49">
        <v>9080.75</v>
      </c>
      <c r="DH49">
        <v>125.4</v>
      </c>
      <c r="DI49">
        <v>67500</v>
      </c>
      <c r="DJ49">
        <v>21.7</v>
      </c>
      <c r="DK49">
        <v>40</v>
      </c>
      <c r="DN49" s="23"/>
      <c r="DO49">
        <v>0</v>
      </c>
      <c r="DP49" t="s">
        <v>286</v>
      </c>
    </row>
    <row r="50" spans="1:120" x14ac:dyDescent="0.3">
      <c r="A50" s="2">
        <v>41589</v>
      </c>
      <c r="B50" s="21">
        <f t="shared" si="1"/>
        <v>41</v>
      </c>
      <c r="C50" s="36"/>
      <c r="D50" s="71">
        <v>0.93</v>
      </c>
      <c r="E50" s="74">
        <v>212724</v>
      </c>
      <c r="F50" s="10">
        <v>66374</v>
      </c>
      <c r="G50" s="10">
        <f t="shared" si="3"/>
        <v>146350</v>
      </c>
      <c r="U50" s="74">
        <v>4298.7</v>
      </c>
      <c r="AF50" s="80">
        <v>2966</v>
      </c>
      <c r="AG50" s="80">
        <v>25.7</v>
      </c>
      <c r="AH50" s="80">
        <v>61</v>
      </c>
      <c r="AI50" s="80">
        <v>2.0990000000000002</v>
      </c>
      <c r="AJ50" s="10">
        <v>0.625</v>
      </c>
      <c r="AK50" s="10">
        <v>7.3174999999999981</v>
      </c>
      <c r="AL50">
        <v>1897</v>
      </c>
      <c r="AP50">
        <v>183300</v>
      </c>
      <c r="AQ50" s="10">
        <f t="shared" si="4"/>
        <v>215125.7</v>
      </c>
      <c r="AX50" s="10">
        <v>2.88</v>
      </c>
      <c r="AZ50" s="10">
        <v>200.125</v>
      </c>
      <c r="BA50" s="10">
        <v>7.2430000000000003</v>
      </c>
      <c r="BB50">
        <v>3.13</v>
      </c>
      <c r="BD50">
        <v>203.71799999999999</v>
      </c>
      <c r="BE50">
        <v>8.532</v>
      </c>
      <c r="BF50" s="10">
        <v>3.18</v>
      </c>
      <c r="BH50" s="10">
        <v>150</v>
      </c>
      <c r="BI50" s="10">
        <v>4.5250000000000004</v>
      </c>
      <c r="BJ50">
        <v>4.45</v>
      </c>
      <c r="BL50">
        <v>117</v>
      </c>
      <c r="BM50">
        <v>653</v>
      </c>
      <c r="BN50">
        <v>6.4009999999999998</v>
      </c>
      <c r="BO50" s="10">
        <v>13.654999999999999</v>
      </c>
      <c r="BP50">
        <v>146350</v>
      </c>
      <c r="CB50">
        <v>15</v>
      </c>
      <c r="CC50">
        <v>15748</v>
      </c>
      <c r="CD50">
        <v>21.75</v>
      </c>
      <c r="CE50">
        <v>2986</v>
      </c>
      <c r="CF50">
        <v>2672.5</v>
      </c>
      <c r="CG50">
        <v>3176</v>
      </c>
      <c r="CH50">
        <v>5354</v>
      </c>
      <c r="CI50">
        <v>14189</v>
      </c>
      <c r="CK50">
        <v>0</v>
      </c>
      <c r="CL50">
        <v>23000</v>
      </c>
      <c r="CM50">
        <v>0</v>
      </c>
      <c r="CN50">
        <v>35000</v>
      </c>
      <c r="CO50">
        <v>0</v>
      </c>
      <c r="CP50">
        <v>23000</v>
      </c>
      <c r="CQ50">
        <v>0</v>
      </c>
      <c r="CR50">
        <v>67000</v>
      </c>
      <c r="CS50" s="5">
        <v>0</v>
      </c>
      <c r="CU50" s="5">
        <v>0</v>
      </c>
      <c r="CW50" s="5">
        <v>0</v>
      </c>
      <c r="CY50">
        <v>43.2</v>
      </c>
      <c r="CZ50">
        <v>14.4</v>
      </c>
      <c r="DA50">
        <v>63</v>
      </c>
      <c r="DB50">
        <v>8766</v>
      </c>
      <c r="DC50">
        <v>64.917000000000002</v>
      </c>
      <c r="DD50">
        <v>39.51</v>
      </c>
      <c r="DE50">
        <v>5.0000000000000001E-3</v>
      </c>
      <c r="DF50">
        <v>8625.5</v>
      </c>
      <c r="DH50">
        <v>160</v>
      </c>
      <c r="DI50">
        <v>0</v>
      </c>
      <c r="DJ50">
        <v>21.7</v>
      </c>
      <c r="DK50">
        <v>40</v>
      </c>
      <c r="DN50" s="23"/>
      <c r="DO50">
        <v>0</v>
      </c>
      <c r="DP50" t="s">
        <v>286</v>
      </c>
    </row>
    <row r="51" spans="1:120" x14ac:dyDescent="0.3">
      <c r="A51" s="2">
        <v>41590</v>
      </c>
      <c r="B51" s="21">
        <f t="shared" si="1"/>
        <v>42</v>
      </c>
      <c r="C51" s="36"/>
      <c r="D51" s="71">
        <v>0.1</v>
      </c>
      <c r="E51" s="74">
        <v>210117</v>
      </c>
      <c r="F51" s="10">
        <v>129600</v>
      </c>
      <c r="G51" s="10">
        <f t="shared" si="3"/>
        <v>80517</v>
      </c>
      <c r="U51" s="74">
        <v>4711.55</v>
      </c>
      <c r="AI51" s="80">
        <v>4.2830000000000004</v>
      </c>
      <c r="AJ51" s="10">
        <v>0.54833333333333334</v>
      </c>
      <c r="AK51" s="10">
        <v>2.9524999999999992</v>
      </c>
      <c r="AL51">
        <v>1903</v>
      </c>
      <c r="AP51">
        <v>64400</v>
      </c>
      <c r="AQ51" s="10">
        <f t="shared" si="4"/>
        <v>212925.55</v>
      </c>
      <c r="AX51" s="10">
        <v>2.8380000000000001</v>
      </c>
      <c r="AZ51" s="10">
        <v>200.292</v>
      </c>
      <c r="BA51" s="10">
        <v>8.8640000000000008</v>
      </c>
      <c r="BB51">
        <v>3.226</v>
      </c>
      <c r="BD51">
        <v>220.5</v>
      </c>
      <c r="BE51">
        <v>9.2469999999999999</v>
      </c>
      <c r="BF51" s="10">
        <v>2.9529999999999998</v>
      </c>
      <c r="BH51" s="10">
        <v>161</v>
      </c>
      <c r="BI51" s="10">
        <v>4.9729999999999999</v>
      </c>
      <c r="BJ51">
        <v>3.9790000000000001</v>
      </c>
      <c r="BM51">
        <v>684</v>
      </c>
      <c r="BN51">
        <v>6.4909999999999997</v>
      </c>
      <c r="BO51" s="10">
        <v>14.102</v>
      </c>
      <c r="BP51">
        <v>80517</v>
      </c>
      <c r="CB51">
        <v>0</v>
      </c>
      <c r="CC51">
        <v>13552</v>
      </c>
      <c r="CD51">
        <v>2117.25</v>
      </c>
      <c r="CE51">
        <v>3066</v>
      </c>
      <c r="CF51">
        <v>2703.5</v>
      </c>
      <c r="CG51">
        <v>3223</v>
      </c>
      <c r="CH51">
        <v>5538</v>
      </c>
      <c r="CI51">
        <v>14531</v>
      </c>
      <c r="CK51">
        <v>0</v>
      </c>
      <c r="CL51">
        <v>23000</v>
      </c>
      <c r="CM51">
        <v>0</v>
      </c>
      <c r="CN51">
        <v>35000</v>
      </c>
      <c r="CO51">
        <v>108</v>
      </c>
      <c r="CP51">
        <v>23000</v>
      </c>
      <c r="CQ51">
        <v>69</v>
      </c>
      <c r="CR51">
        <v>67000</v>
      </c>
      <c r="CS51" s="5">
        <v>0</v>
      </c>
      <c r="CU51" s="5">
        <v>0</v>
      </c>
      <c r="CW51" s="5">
        <v>0</v>
      </c>
      <c r="CY51">
        <v>32</v>
      </c>
      <c r="CZ51">
        <v>23.4</v>
      </c>
      <c r="DA51">
        <v>51.8</v>
      </c>
      <c r="DB51">
        <v>8919</v>
      </c>
      <c r="DC51">
        <v>65.504999999999995</v>
      </c>
      <c r="DD51">
        <v>39.587000000000003</v>
      </c>
      <c r="DE51">
        <v>5.0000000000000001E-3</v>
      </c>
      <c r="DF51">
        <v>8715.75</v>
      </c>
      <c r="DH51">
        <v>258.39999999999998</v>
      </c>
      <c r="DI51">
        <v>93760</v>
      </c>
      <c r="DJ51">
        <v>21.7</v>
      </c>
      <c r="DK51">
        <v>40</v>
      </c>
      <c r="DN51" s="23"/>
      <c r="DO51">
        <v>0</v>
      </c>
      <c r="DP51" t="s">
        <v>286</v>
      </c>
    </row>
    <row r="52" spans="1:120" x14ac:dyDescent="0.3">
      <c r="A52" s="2">
        <v>41591</v>
      </c>
      <c r="B52" s="21">
        <f t="shared" si="1"/>
        <v>43</v>
      </c>
      <c r="C52" s="36"/>
      <c r="D52" s="71">
        <v>0.78</v>
      </c>
      <c r="E52" s="74">
        <v>190783</v>
      </c>
      <c r="F52" s="10">
        <v>92450</v>
      </c>
      <c r="G52" s="10">
        <f t="shared" si="3"/>
        <v>98333</v>
      </c>
      <c r="U52" s="74">
        <v>4533.5</v>
      </c>
      <c r="AI52" s="80">
        <v>2.286</v>
      </c>
      <c r="AJ52" s="10">
        <v>0.9370833333333336</v>
      </c>
      <c r="AK52" s="10">
        <v>2.6483333333333339</v>
      </c>
      <c r="AL52">
        <v>1676</v>
      </c>
      <c r="AP52">
        <v>79767</v>
      </c>
      <c r="AQ52" s="10">
        <f t="shared" si="4"/>
        <v>193640.5</v>
      </c>
      <c r="AX52" s="10">
        <v>3.0489999999999999</v>
      </c>
      <c r="AZ52" s="10">
        <v>190.27699999999999</v>
      </c>
      <c r="BA52" s="10">
        <v>9.3450000000000006</v>
      </c>
      <c r="BB52">
        <v>3.2370000000000001</v>
      </c>
      <c r="BD52">
        <v>226</v>
      </c>
      <c r="BE52">
        <v>8.8970000000000002</v>
      </c>
      <c r="BF52" s="10">
        <v>3.3620000000000001</v>
      </c>
      <c r="BH52" s="10">
        <v>161</v>
      </c>
      <c r="BI52" s="10">
        <v>5.3179999999999996</v>
      </c>
      <c r="BJ52">
        <v>4.101</v>
      </c>
      <c r="BM52">
        <v>703</v>
      </c>
      <c r="BN52">
        <v>6.4349999999999996</v>
      </c>
      <c r="BO52" s="10">
        <v>14.471</v>
      </c>
      <c r="BP52">
        <v>98333</v>
      </c>
      <c r="CB52">
        <v>14</v>
      </c>
      <c r="CC52">
        <v>13510</v>
      </c>
      <c r="CD52">
        <v>2138</v>
      </c>
      <c r="CE52">
        <v>3374</v>
      </c>
      <c r="CF52">
        <v>2985</v>
      </c>
      <c r="CG52">
        <v>3312</v>
      </c>
      <c r="CH52">
        <v>6046</v>
      </c>
      <c r="CI52">
        <v>15717</v>
      </c>
      <c r="CK52">
        <v>0</v>
      </c>
      <c r="CL52">
        <v>23000</v>
      </c>
      <c r="CM52">
        <v>0</v>
      </c>
      <c r="CN52">
        <v>35000</v>
      </c>
      <c r="CO52">
        <v>72</v>
      </c>
      <c r="CP52">
        <v>23000</v>
      </c>
      <c r="CQ52">
        <v>73</v>
      </c>
      <c r="CR52">
        <v>67000</v>
      </c>
      <c r="CS52" s="5">
        <v>0</v>
      </c>
      <c r="CU52" s="5">
        <v>0</v>
      </c>
      <c r="CW52" s="5">
        <v>0</v>
      </c>
      <c r="CY52">
        <v>44</v>
      </c>
      <c r="CZ52">
        <v>7.8</v>
      </c>
      <c r="DA52">
        <v>55.5</v>
      </c>
      <c r="DB52">
        <v>9643</v>
      </c>
      <c r="DC52">
        <v>65.703000000000003</v>
      </c>
      <c r="DD52">
        <v>39.408999999999999</v>
      </c>
      <c r="DE52">
        <v>4.0000000000000001E-3</v>
      </c>
      <c r="DF52">
        <v>8897.5</v>
      </c>
      <c r="DH52">
        <v>263.60000000000002</v>
      </c>
      <c r="DI52">
        <v>96940</v>
      </c>
      <c r="DJ52">
        <v>20.100000000000001</v>
      </c>
      <c r="DK52">
        <v>43</v>
      </c>
      <c r="DN52" s="23"/>
      <c r="DO52">
        <v>0</v>
      </c>
      <c r="DP52" t="s">
        <v>286</v>
      </c>
    </row>
    <row r="53" spans="1:120" x14ac:dyDescent="0.3">
      <c r="A53" s="2">
        <v>41592</v>
      </c>
      <c r="B53" s="21">
        <f t="shared" si="1"/>
        <v>44</v>
      </c>
      <c r="C53" s="36"/>
      <c r="D53" s="71">
        <v>0.01</v>
      </c>
      <c r="E53" s="74">
        <v>190800</v>
      </c>
      <c r="F53" s="10">
        <v>116700</v>
      </c>
      <c r="G53" s="10">
        <f t="shared" si="3"/>
        <v>74100</v>
      </c>
      <c r="U53" s="74">
        <v>3705</v>
      </c>
      <c r="AF53" s="80">
        <v>2546</v>
      </c>
      <c r="AG53" s="80">
        <v>25.9</v>
      </c>
      <c r="AH53" s="80">
        <v>75</v>
      </c>
      <c r="AI53" s="80">
        <v>1.7050000000000001</v>
      </c>
      <c r="AJ53" s="10">
        <v>0.59416666666666673</v>
      </c>
      <c r="AK53" s="10">
        <v>2.0720833333333331</v>
      </c>
      <c r="AL53">
        <v>1480</v>
      </c>
      <c r="AP53">
        <v>63033</v>
      </c>
      <c r="AQ53" s="10">
        <f t="shared" si="4"/>
        <v>193025</v>
      </c>
      <c r="AX53" s="10">
        <v>2.74</v>
      </c>
      <c r="AZ53" s="10">
        <v>191.24600000000001</v>
      </c>
      <c r="BA53" s="10">
        <v>9.6029999999999998</v>
      </c>
      <c r="BB53">
        <v>3.31</v>
      </c>
      <c r="BD53">
        <v>231</v>
      </c>
      <c r="BE53">
        <v>7.8209999999999997</v>
      </c>
      <c r="BF53" s="10">
        <v>2.92</v>
      </c>
      <c r="BH53" s="10">
        <v>170.16</v>
      </c>
      <c r="BI53" s="10">
        <v>4.6100000000000003</v>
      </c>
      <c r="BJ53">
        <v>4.07</v>
      </c>
      <c r="BL53">
        <v>111</v>
      </c>
      <c r="BM53">
        <v>723</v>
      </c>
      <c r="BN53">
        <v>5.9240000000000004</v>
      </c>
      <c r="BO53" s="10">
        <v>14.664</v>
      </c>
      <c r="BP53">
        <v>74100</v>
      </c>
      <c r="CB53">
        <v>12</v>
      </c>
      <c r="CC53">
        <v>10030</v>
      </c>
      <c r="CD53">
        <v>2082</v>
      </c>
      <c r="CE53">
        <v>2897</v>
      </c>
      <c r="CF53">
        <v>2566</v>
      </c>
      <c r="CG53">
        <v>2753</v>
      </c>
      <c r="CH53">
        <v>4953</v>
      </c>
      <c r="CI53">
        <v>13169</v>
      </c>
      <c r="CK53">
        <v>0</v>
      </c>
      <c r="CL53">
        <v>23000</v>
      </c>
      <c r="CM53">
        <v>0</v>
      </c>
      <c r="CN53">
        <v>35000</v>
      </c>
      <c r="CO53">
        <v>72</v>
      </c>
      <c r="CP53">
        <v>23000</v>
      </c>
      <c r="CQ53">
        <v>38</v>
      </c>
      <c r="CR53">
        <v>67000</v>
      </c>
      <c r="CS53" s="5">
        <v>0</v>
      </c>
      <c r="CU53" s="5">
        <v>0</v>
      </c>
      <c r="CW53" s="5">
        <v>0</v>
      </c>
      <c r="CY53">
        <v>44</v>
      </c>
      <c r="CZ53">
        <v>0</v>
      </c>
      <c r="DA53">
        <v>51.8</v>
      </c>
      <c r="DB53">
        <v>9617</v>
      </c>
      <c r="DC53">
        <v>65.956999999999994</v>
      </c>
      <c r="DD53">
        <v>39.159999999999997</v>
      </c>
      <c r="DE53">
        <v>6.0000000000000001E-3</v>
      </c>
      <c r="DF53">
        <v>9008.75</v>
      </c>
      <c r="DH53">
        <v>158</v>
      </c>
      <c r="DI53">
        <v>102160</v>
      </c>
      <c r="DJ53">
        <v>20.100000000000001</v>
      </c>
      <c r="DK53">
        <v>43</v>
      </c>
      <c r="DN53" s="23"/>
      <c r="DO53">
        <v>0</v>
      </c>
      <c r="DP53" t="s">
        <v>286</v>
      </c>
    </row>
    <row r="54" spans="1:120" x14ac:dyDescent="0.3">
      <c r="A54" s="2">
        <v>41593</v>
      </c>
      <c r="B54" s="21">
        <f t="shared" si="1"/>
        <v>45</v>
      </c>
      <c r="C54" s="36"/>
      <c r="D54" s="71">
        <v>6.44</v>
      </c>
      <c r="E54" s="74">
        <v>218767</v>
      </c>
      <c r="F54" s="10">
        <v>81000</v>
      </c>
      <c r="G54" s="10">
        <f t="shared" si="3"/>
        <v>137767</v>
      </c>
      <c r="N54">
        <v>4379</v>
      </c>
      <c r="U54" s="74">
        <v>3953.6</v>
      </c>
      <c r="AI54" s="80">
        <v>0.70699999999999996</v>
      </c>
      <c r="AJ54" s="10">
        <v>0.37333333333333329</v>
      </c>
      <c r="AK54" s="10">
        <v>1.7316666666666662</v>
      </c>
      <c r="AL54">
        <v>1428</v>
      </c>
      <c r="AP54">
        <v>101500</v>
      </c>
      <c r="AQ54" s="10">
        <f t="shared" si="4"/>
        <v>221292.6</v>
      </c>
      <c r="AX54" s="10">
        <v>2.9169999999999998</v>
      </c>
      <c r="AZ54" s="10">
        <v>198.06</v>
      </c>
      <c r="BA54" s="10">
        <v>9.2110000000000003</v>
      </c>
      <c r="BB54">
        <v>3.028</v>
      </c>
      <c r="BD54">
        <v>241</v>
      </c>
      <c r="BE54">
        <v>7.3</v>
      </c>
      <c r="BF54" s="10">
        <v>3.2090000000000001</v>
      </c>
      <c r="BH54" s="10">
        <v>181.20699999999999</v>
      </c>
      <c r="BI54" s="10">
        <v>4.3890000000000002</v>
      </c>
      <c r="BJ54">
        <v>3.512</v>
      </c>
      <c r="BM54">
        <v>744</v>
      </c>
      <c r="BN54">
        <v>5.6760000000000002</v>
      </c>
      <c r="BO54" s="10">
        <v>14.273</v>
      </c>
      <c r="BP54">
        <v>137767</v>
      </c>
      <c r="CB54">
        <v>16</v>
      </c>
      <c r="CC54">
        <v>22526</v>
      </c>
      <c r="CD54">
        <v>2261</v>
      </c>
      <c r="CE54">
        <v>3435</v>
      </c>
      <c r="CF54">
        <v>3302</v>
      </c>
      <c r="CG54">
        <v>3386</v>
      </c>
      <c r="CH54">
        <v>6989</v>
      </c>
      <c r="CI54">
        <v>17112</v>
      </c>
      <c r="CK54">
        <v>0</v>
      </c>
      <c r="CL54">
        <v>23000</v>
      </c>
      <c r="CM54">
        <v>0</v>
      </c>
      <c r="CN54">
        <v>35000</v>
      </c>
      <c r="CO54">
        <v>72</v>
      </c>
      <c r="CP54">
        <v>23000</v>
      </c>
      <c r="CQ54">
        <v>69</v>
      </c>
      <c r="CR54">
        <v>67000</v>
      </c>
      <c r="CS54" s="5">
        <v>0</v>
      </c>
      <c r="CU54" s="5">
        <v>0</v>
      </c>
      <c r="CW54" s="5">
        <v>0</v>
      </c>
      <c r="CY54">
        <v>38</v>
      </c>
      <c r="CZ54">
        <v>3.8</v>
      </c>
      <c r="DA54">
        <v>51.8</v>
      </c>
      <c r="DB54">
        <v>8458</v>
      </c>
      <c r="DC54">
        <v>64.772000000000006</v>
      </c>
      <c r="DD54">
        <v>39.728999999999999</v>
      </c>
      <c r="DE54">
        <v>4.0000000000000001E-3</v>
      </c>
      <c r="DF54">
        <v>6565.5</v>
      </c>
      <c r="DH54">
        <v>201</v>
      </c>
      <c r="DI54">
        <v>69400</v>
      </c>
      <c r="DJ54">
        <v>20.100000000000001</v>
      </c>
      <c r="DK54">
        <v>43</v>
      </c>
      <c r="DN54" s="23"/>
      <c r="DO54">
        <v>0</v>
      </c>
      <c r="DP54" t="s">
        <v>286</v>
      </c>
    </row>
    <row r="55" spans="1:120" x14ac:dyDescent="0.3">
      <c r="A55" s="2">
        <v>41594</v>
      </c>
      <c r="B55" s="21">
        <f t="shared" si="1"/>
        <v>46</v>
      </c>
      <c r="C55" s="36"/>
      <c r="D55" s="71">
        <v>0</v>
      </c>
      <c r="E55" s="74">
        <v>190383</v>
      </c>
      <c r="F55" s="10">
        <v>119100</v>
      </c>
      <c r="G55" s="10">
        <f t="shared" si="3"/>
        <v>71283</v>
      </c>
      <c r="H55" s="80">
        <v>486</v>
      </c>
      <c r="J55" s="80">
        <v>45.2</v>
      </c>
      <c r="K55" s="80">
        <v>8.98</v>
      </c>
      <c r="M55" s="10">
        <v>329055</v>
      </c>
      <c r="P55" s="80">
        <v>200</v>
      </c>
      <c r="R55" s="80">
        <v>18</v>
      </c>
      <c r="S55" s="80">
        <v>3.7</v>
      </c>
      <c r="U55" s="74">
        <v>4529.2</v>
      </c>
      <c r="AI55" s="80">
        <v>0.35699999999999998</v>
      </c>
      <c r="AJ55" s="10">
        <v>0.35125000000000006</v>
      </c>
      <c r="AK55" s="10">
        <v>1.4841666666666669</v>
      </c>
      <c r="AL55">
        <v>1685</v>
      </c>
      <c r="AP55">
        <v>81325</v>
      </c>
      <c r="AQ55" s="10">
        <f t="shared" si="4"/>
        <v>193227.2</v>
      </c>
      <c r="AR55" s="80">
        <v>65</v>
      </c>
      <c r="AT55" s="80">
        <v>15</v>
      </c>
      <c r="AU55" s="80">
        <v>1.1599999999999999</v>
      </c>
      <c r="AV55" s="80">
        <v>32</v>
      </c>
      <c r="AX55" s="10">
        <v>2.9790000000000001</v>
      </c>
      <c r="AZ55" s="10">
        <v>199</v>
      </c>
      <c r="BA55" s="10">
        <v>8.8610000000000007</v>
      </c>
      <c r="BB55">
        <v>3.052</v>
      </c>
      <c r="BD55">
        <v>240</v>
      </c>
      <c r="BE55">
        <v>7.6189999999999998</v>
      </c>
      <c r="BF55" s="10">
        <v>2.9670000000000001</v>
      </c>
      <c r="BH55" s="10">
        <v>204.197</v>
      </c>
      <c r="BI55" s="10">
        <v>3.786</v>
      </c>
      <c r="BJ55">
        <v>3.5720000000000001</v>
      </c>
      <c r="BM55">
        <v>754</v>
      </c>
      <c r="BN55">
        <v>5.585</v>
      </c>
      <c r="BO55" s="10">
        <v>14.164999999999999</v>
      </c>
      <c r="BP55">
        <v>71283</v>
      </c>
      <c r="BR55">
        <v>29</v>
      </c>
      <c r="BS55">
        <v>2</v>
      </c>
      <c r="BT55">
        <v>1.7</v>
      </c>
      <c r="BU55">
        <v>0.31</v>
      </c>
      <c r="BV55">
        <v>3.5000000000000003E-2</v>
      </c>
      <c r="BW55">
        <v>7.7</v>
      </c>
      <c r="BX55">
        <v>0.43</v>
      </c>
      <c r="BY55">
        <v>0.54</v>
      </c>
      <c r="BZ55" s="15">
        <v>4</v>
      </c>
      <c r="CA55">
        <v>0.7</v>
      </c>
      <c r="CB55">
        <v>11.75</v>
      </c>
      <c r="CC55">
        <v>12029</v>
      </c>
      <c r="CD55">
        <v>2375</v>
      </c>
      <c r="CE55">
        <v>2710</v>
      </c>
      <c r="CF55">
        <v>2670</v>
      </c>
      <c r="CG55">
        <v>2506</v>
      </c>
      <c r="CH55">
        <v>5220</v>
      </c>
      <c r="CI55">
        <v>13106</v>
      </c>
      <c r="CK55">
        <v>0</v>
      </c>
      <c r="CL55">
        <v>23000</v>
      </c>
      <c r="CM55">
        <v>0</v>
      </c>
      <c r="CN55">
        <v>35000</v>
      </c>
      <c r="CO55">
        <v>0</v>
      </c>
      <c r="CP55">
        <v>23000</v>
      </c>
      <c r="CQ55">
        <v>69</v>
      </c>
      <c r="CR55">
        <v>67000</v>
      </c>
      <c r="CS55" s="5">
        <v>0</v>
      </c>
      <c r="CU55" s="5">
        <v>0</v>
      </c>
      <c r="CW55" s="5">
        <v>0</v>
      </c>
      <c r="CY55">
        <v>45.6</v>
      </c>
      <c r="CZ55">
        <v>7.6</v>
      </c>
      <c r="DA55">
        <v>48.1</v>
      </c>
      <c r="DB55">
        <v>9083</v>
      </c>
      <c r="DC55">
        <v>66.313000000000002</v>
      </c>
      <c r="DD55">
        <v>38.942999999999998</v>
      </c>
      <c r="DE55">
        <v>5.0000000000000001E-3</v>
      </c>
      <c r="DF55">
        <v>8810.75</v>
      </c>
      <c r="DH55">
        <v>258.60000000000002</v>
      </c>
      <c r="DI55">
        <v>100600</v>
      </c>
      <c r="DJ55">
        <v>20.100000000000001</v>
      </c>
      <c r="DK55">
        <v>43</v>
      </c>
      <c r="DN55" s="23"/>
      <c r="DO55">
        <v>0</v>
      </c>
      <c r="DP55" t="s">
        <v>286</v>
      </c>
    </row>
    <row r="56" spans="1:120" x14ac:dyDescent="0.3">
      <c r="A56" s="2">
        <v>41595</v>
      </c>
      <c r="B56" s="21">
        <f t="shared" si="1"/>
        <v>47</v>
      </c>
      <c r="C56" s="36"/>
      <c r="D56" s="71">
        <v>0</v>
      </c>
      <c r="E56" s="74">
        <v>181550</v>
      </c>
      <c r="F56" s="10">
        <v>119300</v>
      </c>
      <c r="G56" s="10">
        <f t="shared" si="3"/>
        <v>62250</v>
      </c>
      <c r="U56" s="74">
        <v>4314.3500000000004</v>
      </c>
      <c r="AI56" s="80">
        <v>1.6E-2</v>
      </c>
      <c r="AJ56" s="10">
        <v>0.35041666666666665</v>
      </c>
      <c r="AK56" s="10">
        <v>1.5420833333333335</v>
      </c>
      <c r="AL56">
        <v>1848</v>
      </c>
      <c r="AP56">
        <v>92008</v>
      </c>
      <c r="AQ56" s="10">
        <f t="shared" si="4"/>
        <v>184016.35</v>
      </c>
      <c r="AX56" s="10">
        <v>2.9180000000000001</v>
      </c>
      <c r="AZ56" s="10">
        <v>190</v>
      </c>
      <c r="BA56" s="10">
        <v>9.4949999999999992</v>
      </c>
      <c r="BB56">
        <v>2.9889999999999999</v>
      </c>
      <c r="BD56">
        <v>241</v>
      </c>
      <c r="BE56">
        <v>7.4050000000000002</v>
      </c>
      <c r="BF56" s="10">
        <v>3.1779999999999999</v>
      </c>
      <c r="BH56" s="10">
        <v>180.35400000000001</v>
      </c>
      <c r="BI56" s="10">
        <v>3.923</v>
      </c>
      <c r="BJ56">
        <v>3.5720000000000001</v>
      </c>
      <c r="BM56">
        <v>763</v>
      </c>
      <c r="BN56">
        <v>5.4130000000000003</v>
      </c>
      <c r="BO56" s="10">
        <v>14.494</v>
      </c>
      <c r="BP56">
        <v>62250</v>
      </c>
      <c r="CB56">
        <v>5.25</v>
      </c>
      <c r="CC56">
        <v>9235</v>
      </c>
      <c r="CD56">
        <v>2620</v>
      </c>
      <c r="CE56">
        <v>2768</v>
      </c>
      <c r="CF56">
        <v>2642.5</v>
      </c>
      <c r="CG56">
        <v>2606</v>
      </c>
      <c r="CH56">
        <v>5326</v>
      </c>
      <c r="CI56">
        <v>13343</v>
      </c>
      <c r="CK56">
        <v>0</v>
      </c>
      <c r="CL56">
        <v>23000</v>
      </c>
      <c r="CM56">
        <v>0</v>
      </c>
      <c r="CN56">
        <v>35000</v>
      </c>
      <c r="CO56">
        <v>0</v>
      </c>
      <c r="CP56">
        <v>23000</v>
      </c>
      <c r="CQ56">
        <v>0</v>
      </c>
      <c r="CR56">
        <v>67000</v>
      </c>
      <c r="CS56" s="5">
        <v>0</v>
      </c>
      <c r="CU56" s="5">
        <v>0</v>
      </c>
      <c r="CW56" s="5">
        <v>0</v>
      </c>
      <c r="CY56">
        <v>38</v>
      </c>
      <c r="CZ56">
        <v>11.4</v>
      </c>
      <c r="DA56">
        <v>51.8</v>
      </c>
      <c r="DB56">
        <v>10246</v>
      </c>
      <c r="DC56">
        <v>66.456000000000003</v>
      </c>
      <c r="DD56">
        <v>38.923999999999999</v>
      </c>
      <c r="DE56">
        <v>4.0000000000000001E-3</v>
      </c>
      <c r="DF56">
        <v>9890.75</v>
      </c>
      <c r="DH56">
        <v>187.8</v>
      </c>
      <c r="DI56">
        <v>69720</v>
      </c>
      <c r="DJ56">
        <v>20.100000000000001</v>
      </c>
      <c r="DK56">
        <v>43</v>
      </c>
      <c r="DN56" s="23"/>
      <c r="DO56">
        <v>0</v>
      </c>
      <c r="DP56" t="s">
        <v>286</v>
      </c>
    </row>
    <row r="57" spans="1:120" x14ac:dyDescent="0.3">
      <c r="A57" s="2">
        <v>41596</v>
      </c>
      <c r="B57" s="21">
        <f t="shared" si="1"/>
        <v>48</v>
      </c>
      <c r="C57" s="36"/>
      <c r="D57" s="71">
        <v>0</v>
      </c>
      <c r="E57" s="74">
        <v>179700</v>
      </c>
      <c r="F57" s="10">
        <v>119100</v>
      </c>
      <c r="G57" s="10">
        <f t="shared" si="3"/>
        <v>60600</v>
      </c>
      <c r="U57" s="74">
        <v>4500</v>
      </c>
      <c r="AF57" s="80">
        <v>3010</v>
      </c>
      <c r="AG57" s="80">
        <v>23.1</v>
      </c>
      <c r="AH57" s="80">
        <v>66</v>
      </c>
      <c r="AI57" s="80">
        <v>0.08</v>
      </c>
      <c r="AJ57" s="10">
        <v>0.3429166666666667</v>
      </c>
      <c r="AK57" s="10">
        <v>1.5312499999999993</v>
      </c>
      <c r="AL57">
        <v>2036</v>
      </c>
      <c r="AP57">
        <v>83134</v>
      </c>
      <c r="AQ57" s="10">
        <f t="shared" si="4"/>
        <v>182164</v>
      </c>
      <c r="AX57" s="10">
        <v>2.91</v>
      </c>
      <c r="AZ57" s="10">
        <v>180</v>
      </c>
      <c r="BA57" s="10">
        <v>9.9770000000000003</v>
      </c>
      <c r="BB57">
        <v>2.66</v>
      </c>
      <c r="BD57">
        <v>241.244</v>
      </c>
      <c r="BE57">
        <v>6.9930000000000003</v>
      </c>
      <c r="BF57" s="10">
        <v>2.89</v>
      </c>
      <c r="BH57" s="10">
        <v>197.08199999999999</v>
      </c>
      <c r="BI57" s="10">
        <v>3.9870000000000001</v>
      </c>
      <c r="BJ57">
        <v>3.51</v>
      </c>
      <c r="BL57">
        <v>111</v>
      </c>
      <c r="BM57">
        <v>773</v>
      </c>
      <c r="BN57">
        <v>5.2409999999999997</v>
      </c>
      <c r="BO57" s="10">
        <v>14.627000000000001</v>
      </c>
      <c r="BP57">
        <v>60600</v>
      </c>
      <c r="CB57">
        <v>10</v>
      </c>
      <c r="CC57">
        <v>10304</v>
      </c>
      <c r="CD57">
        <v>2392</v>
      </c>
      <c r="CE57">
        <v>2672</v>
      </c>
      <c r="CF57">
        <v>2619.5</v>
      </c>
      <c r="CG57">
        <v>2526.5</v>
      </c>
      <c r="CH57">
        <v>5110</v>
      </c>
      <c r="CI57">
        <v>12928</v>
      </c>
      <c r="CK57">
        <v>0</v>
      </c>
      <c r="CL57">
        <v>23000</v>
      </c>
      <c r="CM57">
        <v>0</v>
      </c>
      <c r="CN57">
        <v>35000</v>
      </c>
      <c r="CO57">
        <v>0</v>
      </c>
      <c r="CP57">
        <v>23000</v>
      </c>
      <c r="CQ57">
        <v>0</v>
      </c>
      <c r="CR57">
        <v>67000</v>
      </c>
      <c r="CS57" s="5">
        <v>0</v>
      </c>
      <c r="CU57" s="5">
        <v>0</v>
      </c>
      <c r="CW57" s="5">
        <v>0</v>
      </c>
      <c r="CY57">
        <v>49.4</v>
      </c>
      <c r="CZ57">
        <v>22.8</v>
      </c>
      <c r="DA57">
        <v>51.8</v>
      </c>
      <c r="DB57">
        <v>9619</v>
      </c>
      <c r="DC57">
        <v>64.37</v>
      </c>
      <c r="DD57">
        <v>40.093000000000004</v>
      </c>
      <c r="DE57">
        <v>5.0000000000000001E-3</v>
      </c>
      <c r="DF57">
        <v>9270.75</v>
      </c>
      <c r="DH57">
        <v>178.8</v>
      </c>
      <c r="DI57">
        <v>0</v>
      </c>
      <c r="DJ57">
        <v>20.100000000000001</v>
      </c>
      <c r="DK57">
        <v>43</v>
      </c>
      <c r="DN57" s="23"/>
      <c r="DO57">
        <v>0</v>
      </c>
      <c r="DP57" t="s">
        <v>286</v>
      </c>
    </row>
    <row r="58" spans="1:120" x14ac:dyDescent="0.3">
      <c r="A58" s="2">
        <v>41597</v>
      </c>
      <c r="B58" s="21">
        <f t="shared" si="1"/>
        <v>49</v>
      </c>
      <c r="C58" s="36"/>
      <c r="D58" s="71">
        <v>0.56999999999999995</v>
      </c>
      <c r="E58" s="74">
        <v>193433</v>
      </c>
      <c r="F58" s="10">
        <v>119000</v>
      </c>
      <c r="G58" s="10">
        <f t="shared" si="3"/>
        <v>74433</v>
      </c>
      <c r="U58" s="74">
        <v>4956.75</v>
      </c>
      <c r="AI58" s="80">
        <v>0.78500000000000003</v>
      </c>
      <c r="AJ58" s="10">
        <v>0.31166666666666676</v>
      </c>
      <c r="AK58" s="10">
        <v>1.5141666666666664</v>
      </c>
      <c r="AL58">
        <v>2036</v>
      </c>
      <c r="AP58">
        <v>79433</v>
      </c>
      <c r="AQ58" s="10">
        <f t="shared" si="4"/>
        <v>196353.75</v>
      </c>
      <c r="AX58" s="10">
        <v>2.95</v>
      </c>
      <c r="AZ58" s="10">
        <v>161</v>
      </c>
      <c r="BA58" s="10">
        <v>7.69</v>
      </c>
      <c r="BB58">
        <v>2.6389999999999998</v>
      </c>
      <c r="BD58">
        <v>231.33699999999999</v>
      </c>
      <c r="BE58">
        <v>6.8819999999999997</v>
      </c>
      <c r="BF58" s="10">
        <v>2.61</v>
      </c>
      <c r="BH58" s="10">
        <v>198</v>
      </c>
      <c r="BI58" s="10">
        <v>4.5830000000000002</v>
      </c>
      <c r="BJ58">
        <v>3.355</v>
      </c>
      <c r="BM58">
        <v>782</v>
      </c>
      <c r="BN58">
        <v>5.3230000000000004</v>
      </c>
      <c r="BO58" s="10">
        <v>14.566000000000001</v>
      </c>
      <c r="BP58">
        <v>74433</v>
      </c>
      <c r="CB58">
        <v>11.73</v>
      </c>
      <c r="CC58">
        <v>14178</v>
      </c>
      <c r="CD58">
        <v>2302</v>
      </c>
      <c r="CE58">
        <v>2416.5</v>
      </c>
      <c r="CF58">
        <v>3585</v>
      </c>
      <c r="CG58">
        <v>3401.5</v>
      </c>
      <c r="CH58">
        <v>6876</v>
      </c>
      <c r="CI58">
        <v>16279</v>
      </c>
      <c r="CK58">
        <v>0</v>
      </c>
      <c r="CL58">
        <v>23000</v>
      </c>
      <c r="CM58">
        <v>71</v>
      </c>
      <c r="CN58">
        <v>35000</v>
      </c>
      <c r="CO58">
        <v>0</v>
      </c>
      <c r="CP58">
        <v>23000</v>
      </c>
      <c r="CQ58">
        <v>69</v>
      </c>
      <c r="CR58">
        <v>67000</v>
      </c>
      <c r="CS58" s="5">
        <v>0</v>
      </c>
      <c r="CU58" s="5">
        <v>0</v>
      </c>
      <c r="CW58" s="5">
        <v>0</v>
      </c>
      <c r="CY58">
        <v>46.8</v>
      </c>
      <c r="CZ58">
        <v>20</v>
      </c>
      <c r="DA58">
        <v>54</v>
      </c>
      <c r="DB58">
        <v>8958</v>
      </c>
      <c r="DC58">
        <v>64.486000000000004</v>
      </c>
      <c r="DD58">
        <v>39.332999999999998</v>
      </c>
      <c r="DE58">
        <v>4.0000000000000001E-3</v>
      </c>
      <c r="DF58">
        <v>9030.75</v>
      </c>
      <c r="DH58">
        <v>235.8</v>
      </c>
      <c r="DI58">
        <v>100480</v>
      </c>
      <c r="DJ58">
        <v>20.100000000000001</v>
      </c>
      <c r="DK58">
        <v>43</v>
      </c>
      <c r="DN58" s="23"/>
      <c r="DO58">
        <v>0</v>
      </c>
      <c r="DP58" t="s">
        <v>286</v>
      </c>
    </row>
    <row r="59" spans="1:120" x14ac:dyDescent="0.3">
      <c r="A59" s="2">
        <v>41598</v>
      </c>
      <c r="B59" s="21">
        <f t="shared" si="1"/>
        <v>50</v>
      </c>
      <c r="C59" s="36"/>
      <c r="D59" s="71">
        <v>1.59</v>
      </c>
      <c r="E59" s="74">
        <v>205042</v>
      </c>
      <c r="F59" s="10">
        <v>118600</v>
      </c>
      <c r="G59" s="10">
        <f t="shared" si="3"/>
        <v>86442</v>
      </c>
      <c r="U59" s="74">
        <v>4345.3500000000004</v>
      </c>
      <c r="AI59" s="80">
        <v>0.435</v>
      </c>
      <c r="AJ59" s="10">
        <v>0.27666666666666667</v>
      </c>
      <c r="AK59" s="10">
        <v>1.6833333333333333</v>
      </c>
      <c r="AL59">
        <v>1668.375</v>
      </c>
      <c r="AN59" s="80">
        <v>8285</v>
      </c>
      <c r="AP59">
        <v>98650</v>
      </c>
      <c r="AQ59" s="10">
        <f t="shared" si="4"/>
        <v>207718.97500000001</v>
      </c>
      <c r="AX59" s="10">
        <v>2.7040000000000002</v>
      </c>
      <c r="AZ59" s="10">
        <v>160</v>
      </c>
      <c r="BA59" s="10">
        <v>7.8120000000000003</v>
      </c>
      <c r="BB59">
        <v>2.7770000000000001</v>
      </c>
      <c r="BD59">
        <v>200.31100000000001</v>
      </c>
      <c r="BE59">
        <v>7.1109999999999998</v>
      </c>
      <c r="BF59" s="10">
        <v>2.9609999999999999</v>
      </c>
      <c r="BH59" s="10">
        <v>171</v>
      </c>
      <c r="BI59" s="10">
        <v>4.1630000000000003</v>
      </c>
      <c r="BJ59">
        <v>3.258</v>
      </c>
      <c r="BM59">
        <v>773</v>
      </c>
      <c r="BN59">
        <v>5.1280000000000001</v>
      </c>
      <c r="BO59" s="10">
        <v>14.414999999999999</v>
      </c>
      <c r="BP59">
        <v>86442</v>
      </c>
      <c r="CB59">
        <v>12.27</v>
      </c>
      <c r="CC59">
        <v>14176</v>
      </c>
      <c r="CD59">
        <v>2746</v>
      </c>
      <c r="CE59">
        <v>3209.5</v>
      </c>
      <c r="CF59">
        <v>3263</v>
      </c>
      <c r="CG59">
        <v>3206.5</v>
      </c>
      <c r="CH59">
        <v>6713</v>
      </c>
      <c r="CI59">
        <v>16392</v>
      </c>
      <c r="CK59">
        <v>0</v>
      </c>
      <c r="CL59">
        <v>23000</v>
      </c>
      <c r="CM59">
        <v>72</v>
      </c>
      <c r="CN59">
        <v>35000</v>
      </c>
      <c r="CO59">
        <v>0</v>
      </c>
      <c r="CP59">
        <v>23000</v>
      </c>
      <c r="CQ59">
        <v>68</v>
      </c>
      <c r="CR59">
        <v>67000</v>
      </c>
      <c r="CS59" s="5">
        <v>0</v>
      </c>
      <c r="CU59" s="5">
        <v>0</v>
      </c>
      <c r="CW59" s="5">
        <v>0</v>
      </c>
      <c r="CY59">
        <v>46.8</v>
      </c>
      <c r="CZ59">
        <v>16</v>
      </c>
      <c r="DA59">
        <v>61.2</v>
      </c>
      <c r="DB59">
        <v>9511</v>
      </c>
      <c r="DC59">
        <v>65.929000000000002</v>
      </c>
      <c r="DD59">
        <v>38.152000000000001</v>
      </c>
      <c r="DE59">
        <v>4.0000000000000001E-3</v>
      </c>
      <c r="DF59">
        <v>9185.75</v>
      </c>
      <c r="DH59">
        <v>207.2</v>
      </c>
      <c r="DI59">
        <v>133340</v>
      </c>
      <c r="DJ59">
        <v>21.1</v>
      </c>
      <c r="DK59">
        <v>39</v>
      </c>
      <c r="DN59" s="23"/>
      <c r="DO59">
        <v>0</v>
      </c>
      <c r="DP59" t="s">
        <v>286</v>
      </c>
    </row>
    <row r="60" spans="1:120" x14ac:dyDescent="0.3">
      <c r="A60" s="2">
        <v>41599</v>
      </c>
      <c r="B60" s="21">
        <f t="shared" si="1"/>
        <v>51</v>
      </c>
      <c r="C60" s="36"/>
      <c r="D60" s="71">
        <v>2.5</v>
      </c>
      <c r="E60" s="74">
        <v>222025</v>
      </c>
      <c r="F60" s="10">
        <v>124700</v>
      </c>
      <c r="G60" s="10">
        <f t="shared" si="3"/>
        <v>97325</v>
      </c>
      <c r="N60">
        <v>4214</v>
      </c>
      <c r="U60" s="74">
        <v>3179.05</v>
      </c>
      <c r="AF60" s="80">
        <v>2734</v>
      </c>
      <c r="AG60" s="80">
        <v>22.9</v>
      </c>
      <c r="AH60" s="80">
        <v>69</v>
      </c>
      <c r="AI60" s="80">
        <v>0.36099999999999999</v>
      </c>
      <c r="AJ60" s="10">
        <v>0.42958333333333337</v>
      </c>
      <c r="AK60" s="10">
        <v>1.4829166666666669</v>
      </c>
      <c r="AL60">
        <v>1177.625</v>
      </c>
      <c r="AP60">
        <v>101221</v>
      </c>
      <c r="AQ60" s="10">
        <f t="shared" si="4"/>
        <v>224026.42499999999</v>
      </c>
      <c r="AX60" s="10">
        <v>2.98</v>
      </c>
      <c r="AZ60" s="10">
        <v>103</v>
      </c>
      <c r="BA60" s="10">
        <v>8.5340000000000007</v>
      </c>
      <c r="BB60">
        <v>2.73</v>
      </c>
      <c r="BD60">
        <v>142.108</v>
      </c>
      <c r="BE60">
        <v>7.3470000000000004</v>
      </c>
      <c r="BF60" s="10">
        <v>3.14</v>
      </c>
      <c r="BH60" s="10">
        <v>124</v>
      </c>
      <c r="BI60" s="10">
        <v>3.7269999999999999</v>
      </c>
      <c r="BJ60">
        <v>3.44</v>
      </c>
      <c r="BL60">
        <v>105</v>
      </c>
      <c r="BM60">
        <v>589</v>
      </c>
      <c r="BN60">
        <v>5.01</v>
      </c>
      <c r="BO60" s="10">
        <v>13.933999999999999</v>
      </c>
      <c r="BP60">
        <v>97325</v>
      </c>
      <c r="CB60">
        <v>13</v>
      </c>
      <c r="CC60">
        <v>16583</v>
      </c>
      <c r="CD60">
        <v>2489</v>
      </c>
      <c r="CE60">
        <v>3422</v>
      </c>
      <c r="CF60">
        <v>3450</v>
      </c>
      <c r="CG60">
        <v>3289.5</v>
      </c>
      <c r="CH60">
        <v>7043</v>
      </c>
      <c r="CI60">
        <v>17205</v>
      </c>
      <c r="CK60">
        <v>0</v>
      </c>
      <c r="CL60">
        <v>23000</v>
      </c>
      <c r="CM60">
        <v>71</v>
      </c>
      <c r="CN60">
        <v>35000</v>
      </c>
      <c r="CO60">
        <v>0</v>
      </c>
      <c r="CP60">
        <v>23000</v>
      </c>
      <c r="CQ60">
        <v>35</v>
      </c>
      <c r="CR60">
        <v>67000</v>
      </c>
      <c r="CS60" s="5">
        <v>0</v>
      </c>
      <c r="CU60" s="5">
        <v>0</v>
      </c>
      <c r="CW60" s="5">
        <v>0</v>
      </c>
      <c r="CY60">
        <v>39</v>
      </c>
      <c r="CZ60">
        <v>4</v>
      </c>
      <c r="DA60">
        <v>32.4</v>
      </c>
      <c r="DB60">
        <v>9082</v>
      </c>
      <c r="DC60">
        <v>64.173000000000002</v>
      </c>
      <c r="DD60">
        <v>39.073999999999998</v>
      </c>
      <c r="DE60">
        <v>4.0000000000000001E-3</v>
      </c>
      <c r="DF60">
        <v>8785.5</v>
      </c>
      <c r="DH60">
        <v>150.6</v>
      </c>
      <c r="DI60">
        <v>66380</v>
      </c>
      <c r="DJ60">
        <v>21.1</v>
      </c>
      <c r="DK60">
        <v>39</v>
      </c>
      <c r="DL60">
        <v>1</v>
      </c>
      <c r="DM60">
        <v>10360</v>
      </c>
      <c r="DN60" s="23"/>
      <c r="DO60">
        <v>0</v>
      </c>
      <c r="DP60" t="s">
        <v>286</v>
      </c>
    </row>
    <row r="61" spans="1:120" x14ac:dyDescent="0.3">
      <c r="A61" s="2">
        <v>41600</v>
      </c>
      <c r="B61" s="21">
        <f t="shared" si="1"/>
        <v>52</v>
      </c>
      <c r="C61" s="36"/>
      <c r="D61" s="71">
        <v>0</v>
      </c>
      <c r="E61" s="74">
        <v>181125</v>
      </c>
      <c r="F61" s="10">
        <v>117800</v>
      </c>
      <c r="G61" s="10">
        <f t="shared" si="3"/>
        <v>63325</v>
      </c>
      <c r="H61" s="80">
        <v>663</v>
      </c>
      <c r="J61" s="80">
        <v>54</v>
      </c>
      <c r="K61" s="80">
        <v>9.86</v>
      </c>
      <c r="M61" s="10">
        <v>384150</v>
      </c>
      <c r="P61" s="80">
        <v>250</v>
      </c>
      <c r="R61" s="80">
        <v>20</v>
      </c>
      <c r="S61" s="80">
        <v>3.8</v>
      </c>
      <c r="U61" s="74">
        <v>4077.25</v>
      </c>
      <c r="AI61" s="80">
        <v>0.55400000000000005</v>
      </c>
      <c r="AJ61" s="10">
        <v>0.46166666666666667</v>
      </c>
      <c r="AK61" s="10">
        <v>1.4833333333333334</v>
      </c>
      <c r="AL61">
        <v>1797</v>
      </c>
      <c r="AP61">
        <v>73796</v>
      </c>
      <c r="AQ61" s="10">
        <f t="shared" si="4"/>
        <v>183405.25</v>
      </c>
      <c r="AR61" s="80">
        <v>90</v>
      </c>
      <c r="AT61" s="80">
        <v>16</v>
      </c>
      <c r="AU61" s="80">
        <v>1.4</v>
      </c>
      <c r="AV61" s="80">
        <v>26</v>
      </c>
      <c r="AX61" s="10">
        <v>2.8250000000000002</v>
      </c>
      <c r="AY61" s="10">
        <v>26</v>
      </c>
      <c r="AZ61" s="10">
        <v>121.456</v>
      </c>
      <c r="BA61" s="10">
        <v>8.6280000000000001</v>
      </c>
      <c r="BB61">
        <v>2.6659999999999999</v>
      </c>
      <c r="BC61">
        <v>24</v>
      </c>
      <c r="BD61">
        <v>169</v>
      </c>
      <c r="BE61">
        <v>5.9050000000000002</v>
      </c>
      <c r="BF61" s="10">
        <v>3.121</v>
      </c>
      <c r="BG61" s="10">
        <v>22</v>
      </c>
      <c r="BH61" s="10">
        <v>151</v>
      </c>
      <c r="BI61" s="10">
        <v>3.867</v>
      </c>
      <c r="BJ61">
        <v>3.351</v>
      </c>
      <c r="BK61">
        <v>26</v>
      </c>
      <c r="BM61">
        <v>735</v>
      </c>
      <c r="BN61">
        <v>4.9210000000000003</v>
      </c>
      <c r="BO61" s="10">
        <v>13.476000000000001</v>
      </c>
      <c r="BP61">
        <v>63325</v>
      </c>
      <c r="BR61">
        <v>28</v>
      </c>
      <c r="BS61">
        <v>2</v>
      </c>
      <c r="BT61">
        <v>1.7</v>
      </c>
      <c r="BU61">
        <v>0.21</v>
      </c>
      <c r="BV61">
        <v>3.7999999999999999E-2</v>
      </c>
      <c r="BW61">
        <v>8.1</v>
      </c>
      <c r="BX61">
        <v>0.43</v>
      </c>
      <c r="BY61">
        <v>0.54</v>
      </c>
      <c r="BZ61">
        <v>6</v>
      </c>
      <c r="CA61">
        <v>0.54</v>
      </c>
      <c r="CB61">
        <v>10.426</v>
      </c>
      <c r="CC61">
        <v>11350</v>
      </c>
      <c r="CD61">
        <v>2215</v>
      </c>
      <c r="CE61">
        <v>2646</v>
      </c>
      <c r="CF61">
        <v>2544.5</v>
      </c>
      <c r="CG61">
        <v>2442</v>
      </c>
      <c r="CH61">
        <v>4867</v>
      </c>
      <c r="CI61">
        <v>12500</v>
      </c>
      <c r="CK61">
        <v>0</v>
      </c>
      <c r="CL61">
        <v>23000</v>
      </c>
      <c r="CM61">
        <v>0</v>
      </c>
      <c r="CN61">
        <v>35000</v>
      </c>
      <c r="CO61">
        <v>37</v>
      </c>
      <c r="CP61">
        <v>23000</v>
      </c>
      <c r="CQ61">
        <v>69</v>
      </c>
      <c r="CR61">
        <v>67000</v>
      </c>
      <c r="CS61" s="5">
        <v>0</v>
      </c>
      <c r="CU61" s="5">
        <v>0</v>
      </c>
      <c r="CW61" s="5">
        <v>0</v>
      </c>
      <c r="CY61">
        <v>49.4</v>
      </c>
      <c r="CZ61">
        <v>20</v>
      </c>
      <c r="DA61">
        <v>38</v>
      </c>
      <c r="DB61">
        <v>9389</v>
      </c>
      <c r="DC61">
        <v>64.67</v>
      </c>
      <c r="DD61">
        <v>39.142000000000003</v>
      </c>
      <c r="DE61">
        <v>4.0000000000000001E-3</v>
      </c>
      <c r="DF61">
        <v>8365.75</v>
      </c>
      <c r="DH61">
        <v>163.19999999999999</v>
      </c>
      <c r="DI61">
        <v>67480</v>
      </c>
      <c r="DJ61">
        <v>21.1</v>
      </c>
      <c r="DK61">
        <v>39</v>
      </c>
      <c r="DN61" s="23"/>
      <c r="DO61">
        <v>0</v>
      </c>
      <c r="DP61" t="s">
        <v>286</v>
      </c>
    </row>
    <row r="62" spans="1:120" x14ac:dyDescent="0.3">
      <c r="A62" s="2">
        <v>41601</v>
      </c>
      <c r="B62" s="21">
        <f t="shared" si="1"/>
        <v>53</v>
      </c>
      <c r="C62" s="36"/>
      <c r="D62" s="71">
        <v>0</v>
      </c>
      <c r="E62" s="74">
        <v>202775</v>
      </c>
      <c r="F62" s="10">
        <v>143600</v>
      </c>
      <c r="G62" s="10">
        <f t="shared" si="3"/>
        <v>59175</v>
      </c>
      <c r="U62" s="74">
        <v>4069.1</v>
      </c>
      <c r="AI62" s="80">
        <v>0.55900000000000005</v>
      </c>
      <c r="AJ62" s="10">
        <v>0.38541666666666657</v>
      </c>
      <c r="AK62" s="10">
        <v>1.520833333333333</v>
      </c>
      <c r="AL62">
        <v>1526</v>
      </c>
      <c r="AP62">
        <v>71483</v>
      </c>
      <c r="AQ62" s="10">
        <f t="shared" si="4"/>
        <v>205318.1</v>
      </c>
      <c r="AX62" s="10">
        <v>2.7090000000000001</v>
      </c>
      <c r="AZ62" s="10">
        <v>121.211</v>
      </c>
      <c r="BA62" s="10">
        <v>8.5269999999999992</v>
      </c>
      <c r="BB62">
        <v>2.79</v>
      </c>
      <c r="BD62">
        <v>150</v>
      </c>
      <c r="BE62">
        <v>6.99</v>
      </c>
      <c r="BF62" s="10">
        <v>2.706</v>
      </c>
      <c r="BH62" s="10">
        <v>160</v>
      </c>
      <c r="BI62" s="10">
        <v>3.82</v>
      </c>
      <c r="BJ62">
        <v>3.1880000000000002</v>
      </c>
      <c r="BM62">
        <v>735</v>
      </c>
      <c r="BN62">
        <v>4.8410000000000002</v>
      </c>
      <c r="BO62" s="10">
        <v>13.423</v>
      </c>
      <c r="BP62">
        <v>59175</v>
      </c>
      <c r="CB62">
        <v>9.5739999999999998</v>
      </c>
      <c r="CC62">
        <v>11635</v>
      </c>
      <c r="CD62">
        <v>2169</v>
      </c>
      <c r="CE62">
        <v>2772</v>
      </c>
      <c r="CF62">
        <v>2709.5</v>
      </c>
      <c r="CG62">
        <v>2604</v>
      </c>
      <c r="CH62">
        <v>5279</v>
      </c>
      <c r="CI62">
        <v>13365</v>
      </c>
      <c r="CK62">
        <v>0</v>
      </c>
      <c r="CL62">
        <v>23000</v>
      </c>
      <c r="CM62">
        <v>0</v>
      </c>
      <c r="CN62">
        <v>35000</v>
      </c>
      <c r="CO62">
        <v>0</v>
      </c>
      <c r="CP62">
        <v>23000</v>
      </c>
      <c r="CQ62">
        <v>35</v>
      </c>
      <c r="CR62">
        <v>67000</v>
      </c>
      <c r="CS62" s="5">
        <v>0</v>
      </c>
      <c r="CU62" s="5">
        <v>0</v>
      </c>
      <c r="CW62" s="5">
        <v>0</v>
      </c>
      <c r="CY62">
        <v>53.2</v>
      </c>
      <c r="CZ62">
        <v>4</v>
      </c>
      <c r="DA62">
        <v>38</v>
      </c>
      <c r="DB62">
        <v>9040</v>
      </c>
      <c r="DC62">
        <v>64.983999999999995</v>
      </c>
      <c r="DD62">
        <v>39.466999999999999</v>
      </c>
      <c r="DE62">
        <v>4.0000000000000001E-3</v>
      </c>
      <c r="DF62">
        <v>9120.75</v>
      </c>
      <c r="DH62">
        <v>182.4</v>
      </c>
      <c r="DI62">
        <v>101280</v>
      </c>
      <c r="DJ62">
        <v>21.1</v>
      </c>
      <c r="DK62">
        <v>39</v>
      </c>
      <c r="DN62" s="23"/>
      <c r="DO62">
        <v>0</v>
      </c>
      <c r="DP62" t="s">
        <v>286</v>
      </c>
    </row>
    <row r="63" spans="1:120" x14ac:dyDescent="0.3">
      <c r="A63" s="2">
        <v>41602</v>
      </c>
      <c r="B63" s="21">
        <f t="shared" si="1"/>
        <v>54</v>
      </c>
      <c r="C63" s="36"/>
      <c r="D63" s="71">
        <v>0.01</v>
      </c>
      <c r="E63" s="74">
        <v>201475</v>
      </c>
      <c r="F63" s="10">
        <v>142700</v>
      </c>
      <c r="G63" s="10">
        <f t="shared" si="3"/>
        <v>58775</v>
      </c>
      <c r="U63" s="74">
        <v>3538.6</v>
      </c>
      <c r="AI63" s="80">
        <v>0.56299999999999994</v>
      </c>
      <c r="AJ63" s="10">
        <v>0.32416666666666671</v>
      </c>
      <c r="AK63" s="10">
        <v>1.5854166666666665</v>
      </c>
      <c r="AL63">
        <v>1437</v>
      </c>
      <c r="AP63">
        <v>77883</v>
      </c>
      <c r="AQ63" s="10">
        <f t="shared" si="4"/>
        <v>203576.6</v>
      </c>
      <c r="AX63" s="10">
        <v>2.6960000000000002</v>
      </c>
      <c r="AZ63" s="10">
        <v>121.22799999999999</v>
      </c>
      <c r="BA63" s="10">
        <v>9.2309999999999999</v>
      </c>
      <c r="BB63">
        <v>2.81</v>
      </c>
      <c r="BD63">
        <v>151</v>
      </c>
      <c r="BE63">
        <v>7.1859999999999999</v>
      </c>
      <c r="BF63" s="10">
        <v>2.7839999999999998</v>
      </c>
      <c r="BH63" s="10">
        <v>161.09800000000001</v>
      </c>
      <c r="BI63" s="10">
        <v>3.94</v>
      </c>
      <c r="BJ63">
        <v>3.1680000000000001</v>
      </c>
      <c r="BM63">
        <v>734</v>
      </c>
      <c r="BN63">
        <v>4.7610000000000001</v>
      </c>
      <c r="BO63" s="10">
        <v>13.631</v>
      </c>
      <c r="BP63">
        <v>58775</v>
      </c>
      <c r="CB63">
        <v>9</v>
      </c>
      <c r="CC63">
        <v>12334</v>
      </c>
      <c r="CD63">
        <v>2293</v>
      </c>
      <c r="CE63">
        <v>2796</v>
      </c>
      <c r="CF63">
        <v>2720.5</v>
      </c>
      <c r="CG63">
        <v>2622.5</v>
      </c>
      <c r="CH63">
        <v>5314</v>
      </c>
      <c r="CI63">
        <v>13453</v>
      </c>
      <c r="CK63">
        <v>0</v>
      </c>
      <c r="CL63">
        <v>23000</v>
      </c>
      <c r="CM63">
        <v>0</v>
      </c>
      <c r="CN63">
        <v>35000</v>
      </c>
      <c r="CO63">
        <v>0</v>
      </c>
      <c r="CP63">
        <v>23000</v>
      </c>
      <c r="CQ63">
        <v>0</v>
      </c>
      <c r="CR63">
        <v>67000</v>
      </c>
      <c r="CS63" s="5">
        <v>0</v>
      </c>
      <c r="CU63" s="5">
        <v>0</v>
      </c>
      <c r="CW63" s="5">
        <v>0</v>
      </c>
      <c r="CY63">
        <v>57</v>
      </c>
      <c r="CZ63">
        <v>0</v>
      </c>
      <c r="DA63">
        <v>38</v>
      </c>
      <c r="DB63">
        <v>8514</v>
      </c>
      <c r="DC63">
        <v>65.599000000000004</v>
      </c>
      <c r="DD63">
        <v>39.277999999999999</v>
      </c>
      <c r="DE63">
        <v>4.0000000000000001E-3</v>
      </c>
      <c r="DF63">
        <v>8650.5</v>
      </c>
      <c r="DH63">
        <v>112.8</v>
      </c>
      <c r="DI63">
        <v>66640</v>
      </c>
      <c r="DJ63">
        <v>21.1</v>
      </c>
      <c r="DK63">
        <v>39</v>
      </c>
      <c r="DN63" s="23"/>
      <c r="DO63">
        <v>0</v>
      </c>
      <c r="DP63" t="s">
        <v>286</v>
      </c>
    </row>
    <row r="64" spans="1:120" x14ac:dyDescent="0.3">
      <c r="A64" s="2">
        <v>41603</v>
      </c>
      <c r="B64" s="21">
        <f t="shared" si="1"/>
        <v>55</v>
      </c>
      <c r="C64" s="36"/>
      <c r="D64" s="71">
        <v>0.01</v>
      </c>
      <c r="E64" s="74">
        <v>199675</v>
      </c>
      <c r="F64" s="10">
        <v>143700</v>
      </c>
      <c r="G64" s="10">
        <f t="shared" si="3"/>
        <v>55975</v>
      </c>
      <c r="U64" s="74">
        <v>3548.0880000000002</v>
      </c>
      <c r="AF64" s="80">
        <v>2380</v>
      </c>
      <c r="AG64" s="80">
        <v>21.8</v>
      </c>
      <c r="AH64" s="80">
        <v>76</v>
      </c>
      <c r="AI64" s="80">
        <v>0.496</v>
      </c>
      <c r="AJ64" s="10">
        <v>0.25708333333333344</v>
      </c>
      <c r="AK64" s="10">
        <v>1.3587499999999999</v>
      </c>
      <c r="AL64">
        <v>1438</v>
      </c>
      <c r="AP64">
        <v>67100</v>
      </c>
      <c r="AQ64" s="10">
        <f t="shared" si="4"/>
        <v>201785.08799999999</v>
      </c>
      <c r="AX64" s="10">
        <v>3</v>
      </c>
      <c r="AZ64" s="10">
        <v>127.105</v>
      </c>
      <c r="BA64" s="10">
        <v>9.7270000000000003</v>
      </c>
      <c r="BB64">
        <v>2.75</v>
      </c>
      <c r="BD64">
        <v>151</v>
      </c>
      <c r="BE64">
        <v>6.3150000000000004</v>
      </c>
      <c r="BF64" s="10">
        <v>3.6</v>
      </c>
      <c r="BH64" s="10">
        <v>141.291</v>
      </c>
      <c r="BI64" s="10">
        <v>4.0919999999999996</v>
      </c>
      <c r="BJ64">
        <v>3.21</v>
      </c>
      <c r="BL64">
        <v>112</v>
      </c>
      <c r="BM64">
        <v>723</v>
      </c>
      <c r="BN64">
        <v>4.6609999999999996</v>
      </c>
      <c r="BO64" s="10">
        <v>13.858000000000001</v>
      </c>
      <c r="BP64">
        <v>55975</v>
      </c>
      <c r="CB64">
        <v>9</v>
      </c>
      <c r="CC64">
        <v>16679</v>
      </c>
      <c r="CD64">
        <v>2103</v>
      </c>
      <c r="CE64">
        <v>2778</v>
      </c>
      <c r="CF64">
        <v>2740.5</v>
      </c>
      <c r="CG64">
        <v>2674.5</v>
      </c>
      <c r="CH64">
        <v>5445</v>
      </c>
      <c r="CI64">
        <v>13638</v>
      </c>
      <c r="CK64">
        <v>0</v>
      </c>
      <c r="CL64">
        <v>23000</v>
      </c>
      <c r="CM64">
        <v>0</v>
      </c>
      <c r="CN64">
        <v>35000</v>
      </c>
      <c r="CO64">
        <v>0</v>
      </c>
      <c r="CP64">
        <v>23000</v>
      </c>
      <c r="CQ64">
        <v>0</v>
      </c>
      <c r="CR64">
        <v>67000</v>
      </c>
      <c r="CS64" s="5">
        <v>0</v>
      </c>
      <c r="CU64" s="5">
        <v>0</v>
      </c>
      <c r="CW64" s="5">
        <v>0</v>
      </c>
      <c r="CY64">
        <v>57</v>
      </c>
      <c r="CZ64">
        <v>0</v>
      </c>
      <c r="DA64">
        <v>38</v>
      </c>
      <c r="DB64">
        <v>7039</v>
      </c>
      <c r="DC64">
        <v>65.697999999999993</v>
      </c>
      <c r="DD64">
        <v>39.505000000000003</v>
      </c>
      <c r="DE64">
        <v>4.0000000000000001E-3</v>
      </c>
      <c r="DF64">
        <v>6762.25</v>
      </c>
      <c r="DH64">
        <v>104</v>
      </c>
      <c r="DI64">
        <v>0</v>
      </c>
      <c r="DJ64">
        <v>21.1</v>
      </c>
      <c r="DK64">
        <v>39</v>
      </c>
      <c r="DN64" s="23"/>
      <c r="DO64">
        <v>0</v>
      </c>
      <c r="DP64" t="s">
        <v>286</v>
      </c>
    </row>
    <row r="65" spans="1:120" x14ac:dyDescent="0.3">
      <c r="A65" s="2">
        <v>41604</v>
      </c>
      <c r="B65" s="21">
        <f t="shared" si="1"/>
        <v>56</v>
      </c>
      <c r="C65" s="36"/>
      <c r="D65" s="71">
        <v>0.08</v>
      </c>
      <c r="E65" s="74">
        <v>182500</v>
      </c>
      <c r="F65" s="10">
        <v>125600</v>
      </c>
      <c r="G65" s="10">
        <f t="shared" si="3"/>
        <v>56900</v>
      </c>
      <c r="U65" s="74">
        <v>3496.8130000000001</v>
      </c>
      <c r="AI65" s="80">
        <v>0.56399999999999995</v>
      </c>
      <c r="AJ65" s="10">
        <v>0.32000000000000006</v>
      </c>
      <c r="AK65" s="10">
        <v>1.865833333333333</v>
      </c>
      <c r="AL65">
        <v>1233.5</v>
      </c>
      <c r="AP65">
        <v>81134</v>
      </c>
      <c r="AQ65" s="10">
        <f t="shared" si="4"/>
        <v>184763.31299999999</v>
      </c>
      <c r="AX65" s="10">
        <v>2.7559999999999998</v>
      </c>
      <c r="AZ65" s="10">
        <v>102</v>
      </c>
      <c r="BA65" s="10">
        <v>9.2390000000000008</v>
      </c>
      <c r="BB65">
        <v>2.8879999999999999</v>
      </c>
      <c r="BD65">
        <v>131</v>
      </c>
      <c r="BE65">
        <v>7.0330000000000004</v>
      </c>
      <c r="BF65" s="10">
        <v>2.9350000000000001</v>
      </c>
      <c r="BH65" s="10">
        <v>131.24799999999999</v>
      </c>
      <c r="BI65" s="10">
        <v>3.9159999999999999</v>
      </c>
      <c r="BJ65">
        <v>3.2010000000000001</v>
      </c>
      <c r="BM65">
        <v>693</v>
      </c>
      <c r="BN65">
        <v>4.5389999999999997</v>
      </c>
      <c r="BO65" s="10">
        <v>13.907999999999999</v>
      </c>
      <c r="BP65">
        <v>56900</v>
      </c>
      <c r="CB65">
        <v>9</v>
      </c>
      <c r="CC65">
        <v>15369</v>
      </c>
      <c r="CD65">
        <v>2276</v>
      </c>
      <c r="CE65">
        <v>2920</v>
      </c>
      <c r="CF65">
        <v>2855</v>
      </c>
      <c r="CG65">
        <v>2705</v>
      </c>
      <c r="CH65">
        <v>5599</v>
      </c>
      <c r="CI65">
        <v>14079</v>
      </c>
      <c r="CK65">
        <v>107</v>
      </c>
      <c r="CL65">
        <v>23000</v>
      </c>
      <c r="CM65">
        <v>0</v>
      </c>
      <c r="CN65">
        <v>35000</v>
      </c>
      <c r="CO65">
        <v>0</v>
      </c>
      <c r="CP65">
        <v>23000</v>
      </c>
      <c r="CQ65">
        <v>68</v>
      </c>
      <c r="CR65">
        <v>67000</v>
      </c>
      <c r="CS65" s="5">
        <v>0</v>
      </c>
      <c r="CU65" s="5">
        <v>0</v>
      </c>
      <c r="CW65" s="5">
        <v>0</v>
      </c>
      <c r="CY65">
        <v>36</v>
      </c>
      <c r="CZ65">
        <v>7.8</v>
      </c>
      <c r="DA65">
        <v>39</v>
      </c>
      <c r="DB65">
        <v>7291</v>
      </c>
      <c r="DC65">
        <v>66.698999999999998</v>
      </c>
      <c r="DD65">
        <v>38.942999999999998</v>
      </c>
      <c r="DE65">
        <v>4.0000000000000001E-3</v>
      </c>
      <c r="DF65">
        <v>7287</v>
      </c>
      <c r="DH65">
        <v>209.4</v>
      </c>
      <c r="DI65">
        <v>99660</v>
      </c>
      <c r="DJ65">
        <v>21.1</v>
      </c>
      <c r="DK65">
        <v>39</v>
      </c>
      <c r="DN65" s="23"/>
      <c r="DO65">
        <v>0</v>
      </c>
      <c r="DP65" t="s">
        <v>286</v>
      </c>
    </row>
    <row r="66" spans="1:120" x14ac:dyDescent="0.3">
      <c r="A66" s="2">
        <v>41605</v>
      </c>
      <c r="B66" s="21">
        <f t="shared" si="1"/>
        <v>57</v>
      </c>
      <c r="C66" s="36"/>
      <c r="D66" s="71">
        <v>0</v>
      </c>
      <c r="E66" s="74">
        <v>198750</v>
      </c>
      <c r="F66" s="10">
        <v>144900</v>
      </c>
      <c r="G66" s="10">
        <f t="shared" si="3"/>
        <v>53850</v>
      </c>
      <c r="N66">
        <v>5707</v>
      </c>
      <c r="U66" s="74">
        <v>3070.4</v>
      </c>
      <c r="AI66" s="80">
        <v>1.137</v>
      </c>
      <c r="AJ66" s="10">
        <v>0.27208333333333334</v>
      </c>
      <c r="AK66" s="10">
        <v>1.5516666666666667</v>
      </c>
      <c r="AL66">
        <v>865</v>
      </c>
      <c r="AN66" s="80">
        <v>9631</v>
      </c>
      <c r="AP66">
        <v>77500</v>
      </c>
      <c r="AQ66" s="10">
        <f t="shared" si="4"/>
        <v>200955.4</v>
      </c>
      <c r="AX66" s="10">
        <v>2.7490000000000001</v>
      </c>
      <c r="AZ66" s="10">
        <v>90</v>
      </c>
      <c r="BA66" s="10">
        <v>8.3829999999999991</v>
      </c>
      <c r="BB66">
        <v>2.83</v>
      </c>
      <c r="BD66">
        <v>141.11099999999999</v>
      </c>
      <c r="BE66">
        <v>7.2549999999999999</v>
      </c>
      <c r="BF66" s="10">
        <v>2.7679999999999998</v>
      </c>
      <c r="BH66" s="10">
        <v>131.21799999999999</v>
      </c>
      <c r="BI66" s="10">
        <v>6.2430000000000003</v>
      </c>
      <c r="BJ66">
        <v>3.0750000000000002</v>
      </c>
      <c r="BM66">
        <v>684</v>
      </c>
      <c r="BN66">
        <v>4.5149999999999997</v>
      </c>
      <c r="BO66" s="10">
        <v>14.019</v>
      </c>
      <c r="BP66">
        <v>53850</v>
      </c>
      <c r="CB66">
        <v>9</v>
      </c>
      <c r="CC66">
        <v>15337</v>
      </c>
      <c r="CD66">
        <v>2389</v>
      </c>
      <c r="CE66">
        <v>2924</v>
      </c>
      <c r="CF66">
        <v>2894</v>
      </c>
      <c r="CG66">
        <v>2764</v>
      </c>
      <c r="CH66">
        <v>5628</v>
      </c>
      <c r="CI66">
        <v>14210</v>
      </c>
      <c r="CK66">
        <v>107</v>
      </c>
      <c r="CL66">
        <v>23000</v>
      </c>
      <c r="CM66">
        <v>0</v>
      </c>
      <c r="CN66">
        <v>35000</v>
      </c>
      <c r="CO66">
        <v>0</v>
      </c>
      <c r="CP66">
        <v>23000</v>
      </c>
      <c r="CQ66">
        <v>69</v>
      </c>
      <c r="CR66">
        <v>67000</v>
      </c>
      <c r="CS66" s="5">
        <v>0</v>
      </c>
      <c r="CU66" s="5">
        <v>0</v>
      </c>
      <c r="CW66" s="5">
        <v>0</v>
      </c>
      <c r="CY66">
        <v>32</v>
      </c>
      <c r="CZ66">
        <v>0</v>
      </c>
      <c r="DA66">
        <v>39</v>
      </c>
      <c r="DB66">
        <v>7749</v>
      </c>
      <c r="DC66">
        <v>66.567999999999998</v>
      </c>
      <c r="DD66">
        <v>39.024000000000001</v>
      </c>
      <c r="DE66">
        <v>5.0000000000000001E-3</v>
      </c>
      <c r="DF66">
        <v>7746</v>
      </c>
      <c r="DH66">
        <v>166.8</v>
      </c>
      <c r="DI66">
        <v>63700</v>
      </c>
      <c r="DJ66">
        <v>21.2</v>
      </c>
      <c r="DK66">
        <v>44</v>
      </c>
      <c r="DN66" s="23"/>
      <c r="DO66">
        <v>0</v>
      </c>
      <c r="DP66" t="s">
        <v>286</v>
      </c>
    </row>
    <row r="67" spans="1:120" x14ac:dyDescent="0.3">
      <c r="A67" s="2">
        <v>41606</v>
      </c>
      <c r="B67" s="21">
        <f t="shared" si="1"/>
        <v>58</v>
      </c>
      <c r="C67" s="36"/>
      <c r="D67" s="71">
        <v>0</v>
      </c>
      <c r="E67" s="74">
        <v>189167</v>
      </c>
      <c r="F67" s="10">
        <v>132300</v>
      </c>
      <c r="G67" s="10">
        <f t="shared" si="3"/>
        <v>56867</v>
      </c>
      <c r="H67" s="80">
        <v>753</v>
      </c>
      <c r="J67" s="80">
        <v>68.5</v>
      </c>
      <c r="K67" s="80">
        <v>12.02</v>
      </c>
      <c r="M67" s="10">
        <v>404021</v>
      </c>
      <c r="P67" s="80">
        <v>250</v>
      </c>
      <c r="R67" s="80">
        <v>22</v>
      </c>
      <c r="S67" s="80">
        <v>4.3</v>
      </c>
      <c r="U67" s="74">
        <v>2711.05</v>
      </c>
      <c r="AF67" s="80">
        <v>2492</v>
      </c>
      <c r="AG67" s="80">
        <v>21.7</v>
      </c>
      <c r="AH67" s="80">
        <v>72</v>
      </c>
      <c r="AI67" s="80">
        <v>0.189</v>
      </c>
      <c r="AJ67" s="10">
        <v>0.2370833333333334</v>
      </c>
      <c r="AK67" s="10">
        <v>1.4995833333333335</v>
      </c>
      <c r="AL67">
        <v>717</v>
      </c>
      <c r="AP67">
        <v>88133</v>
      </c>
      <c r="AQ67" s="10">
        <f t="shared" si="4"/>
        <v>191161.05</v>
      </c>
      <c r="AR67" s="80">
        <v>100</v>
      </c>
      <c r="AT67" s="80">
        <v>18</v>
      </c>
      <c r="AU67" s="80">
        <v>2.2000000000000002</v>
      </c>
      <c r="AV67" s="80">
        <v>52</v>
      </c>
      <c r="AX67" s="10">
        <v>2.86</v>
      </c>
      <c r="AZ67" s="10">
        <v>81</v>
      </c>
      <c r="BA67" s="10">
        <v>6.9619999999999997</v>
      </c>
      <c r="BB67">
        <v>3.03</v>
      </c>
      <c r="BD67">
        <v>150.23400000000001</v>
      </c>
      <c r="BE67">
        <v>7.23</v>
      </c>
      <c r="BF67" s="10">
        <v>3.24</v>
      </c>
      <c r="BH67" s="10">
        <v>134.64599999999999</v>
      </c>
      <c r="BI67" s="10">
        <v>6.6319999999999997</v>
      </c>
      <c r="BJ67">
        <v>3.21</v>
      </c>
      <c r="BL67">
        <v>112</v>
      </c>
      <c r="BM67">
        <v>663</v>
      </c>
      <c r="BN67">
        <v>4.4950000000000001</v>
      </c>
      <c r="BO67" s="10">
        <v>14.109</v>
      </c>
      <c r="BP67">
        <v>56867</v>
      </c>
      <c r="BR67">
        <v>34</v>
      </c>
      <c r="BS67">
        <v>3</v>
      </c>
      <c r="BT67">
        <v>2</v>
      </c>
      <c r="BU67">
        <v>0.31</v>
      </c>
      <c r="BV67">
        <v>6.5000000000000002E-2</v>
      </c>
      <c r="BW67">
        <v>9.4</v>
      </c>
      <c r="BX67">
        <v>0.81</v>
      </c>
      <c r="BY67">
        <v>0.98</v>
      </c>
      <c r="BZ67">
        <v>5</v>
      </c>
      <c r="CA67">
        <v>0.54</v>
      </c>
      <c r="CB67">
        <v>8</v>
      </c>
      <c r="CC67">
        <v>15680</v>
      </c>
      <c r="CD67">
        <v>2649</v>
      </c>
      <c r="CE67">
        <v>3152</v>
      </c>
      <c r="CF67">
        <v>2868</v>
      </c>
      <c r="CG67">
        <v>2730</v>
      </c>
      <c r="CH67">
        <v>5706</v>
      </c>
      <c r="CI67">
        <v>14456</v>
      </c>
      <c r="CK67">
        <v>107</v>
      </c>
      <c r="CL67">
        <v>23000</v>
      </c>
      <c r="CM67">
        <v>0</v>
      </c>
      <c r="CN67">
        <v>35000</v>
      </c>
      <c r="CO67">
        <v>0</v>
      </c>
      <c r="CP67">
        <v>23000</v>
      </c>
      <c r="CQ67">
        <v>68</v>
      </c>
      <c r="CR67">
        <v>67000</v>
      </c>
      <c r="CS67" s="5">
        <v>0</v>
      </c>
      <c r="CU67" s="5">
        <v>0</v>
      </c>
      <c r="CW67" s="5">
        <v>0</v>
      </c>
      <c r="CY67">
        <v>24</v>
      </c>
      <c r="CZ67">
        <v>0</v>
      </c>
      <c r="DA67">
        <v>42.9</v>
      </c>
      <c r="DB67">
        <v>7658</v>
      </c>
      <c r="DC67">
        <v>65.933999999999997</v>
      </c>
      <c r="DD67">
        <v>39.518999999999998</v>
      </c>
      <c r="DE67">
        <v>4.0000000000000001E-3</v>
      </c>
      <c r="DF67">
        <v>7655</v>
      </c>
      <c r="DH67">
        <v>180</v>
      </c>
      <c r="DI67">
        <v>66120</v>
      </c>
      <c r="DJ67">
        <v>21.2</v>
      </c>
      <c r="DK67">
        <v>44</v>
      </c>
      <c r="DN67" s="23"/>
      <c r="DO67">
        <v>0</v>
      </c>
      <c r="DP67" t="s">
        <v>286</v>
      </c>
    </row>
    <row r="68" spans="1:120" x14ac:dyDescent="0.3">
      <c r="A68" s="2">
        <v>41607</v>
      </c>
      <c r="B68" s="21">
        <f t="shared" si="1"/>
        <v>59</v>
      </c>
      <c r="C68" s="36"/>
      <c r="D68" s="71">
        <v>0.04</v>
      </c>
      <c r="E68" s="74">
        <v>189033</v>
      </c>
      <c r="F68" s="10">
        <v>129200</v>
      </c>
      <c r="G68" s="10">
        <f t="shared" si="3"/>
        <v>59833</v>
      </c>
      <c r="U68" s="74">
        <v>3100.1</v>
      </c>
      <c r="AI68" s="80">
        <v>4.2000000000000003E-2</v>
      </c>
      <c r="AJ68" s="10">
        <v>0.23833333333333331</v>
      </c>
      <c r="AK68" s="10">
        <v>1.4574999999999996</v>
      </c>
      <c r="AL68">
        <v>957.5</v>
      </c>
      <c r="AP68">
        <v>114000</v>
      </c>
      <c r="AQ68" s="10">
        <f t="shared" si="4"/>
        <v>191175.6</v>
      </c>
      <c r="AX68" s="10">
        <v>3.052</v>
      </c>
      <c r="AZ68" s="10">
        <v>80</v>
      </c>
      <c r="BA68" s="10">
        <v>7.8449999999999998</v>
      </c>
      <c r="BB68">
        <v>2.5630000000000002</v>
      </c>
      <c r="BD68">
        <v>171.23400000000001</v>
      </c>
      <c r="BE68">
        <v>10.775</v>
      </c>
      <c r="BF68" s="10">
        <v>2.476</v>
      </c>
      <c r="BH68" s="10">
        <v>136.5</v>
      </c>
      <c r="BI68" s="10">
        <v>10.205</v>
      </c>
      <c r="BJ68">
        <v>3.2160000000000002</v>
      </c>
      <c r="BM68">
        <v>644</v>
      </c>
      <c r="BN68">
        <v>6.194</v>
      </c>
      <c r="BO68" s="10">
        <v>14.317</v>
      </c>
      <c r="BP68">
        <v>59833</v>
      </c>
      <c r="CB68">
        <v>9.3629999999999995</v>
      </c>
      <c r="CC68">
        <v>16463</v>
      </c>
      <c r="CD68">
        <v>2943</v>
      </c>
      <c r="CE68">
        <v>2277.5</v>
      </c>
      <c r="CF68">
        <v>3452</v>
      </c>
      <c r="CG68">
        <v>3329</v>
      </c>
      <c r="CH68">
        <v>6002</v>
      </c>
      <c r="CI68">
        <v>15061</v>
      </c>
      <c r="CK68">
        <v>106</v>
      </c>
      <c r="CL68">
        <v>23000</v>
      </c>
      <c r="CM68">
        <v>0</v>
      </c>
      <c r="CN68">
        <v>35000</v>
      </c>
      <c r="CO68">
        <v>0</v>
      </c>
      <c r="CP68">
        <v>23000</v>
      </c>
      <c r="CQ68">
        <v>0</v>
      </c>
      <c r="CR68">
        <v>67000</v>
      </c>
      <c r="CS68" s="5">
        <v>0</v>
      </c>
      <c r="CU68" s="5">
        <v>0</v>
      </c>
      <c r="CW68" s="5">
        <v>0</v>
      </c>
      <c r="CY68">
        <v>31.2</v>
      </c>
      <c r="CZ68">
        <v>3.8</v>
      </c>
      <c r="DA68">
        <v>44.4</v>
      </c>
      <c r="DB68">
        <v>7354</v>
      </c>
      <c r="DC68">
        <v>65.94</v>
      </c>
      <c r="DD68">
        <v>39.223999999999997</v>
      </c>
      <c r="DE68">
        <v>6.0000000000000001E-3</v>
      </c>
      <c r="DF68">
        <v>7352</v>
      </c>
      <c r="DH68">
        <v>146.19999999999999</v>
      </c>
      <c r="DI68">
        <v>68960</v>
      </c>
      <c r="DJ68">
        <v>21.2</v>
      </c>
      <c r="DK68">
        <v>44</v>
      </c>
      <c r="DN68" s="23"/>
      <c r="DO68">
        <v>0</v>
      </c>
      <c r="DP68" t="s">
        <v>286</v>
      </c>
    </row>
    <row r="69" spans="1:120" x14ac:dyDescent="0.3">
      <c r="A69" s="2">
        <v>41608</v>
      </c>
      <c r="B69" s="21">
        <f t="shared" si="1"/>
        <v>60</v>
      </c>
      <c r="C69" s="36"/>
      <c r="D69" s="71">
        <v>6.33</v>
      </c>
      <c r="E69" s="74">
        <v>205800</v>
      </c>
      <c r="F69" s="10">
        <v>101400</v>
      </c>
      <c r="G69" s="10">
        <f t="shared" si="3"/>
        <v>104400</v>
      </c>
      <c r="U69" s="74">
        <v>3151.3</v>
      </c>
      <c r="AI69" s="80">
        <v>3.7999999999999999E-2</v>
      </c>
      <c r="AJ69" s="10">
        <v>0.42124999999999996</v>
      </c>
      <c r="AK69" s="10">
        <v>1.49875</v>
      </c>
      <c r="AL69">
        <v>1203</v>
      </c>
      <c r="AM69" s="80">
        <v>8100</v>
      </c>
      <c r="AO69" s="80">
        <v>27</v>
      </c>
      <c r="AP69">
        <v>145550</v>
      </c>
      <c r="AQ69" s="10">
        <f t="shared" si="4"/>
        <v>207748.3</v>
      </c>
      <c r="AX69" s="10">
        <v>3.0670000000000002</v>
      </c>
      <c r="AZ69" s="10">
        <v>80</v>
      </c>
      <c r="BA69" s="10">
        <v>7.548</v>
      </c>
      <c r="BB69">
        <v>2.5009999999999999</v>
      </c>
      <c r="BD69">
        <v>150.26599999999999</v>
      </c>
      <c r="BE69">
        <v>8.4290000000000003</v>
      </c>
      <c r="BF69" s="10">
        <v>2.762</v>
      </c>
      <c r="BH69" s="10">
        <v>110</v>
      </c>
      <c r="BI69" s="10">
        <v>9.1720000000000006</v>
      </c>
      <c r="BJ69">
        <v>3.109</v>
      </c>
      <c r="BM69">
        <v>643</v>
      </c>
      <c r="BN69">
        <v>5.3730000000000002</v>
      </c>
      <c r="BO69" s="10">
        <v>14.105</v>
      </c>
      <c r="BP69">
        <v>104400</v>
      </c>
      <c r="CB69">
        <v>13.637</v>
      </c>
      <c r="CC69">
        <v>22015</v>
      </c>
      <c r="CD69">
        <v>1757</v>
      </c>
      <c r="CE69">
        <v>2608.5</v>
      </c>
      <c r="CF69">
        <v>4012</v>
      </c>
      <c r="CG69">
        <v>3925</v>
      </c>
      <c r="CH69">
        <v>7860</v>
      </c>
      <c r="CI69">
        <v>18406</v>
      </c>
      <c r="CK69">
        <v>0</v>
      </c>
      <c r="CL69">
        <v>23000</v>
      </c>
      <c r="CM69">
        <v>0</v>
      </c>
      <c r="CN69">
        <v>35000</v>
      </c>
      <c r="CO69">
        <v>0</v>
      </c>
      <c r="CP69">
        <v>23000</v>
      </c>
      <c r="CQ69">
        <v>0</v>
      </c>
      <c r="CR69">
        <v>67000</v>
      </c>
      <c r="CS69" s="5">
        <v>0</v>
      </c>
      <c r="CU69" s="5">
        <v>0</v>
      </c>
      <c r="CW69" s="5">
        <v>0</v>
      </c>
      <c r="CY69">
        <v>3.9</v>
      </c>
      <c r="CZ69">
        <v>38</v>
      </c>
      <c r="DA69">
        <v>37</v>
      </c>
      <c r="DB69">
        <v>7294</v>
      </c>
      <c r="DC69">
        <v>65.488</v>
      </c>
      <c r="DD69">
        <v>38.773000000000003</v>
      </c>
      <c r="DE69">
        <v>4.0000000000000001E-3</v>
      </c>
      <c r="DF69">
        <v>7289</v>
      </c>
      <c r="DH69">
        <v>147.4</v>
      </c>
      <c r="DI69">
        <v>69600</v>
      </c>
      <c r="DJ69">
        <v>21.2</v>
      </c>
      <c r="DK69">
        <v>44</v>
      </c>
      <c r="DN69" s="23"/>
      <c r="DO69">
        <v>0</v>
      </c>
      <c r="DP69" t="s">
        <v>286</v>
      </c>
    </row>
    <row r="70" spans="1:120" x14ac:dyDescent="0.3">
      <c r="A70" s="2">
        <v>41609</v>
      </c>
      <c r="B70" s="21">
        <f t="shared" si="1"/>
        <v>61</v>
      </c>
      <c r="C70" s="36" t="s">
        <v>132</v>
      </c>
      <c r="D70" s="71">
        <v>0.01</v>
      </c>
      <c r="E70" s="74">
        <v>204300</v>
      </c>
      <c r="F70" s="10">
        <v>134600</v>
      </c>
      <c r="G70" s="10">
        <f t="shared" si="3"/>
        <v>69700</v>
      </c>
      <c r="U70" s="74">
        <v>3170.3</v>
      </c>
      <c r="AI70" s="80">
        <v>0.497</v>
      </c>
      <c r="AJ70" s="10">
        <v>0.33833333333333332</v>
      </c>
      <c r="AK70" s="10">
        <v>1.5179166666666666</v>
      </c>
      <c r="AL70">
        <v>1437</v>
      </c>
      <c r="AP70">
        <v>89650</v>
      </c>
      <c r="AQ70" s="10">
        <f t="shared" si="4"/>
        <v>206033.3</v>
      </c>
      <c r="AX70" s="10">
        <v>2.6360000000000001</v>
      </c>
      <c r="AZ70" s="10">
        <v>55</v>
      </c>
      <c r="BA70" s="10">
        <v>9.3919999999999995</v>
      </c>
      <c r="BB70">
        <v>2.7189999999999999</v>
      </c>
      <c r="BD70">
        <v>124.154</v>
      </c>
      <c r="BE70">
        <v>9.8829999999999991</v>
      </c>
      <c r="BF70" s="10">
        <v>3.0649999999999999</v>
      </c>
      <c r="BH70" s="10">
        <v>82</v>
      </c>
      <c r="BI70" s="10">
        <v>10.708</v>
      </c>
      <c r="BJ70">
        <v>3.218</v>
      </c>
      <c r="BM70">
        <v>587.16800000000001</v>
      </c>
      <c r="BN70">
        <v>6.4240000000000004</v>
      </c>
      <c r="BO70" s="10">
        <v>13.127000000000001</v>
      </c>
      <c r="BP70">
        <v>69700</v>
      </c>
      <c r="CB70">
        <v>11</v>
      </c>
      <c r="CC70">
        <v>15703</v>
      </c>
      <c r="CD70">
        <v>2564</v>
      </c>
      <c r="CE70">
        <v>2804</v>
      </c>
      <c r="CF70">
        <v>2942</v>
      </c>
      <c r="CG70">
        <v>2895.5</v>
      </c>
      <c r="CH70">
        <v>5484</v>
      </c>
      <c r="CI70">
        <v>14126</v>
      </c>
      <c r="CK70">
        <v>0</v>
      </c>
      <c r="CL70">
        <v>37000</v>
      </c>
      <c r="CM70">
        <v>0</v>
      </c>
      <c r="CN70">
        <v>34000</v>
      </c>
      <c r="CO70">
        <v>0</v>
      </c>
      <c r="CP70">
        <v>30000</v>
      </c>
      <c r="CQ70">
        <v>0</v>
      </c>
      <c r="CR70">
        <v>64000</v>
      </c>
      <c r="CS70" s="5">
        <v>0</v>
      </c>
      <c r="CU70" s="5">
        <v>0</v>
      </c>
      <c r="CW70" s="5">
        <v>0</v>
      </c>
      <c r="CY70">
        <v>35.1</v>
      </c>
      <c r="CZ70">
        <v>26.6</v>
      </c>
      <c r="DA70">
        <v>29.6</v>
      </c>
      <c r="DB70">
        <v>7448</v>
      </c>
      <c r="DC70">
        <v>65.950999999999993</v>
      </c>
      <c r="DD70">
        <v>38.856000000000002</v>
      </c>
      <c r="DE70">
        <v>5.0000000000000001E-3</v>
      </c>
      <c r="DF70">
        <v>7445</v>
      </c>
      <c r="DH70">
        <v>117.9</v>
      </c>
      <c r="DI70">
        <v>34700</v>
      </c>
      <c r="DJ70">
        <v>21.2</v>
      </c>
      <c r="DK70">
        <v>44</v>
      </c>
      <c r="DN70" s="23"/>
      <c r="DO70">
        <v>0</v>
      </c>
      <c r="DP70" t="s">
        <v>286</v>
      </c>
    </row>
    <row r="71" spans="1:120" x14ac:dyDescent="0.3">
      <c r="A71" s="2">
        <v>41610</v>
      </c>
      <c r="B71" s="21">
        <f t="shared" si="1"/>
        <v>62</v>
      </c>
      <c r="C71" s="36"/>
      <c r="D71" s="71">
        <v>0</v>
      </c>
      <c r="E71" s="74">
        <v>203850</v>
      </c>
      <c r="F71" s="10">
        <v>147800</v>
      </c>
      <c r="G71" s="10">
        <f t="shared" si="3"/>
        <v>56050</v>
      </c>
      <c r="U71" s="74">
        <v>2837.65</v>
      </c>
      <c r="AF71" s="80">
        <v>2528</v>
      </c>
      <c r="AG71" s="80">
        <v>22.3</v>
      </c>
      <c r="AH71" s="80">
        <v>111</v>
      </c>
      <c r="AI71" s="80">
        <v>0.71799999999999997</v>
      </c>
      <c r="AJ71" s="10">
        <v>0.3</v>
      </c>
      <c r="AK71" s="10">
        <v>1.5254166666666669</v>
      </c>
      <c r="AL71">
        <v>1084</v>
      </c>
      <c r="AP71">
        <v>85467</v>
      </c>
      <c r="AQ71" s="10">
        <f t="shared" si="4"/>
        <v>205603.65</v>
      </c>
      <c r="AX71" s="10">
        <v>2.72</v>
      </c>
      <c r="AZ71" s="10">
        <v>61</v>
      </c>
      <c r="BA71" s="10">
        <v>9.0830000000000002</v>
      </c>
      <c r="BB71">
        <v>2.75</v>
      </c>
      <c r="BD71">
        <v>120</v>
      </c>
      <c r="BE71">
        <v>11.224</v>
      </c>
      <c r="BF71" s="10">
        <v>2.87</v>
      </c>
      <c r="BH71" s="10">
        <v>110</v>
      </c>
      <c r="BI71" s="10">
        <v>11.228</v>
      </c>
      <c r="BJ71">
        <v>3.27</v>
      </c>
      <c r="BL71">
        <v>110</v>
      </c>
      <c r="BM71">
        <v>606.83199999999999</v>
      </c>
      <c r="BN71">
        <v>6.6029999999999998</v>
      </c>
      <c r="BO71" s="10">
        <v>13.516999999999999</v>
      </c>
      <c r="BP71">
        <v>56050</v>
      </c>
      <c r="CB71">
        <v>9</v>
      </c>
      <c r="CC71">
        <v>16238</v>
      </c>
      <c r="CD71">
        <v>2481</v>
      </c>
      <c r="CE71">
        <v>2854</v>
      </c>
      <c r="CF71">
        <v>2784</v>
      </c>
      <c r="CG71">
        <v>2718.5</v>
      </c>
      <c r="CH71">
        <v>5168</v>
      </c>
      <c r="CI71">
        <v>13525</v>
      </c>
      <c r="CK71">
        <v>0</v>
      </c>
      <c r="CL71">
        <v>37000</v>
      </c>
      <c r="CM71">
        <v>0</v>
      </c>
      <c r="CN71">
        <v>34000</v>
      </c>
      <c r="CO71">
        <v>0</v>
      </c>
      <c r="CP71">
        <v>30000</v>
      </c>
      <c r="CQ71">
        <v>0</v>
      </c>
      <c r="CR71">
        <v>64000</v>
      </c>
      <c r="CS71" s="5">
        <v>0</v>
      </c>
      <c r="CU71" s="5">
        <v>0</v>
      </c>
      <c r="CW71" s="5">
        <v>0</v>
      </c>
      <c r="CY71">
        <v>35.1</v>
      </c>
      <c r="CZ71">
        <v>3.8</v>
      </c>
      <c r="DA71">
        <v>40.700000000000003</v>
      </c>
      <c r="DB71">
        <v>7021</v>
      </c>
      <c r="DC71">
        <v>65.540000000000006</v>
      </c>
      <c r="DD71">
        <v>39.576000000000001</v>
      </c>
      <c r="DE71">
        <v>5.0000000000000001E-3</v>
      </c>
      <c r="DF71">
        <v>7018</v>
      </c>
      <c r="DH71">
        <v>112.5</v>
      </c>
      <c r="DI71">
        <v>0</v>
      </c>
      <c r="DJ71">
        <v>21.2</v>
      </c>
      <c r="DK71">
        <v>44</v>
      </c>
      <c r="DN71" s="23"/>
      <c r="DO71">
        <v>0</v>
      </c>
      <c r="DP71" t="s">
        <v>286</v>
      </c>
    </row>
    <row r="72" spans="1:120" x14ac:dyDescent="0.3">
      <c r="A72" s="2">
        <v>41611</v>
      </c>
      <c r="B72" s="21">
        <f t="shared" si="1"/>
        <v>63</v>
      </c>
      <c r="C72" s="36"/>
      <c r="D72" s="71">
        <v>0</v>
      </c>
      <c r="E72" s="74">
        <v>202300</v>
      </c>
      <c r="F72" s="10">
        <v>148900</v>
      </c>
      <c r="G72" s="10">
        <f t="shared" si="3"/>
        <v>53400</v>
      </c>
      <c r="U72" s="74">
        <v>2518.1</v>
      </c>
      <c r="AI72" s="80">
        <v>0.624</v>
      </c>
      <c r="AJ72" s="10">
        <v>0.25458333333333333</v>
      </c>
      <c r="AK72" s="10">
        <v>1.5612500000000005</v>
      </c>
      <c r="AL72">
        <v>962</v>
      </c>
      <c r="AP72">
        <v>95100</v>
      </c>
      <c r="AQ72" s="10">
        <f t="shared" si="4"/>
        <v>203856.1</v>
      </c>
      <c r="AX72" s="10">
        <v>2.593</v>
      </c>
      <c r="AZ72" s="10">
        <v>40</v>
      </c>
      <c r="BA72" s="10">
        <v>9.1150000000000002</v>
      </c>
      <c r="BB72">
        <v>2.86</v>
      </c>
      <c r="BD72">
        <v>100</v>
      </c>
      <c r="BE72">
        <v>10.71</v>
      </c>
      <c r="BF72" s="10">
        <v>2.6739999999999999</v>
      </c>
      <c r="BH72" s="10">
        <v>121</v>
      </c>
      <c r="BI72" s="10">
        <v>11.07</v>
      </c>
      <c r="BJ72">
        <v>3.177</v>
      </c>
      <c r="BM72">
        <v>584</v>
      </c>
      <c r="BN72">
        <v>6.4969999999999999</v>
      </c>
      <c r="BO72" s="10">
        <v>13.637</v>
      </c>
      <c r="BP72">
        <v>53400</v>
      </c>
      <c r="CB72">
        <v>9</v>
      </c>
      <c r="CC72">
        <v>18855</v>
      </c>
      <c r="CD72">
        <v>2386</v>
      </c>
      <c r="CE72">
        <v>2800</v>
      </c>
      <c r="CF72">
        <v>2711</v>
      </c>
      <c r="CG72">
        <v>2744</v>
      </c>
      <c r="CH72">
        <v>5208</v>
      </c>
      <c r="CI72">
        <v>13463</v>
      </c>
      <c r="CK72">
        <v>0</v>
      </c>
      <c r="CL72">
        <v>37000</v>
      </c>
      <c r="CM72">
        <v>0</v>
      </c>
      <c r="CN72">
        <v>34000</v>
      </c>
      <c r="CO72">
        <v>0</v>
      </c>
      <c r="CP72">
        <v>30000</v>
      </c>
      <c r="CQ72">
        <v>0</v>
      </c>
      <c r="CR72">
        <v>64000</v>
      </c>
      <c r="CS72" s="5">
        <v>0</v>
      </c>
      <c r="CU72" s="5">
        <v>0</v>
      </c>
      <c r="CW72" s="5">
        <v>0</v>
      </c>
      <c r="CY72">
        <v>30.4</v>
      </c>
      <c r="CZ72">
        <v>3.8</v>
      </c>
      <c r="DA72">
        <v>36</v>
      </c>
      <c r="DB72">
        <v>6017</v>
      </c>
      <c r="DC72">
        <v>59.459000000000003</v>
      </c>
      <c r="DD72">
        <v>35.764000000000003</v>
      </c>
      <c r="DE72">
        <v>4.0000000000000001E-3</v>
      </c>
      <c r="DF72">
        <v>6015</v>
      </c>
      <c r="DH72">
        <v>96.2</v>
      </c>
      <c r="DI72">
        <v>98780</v>
      </c>
      <c r="DJ72">
        <v>21.2</v>
      </c>
      <c r="DK72">
        <v>44</v>
      </c>
      <c r="DN72" s="23"/>
      <c r="DO72">
        <v>0</v>
      </c>
      <c r="DP72" t="s">
        <v>286</v>
      </c>
    </row>
    <row r="73" spans="1:120" x14ac:dyDescent="0.3">
      <c r="A73" s="2">
        <v>41612</v>
      </c>
      <c r="B73" s="21">
        <f t="shared" si="1"/>
        <v>64</v>
      </c>
      <c r="C73" s="36"/>
      <c r="D73" s="71">
        <v>0</v>
      </c>
      <c r="E73" s="74">
        <v>203675</v>
      </c>
      <c r="F73" s="10">
        <v>149500</v>
      </c>
      <c r="G73" s="10">
        <f t="shared" si="3"/>
        <v>54175</v>
      </c>
      <c r="U73" s="74">
        <v>2848.6</v>
      </c>
      <c r="W73" s="80">
        <v>1180</v>
      </c>
      <c r="X73" s="80">
        <v>270</v>
      </c>
      <c r="Y73" s="80">
        <v>140</v>
      </c>
      <c r="Z73" s="80">
        <v>0.38</v>
      </c>
      <c r="AA73" s="80">
        <v>2.5</v>
      </c>
      <c r="AB73" s="80">
        <v>31</v>
      </c>
      <c r="AD73" s="80">
        <v>1500</v>
      </c>
      <c r="AI73" s="80">
        <v>0.16</v>
      </c>
      <c r="AJ73" s="10">
        <v>0.26416666666666672</v>
      </c>
      <c r="AK73" s="10">
        <v>1.57125</v>
      </c>
      <c r="AL73">
        <v>1198</v>
      </c>
      <c r="AP73">
        <v>91908</v>
      </c>
      <c r="AQ73" s="10">
        <f t="shared" ref="AQ73:AQ104" si="5">E73+U73-AL73</f>
        <v>205325.6</v>
      </c>
      <c r="AX73" s="10">
        <v>2.6960000000000002</v>
      </c>
      <c r="AY73" s="10">
        <v>25</v>
      </c>
      <c r="AZ73" s="10">
        <v>31</v>
      </c>
      <c r="BA73" s="10">
        <v>9.3369999999999997</v>
      </c>
      <c r="BB73">
        <v>2.7280000000000002</v>
      </c>
      <c r="BC73">
        <v>22</v>
      </c>
      <c r="BD73">
        <v>90</v>
      </c>
      <c r="BE73">
        <v>11.082000000000001</v>
      </c>
      <c r="BF73" s="10">
        <v>2.66</v>
      </c>
      <c r="BG73" s="10">
        <v>22</v>
      </c>
      <c r="BH73" s="10">
        <v>100.2</v>
      </c>
      <c r="BI73" s="10">
        <v>10.762</v>
      </c>
      <c r="BJ73">
        <v>3.14</v>
      </c>
      <c r="BK73">
        <v>24</v>
      </c>
      <c r="BM73">
        <v>564</v>
      </c>
      <c r="BN73">
        <v>6.3529999999999998</v>
      </c>
      <c r="BO73" s="10">
        <v>13.398</v>
      </c>
      <c r="BP73">
        <v>54175</v>
      </c>
      <c r="CB73">
        <v>8</v>
      </c>
      <c r="CC73">
        <v>18101</v>
      </c>
      <c r="CD73">
        <v>2637</v>
      </c>
      <c r="CE73">
        <v>2838</v>
      </c>
      <c r="CF73">
        <v>2673</v>
      </c>
      <c r="CG73">
        <v>2663</v>
      </c>
      <c r="CH73">
        <v>5124</v>
      </c>
      <c r="CI73">
        <v>13298</v>
      </c>
      <c r="CK73">
        <v>0</v>
      </c>
      <c r="CL73">
        <v>37000</v>
      </c>
      <c r="CM73">
        <v>0</v>
      </c>
      <c r="CN73">
        <v>34000</v>
      </c>
      <c r="CO73">
        <v>0</v>
      </c>
      <c r="CP73">
        <v>30000</v>
      </c>
      <c r="CQ73">
        <v>0</v>
      </c>
      <c r="CR73">
        <v>64000</v>
      </c>
      <c r="CS73" s="5">
        <v>0</v>
      </c>
      <c r="CU73" s="5">
        <v>0</v>
      </c>
      <c r="CW73" s="5">
        <v>0</v>
      </c>
      <c r="CY73">
        <v>41.8</v>
      </c>
      <c r="CZ73">
        <v>7.6</v>
      </c>
      <c r="DA73">
        <v>28.8</v>
      </c>
      <c r="DB73">
        <v>6090</v>
      </c>
      <c r="DC73">
        <v>65.838999999999999</v>
      </c>
      <c r="DD73">
        <v>39.110999999999997</v>
      </c>
      <c r="DE73">
        <v>4.0000000000000001E-3</v>
      </c>
      <c r="DF73">
        <v>6090</v>
      </c>
      <c r="DH73">
        <v>124.8</v>
      </c>
      <c r="DI73">
        <v>68860</v>
      </c>
      <c r="DJ73">
        <v>20.7</v>
      </c>
      <c r="DK73">
        <v>43</v>
      </c>
      <c r="DN73" s="23"/>
      <c r="DO73">
        <v>0</v>
      </c>
      <c r="DP73" t="s">
        <v>286</v>
      </c>
    </row>
    <row r="74" spans="1:120" x14ac:dyDescent="0.3">
      <c r="A74" s="2">
        <v>41613</v>
      </c>
      <c r="B74" s="21">
        <f t="shared" ref="B74:B137" si="6">A74-$A$9</f>
        <v>65</v>
      </c>
      <c r="C74" s="36"/>
      <c r="D74" s="71">
        <v>0.15</v>
      </c>
      <c r="E74" s="74">
        <v>175525</v>
      </c>
      <c r="F74" s="10">
        <v>113600</v>
      </c>
      <c r="G74" s="10">
        <f t="shared" si="3"/>
        <v>61925</v>
      </c>
      <c r="U74" s="74">
        <v>3422.5</v>
      </c>
      <c r="AF74" s="80">
        <v>3110</v>
      </c>
      <c r="AG74" s="80">
        <v>22.7</v>
      </c>
      <c r="AH74" s="80">
        <v>68</v>
      </c>
      <c r="AI74" s="80">
        <v>0.75700000000000001</v>
      </c>
      <c r="AJ74" s="10">
        <v>0.26083333333333331</v>
      </c>
      <c r="AK74" s="10">
        <v>1.6154166666666663</v>
      </c>
      <c r="AL74">
        <v>1590</v>
      </c>
      <c r="AP74">
        <v>114625</v>
      </c>
      <c r="AQ74" s="10">
        <f>E74+U74-AL74</f>
        <v>177357.5</v>
      </c>
      <c r="AX74" s="10">
        <v>2.86</v>
      </c>
      <c r="AZ74" s="10">
        <v>21</v>
      </c>
      <c r="BA74" s="10">
        <v>9.2870000000000008</v>
      </c>
      <c r="BB74">
        <v>2.63</v>
      </c>
      <c r="BD74">
        <v>80</v>
      </c>
      <c r="BE74">
        <v>10.622</v>
      </c>
      <c r="BF74" s="10">
        <v>2.6</v>
      </c>
      <c r="BH74" s="10">
        <v>80.8</v>
      </c>
      <c r="BI74" s="10">
        <v>10.71</v>
      </c>
      <c r="BJ74">
        <v>3.15</v>
      </c>
      <c r="BL74">
        <v>114</v>
      </c>
      <c r="BM74">
        <v>542</v>
      </c>
      <c r="BN74">
        <v>5.9379999999999997</v>
      </c>
      <c r="BO74" s="10">
        <v>13.401</v>
      </c>
      <c r="BP74">
        <v>61925</v>
      </c>
      <c r="CB74">
        <v>10</v>
      </c>
      <c r="CC74">
        <v>20344</v>
      </c>
      <c r="CD74">
        <v>2474</v>
      </c>
      <c r="CE74">
        <v>3232</v>
      </c>
      <c r="CF74">
        <v>3049</v>
      </c>
      <c r="CG74">
        <v>3157</v>
      </c>
      <c r="CH74">
        <v>6128</v>
      </c>
      <c r="CI74">
        <v>15566</v>
      </c>
      <c r="CK74">
        <v>0</v>
      </c>
      <c r="CL74">
        <v>37000</v>
      </c>
      <c r="CM74">
        <v>0</v>
      </c>
      <c r="CN74">
        <v>34000</v>
      </c>
      <c r="CO74">
        <v>0</v>
      </c>
      <c r="CP74">
        <v>30000</v>
      </c>
      <c r="CQ74">
        <v>68</v>
      </c>
      <c r="CR74">
        <v>64000</v>
      </c>
      <c r="CS74" s="5">
        <v>0</v>
      </c>
      <c r="CU74" s="5">
        <v>0</v>
      </c>
      <c r="CW74" s="5">
        <v>0</v>
      </c>
      <c r="CY74">
        <v>57</v>
      </c>
      <c r="CZ74">
        <v>11.4</v>
      </c>
      <c r="DA74">
        <v>28.8</v>
      </c>
      <c r="DB74">
        <v>6850</v>
      </c>
      <c r="DC74">
        <v>66.058999999999997</v>
      </c>
      <c r="DD74">
        <v>38.935000000000002</v>
      </c>
      <c r="DE74">
        <v>4.0000000000000001E-3</v>
      </c>
      <c r="DF74">
        <v>6300</v>
      </c>
      <c r="DH74">
        <v>167.4</v>
      </c>
      <c r="DI74">
        <v>62780</v>
      </c>
      <c r="DJ74">
        <v>20.7</v>
      </c>
      <c r="DK74">
        <v>43</v>
      </c>
      <c r="DN74" s="23"/>
      <c r="DO74">
        <v>0</v>
      </c>
      <c r="DP74" t="s">
        <v>286</v>
      </c>
    </row>
    <row r="75" spans="1:120" x14ac:dyDescent="0.3">
      <c r="A75" s="2">
        <v>41614</v>
      </c>
      <c r="B75" s="21">
        <f t="shared" si="6"/>
        <v>66</v>
      </c>
      <c r="C75" s="36"/>
      <c r="D75" s="71">
        <v>3.65</v>
      </c>
      <c r="E75" s="74">
        <v>199100</v>
      </c>
      <c r="F75" s="10">
        <v>125500</v>
      </c>
      <c r="G75" s="10">
        <f t="shared" si="3"/>
        <v>73600</v>
      </c>
      <c r="U75" s="74">
        <v>3956.95</v>
      </c>
      <c r="AI75" s="80">
        <v>0.55900000000000005</v>
      </c>
      <c r="AJ75" s="10">
        <v>0.27458333333333335</v>
      </c>
      <c r="AK75" s="10">
        <v>1.4908333333333335</v>
      </c>
      <c r="AL75">
        <v>2072</v>
      </c>
      <c r="AP75">
        <v>88000</v>
      </c>
      <c r="AQ75" s="10">
        <f t="shared" si="5"/>
        <v>200984.95</v>
      </c>
      <c r="AX75" s="10">
        <v>2.8559999999999999</v>
      </c>
      <c r="AZ75" s="10">
        <v>21</v>
      </c>
      <c r="BA75" s="10">
        <v>9.8640000000000008</v>
      </c>
      <c r="BB75">
        <v>2.8839999999999999</v>
      </c>
      <c r="BD75">
        <v>80</v>
      </c>
      <c r="BE75">
        <v>11.125999999999999</v>
      </c>
      <c r="BF75" s="10">
        <v>2.7770000000000001</v>
      </c>
      <c r="BH75" s="10">
        <v>70</v>
      </c>
      <c r="BI75" s="10">
        <v>11.121</v>
      </c>
      <c r="BJ75">
        <v>3.1709999999999998</v>
      </c>
      <c r="BM75">
        <v>533</v>
      </c>
      <c r="BN75">
        <v>6.3140000000000001</v>
      </c>
      <c r="BO75" s="10">
        <v>12.936</v>
      </c>
      <c r="BP75">
        <v>73600</v>
      </c>
      <c r="CB75">
        <v>1</v>
      </c>
      <c r="CC75">
        <v>14339</v>
      </c>
      <c r="CD75">
        <v>2562</v>
      </c>
      <c r="CE75">
        <v>3264</v>
      </c>
      <c r="CF75">
        <v>3023</v>
      </c>
      <c r="CG75">
        <v>3244.5</v>
      </c>
      <c r="CH75">
        <v>6068</v>
      </c>
      <c r="CI75">
        <v>15600</v>
      </c>
      <c r="CK75">
        <v>0</v>
      </c>
      <c r="CL75">
        <v>37000</v>
      </c>
      <c r="CM75">
        <v>0</v>
      </c>
      <c r="CN75">
        <v>34000</v>
      </c>
      <c r="CO75">
        <v>0</v>
      </c>
      <c r="CP75">
        <v>30000</v>
      </c>
      <c r="CQ75">
        <v>70</v>
      </c>
      <c r="CR75">
        <v>64000</v>
      </c>
      <c r="CS75" s="5">
        <v>0</v>
      </c>
      <c r="CU75" s="5">
        <v>0</v>
      </c>
      <c r="CW75" s="5">
        <v>0</v>
      </c>
      <c r="CY75">
        <v>41.8</v>
      </c>
      <c r="CZ75">
        <v>38</v>
      </c>
      <c r="DA75">
        <v>25.2</v>
      </c>
      <c r="DB75">
        <v>8841</v>
      </c>
      <c r="DC75">
        <v>65.350999999999999</v>
      </c>
      <c r="DD75">
        <v>39</v>
      </c>
      <c r="DE75">
        <v>4.0000000000000001E-3</v>
      </c>
      <c r="DF75">
        <v>9015</v>
      </c>
      <c r="DH75">
        <v>156.80000000000001</v>
      </c>
      <c r="DI75">
        <v>32300</v>
      </c>
      <c r="DJ75">
        <v>20.7</v>
      </c>
      <c r="DK75">
        <v>43</v>
      </c>
      <c r="DN75" s="23"/>
      <c r="DO75">
        <v>0</v>
      </c>
      <c r="DP75" t="s">
        <v>286</v>
      </c>
    </row>
    <row r="76" spans="1:120" x14ac:dyDescent="0.3">
      <c r="A76" s="2">
        <v>41615</v>
      </c>
      <c r="B76" s="21">
        <f t="shared" si="6"/>
        <v>67</v>
      </c>
      <c r="C76" s="36"/>
      <c r="D76" s="71">
        <v>1.04</v>
      </c>
      <c r="E76" s="74">
        <v>178850</v>
      </c>
      <c r="F76" s="10">
        <v>115000</v>
      </c>
      <c r="G76" s="10">
        <f t="shared" si="3"/>
        <v>63850</v>
      </c>
      <c r="U76" s="74">
        <v>3662.3</v>
      </c>
      <c r="AI76" s="80">
        <v>0.66500000000000004</v>
      </c>
      <c r="AJ76" s="10">
        <v>0.32500000000000012</v>
      </c>
      <c r="AK76" s="10">
        <v>1.5558333333333334</v>
      </c>
      <c r="AL76">
        <v>1837</v>
      </c>
      <c r="AP76">
        <v>78600</v>
      </c>
      <c r="AQ76" s="10">
        <f t="shared" si="5"/>
        <v>180675.3</v>
      </c>
      <c r="AX76" s="10">
        <v>2.976</v>
      </c>
      <c r="AZ76" s="10">
        <v>21</v>
      </c>
      <c r="BA76" s="10">
        <v>9.7949999999999999</v>
      </c>
      <c r="BB76">
        <v>3.04</v>
      </c>
      <c r="BD76">
        <v>71</v>
      </c>
      <c r="BE76">
        <v>11.324</v>
      </c>
      <c r="BF76" s="10">
        <v>2.9009999999999998</v>
      </c>
      <c r="BH76" s="10">
        <v>61</v>
      </c>
      <c r="BI76" s="10">
        <v>10.784000000000001</v>
      </c>
      <c r="BJ76">
        <v>3.2309999999999999</v>
      </c>
      <c r="BM76">
        <v>514</v>
      </c>
      <c r="BN76">
        <v>5.9660000000000002</v>
      </c>
      <c r="BO76" s="10">
        <v>12.44</v>
      </c>
      <c r="BP76">
        <v>63850</v>
      </c>
      <c r="CB76">
        <v>0</v>
      </c>
      <c r="CC76">
        <v>11832</v>
      </c>
      <c r="CD76">
        <v>2368</v>
      </c>
      <c r="CE76">
        <v>2874</v>
      </c>
      <c r="CF76">
        <v>2676</v>
      </c>
      <c r="CG76">
        <v>2815.5</v>
      </c>
      <c r="CH76">
        <v>5134</v>
      </c>
      <c r="CI76">
        <v>13500</v>
      </c>
      <c r="CK76">
        <v>0</v>
      </c>
      <c r="CL76">
        <v>37000</v>
      </c>
      <c r="CM76">
        <v>0</v>
      </c>
      <c r="CN76">
        <v>34000</v>
      </c>
      <c r="CO76">
        <v>0</v>
      </c>
      <c r="CP76">
        <v>30000</v>
      </c>
      <c r="CQ76">
        <v>34</v>
      </c>
      <c r="CR76">
        <v>64000</v>
      </c>
      <c r="CS76" s="5">
        <v>0</v>
      </c>
      <c r="CU76" s="5">
        <v>0</v>
      </c>
      <c r="CW76" s="5">
        <v>0</v>
      </c>
      <c r="CY76">
        <v>38</v>
      </c>
      <c r="CZ76">
        <v>26.6</v>
      </c>
      <c r="DA76">
        <v>25.2</v>
      </c>
      <c r="DB76">
        <v>8828</v>
      </c>
      <c r="DC76">
        <v>65.643000000000001</v>
      </c>
      <c r="DD76">
        <v>39.287999999999997</v>
      </c>
      <c r="DE76">
        <v>4.0000000000000001E-3</v>
      </c>
      <c r="DF76">
        <v>8750</v>
      </c>
      <c r="DH76">
        <v>153.80000000000001</v>
      </c>
      <c r="DI76">
        <v>64860</v>
      </c>
      <c r="DJ76">
        <v>20.7</v>
      </c>
      <c r="DK76">
        <v>43</v>
      </c>
      <c r="DN76" s="23"/>
      <c r="DO76">
        <v>0</v>
      </c>
      <c r="DP76" t="s">
        <v>286</v>
      </c>
    </row>
    <row r="77" spans="1:120" x14ac:dyDescent="0.3">
      <c r="A77" s="2">
        <v>41616</v>
      </c>
      <c r="B77" s="21">
        <f t="shared" si="6"/>
        <v>68</v>
      </c>
      <c r="C77" s="36"/>
      <c r="D77" s="71">
        <v>1.92</v>
      </c>
      <c r="E77" s="74">
        <v>186500</v>
      </c>
      <c r="F77" s="10">
        <v>91100</v>
      </c>
      <c r="G77" s="10">
        <f t="shared" ref="G77:G140" si="7">E77-F77</f>
        <v>95400</v>
      </c>
      <c r="U77" s="74">
        <v>3228.1</v>
      </c>
      <c r="AI77" s="80">
        <v>0.06</v>
      </c>
      <c r="AJ77" s="10">
        <v>0.3216666666666666</v>
      </c>
      <c r="AK77" s="10">
        <v>1.4541666666666664</v>
      </c>
      <c r="AL77">
        <v>1800</v>
      </c>
      <c r="AP77">
        <v>103133</v>
      </c>
      <c r="AQ77" s="10">
        <f t="shared" si="5"/>
        <v>187928.1</v>
      </c>
      <c r="AX77" s="10">
        <v>3.0339999999999998</v>
      </c>
      <c r="AZ77" s="10">
        <v>21</v>
      </c>
      <c r="BA77" s="10">
        <v>9.8650000000000002</v>
      </c>
      <c r="BB77">
        <v>3.105</v>
      </c>
      <c r="BD77">
        <v>70</v>
      </c>
      <c r="BE77">
        <v>11.66</v>
      </c>
      <c r="BF77" s="10">
        <v>3.1349999999999998</v>
      </c>
      <c r="BH77" s="10">
        <v>60.5</v>
      </c>
      <c r="BI77" s="10">
        <v>11.423</v>
      </c>
      <c r="BJ77">
        <v>3.1560000000000001</v>
      </c>
      <c r="BM77">
        <v>514</v>
      </c>
      <c r="BN77">
        <v>4.7629999999999999</v>
      </c>
      <c r="BO77" s="10">
        <v>12.606</v>
      </c>
      <c r="BP77">
        <v>95400</v>
      </c>
      <c r="CB77">
        <v>0</v>
      </c>
      <c r="CC77">
        <v>17350</v>
      </c>
      <c r="CD77">
        <v>2560</v>
      </c>
      <c r="CE77">
        <v>3146</v>
      </c>
      <c r="CF77">
        <v>3156.5</v>
      </c>
      <c r="CG77">
        <v>3140</v>
      </c>
      <c r="CH77">
        <v>6081</v>
      </c>
      <c r="CI77">
        <v>15524</v>
      </c>
      <c r="CK77">
        <v>0</v>
      </c>
      <c r="CL77">
        <v>37000</v>
      </c>
      <c r="CM77">
        <v>0</v>
      </c>
      <c r="CN77">
        <v>34000</v>
      </c>
      <c r="CO77">
        <v>0</v>
      </c>
      <c r="CP77">
        <v>30000</v>
      </c>
      <c r="CQ77">
        <v>0</v>
      </c>
      <c r="CR77">
        <v>64000</v>
      </c>
      <c r="CS77" s="5">
        <v>0</v>
      </c>
      <c r="CU77" s="5">
        <v>0</v>
      </c>
      <c r="CW77" s="5">
        <v>0</v>
      </c>
      <c r="CY77">
        <v>34.200000000000003</v>
      </c>
      <c r="CZ77">
        <v>22.8</v>
      </c>
      <c r="DA77">
        <v>21.6</v>
      </c>
      <c r="DB77">
        <v>7565</v>
      </c>
      <c r="DC77">
        <v>64.724999999999994</v>
      </c>
      <c r="DD77">
        <v>39.968000000000004</v>
      </c>
      <c r="DE77">
        <v>4.0000000000000001E-3</v>
      </c>
      <c r="DF77">
        <v>7535</v>
      </c>
      <c r="DH77">
        <v>89.3</v>
      </c>
      <c r="DI77">
        <v>33580</v>
      </c>
      <c r="DJ77">
        <v>20.7</v>
      </c>
      <c r="DK77">
        <v>43</v>
      </c>
      <c r="DN77" s="23"/>
      <c r="DO77">
        <v>0</v>
      </c>
      <c r="DP77" t="s">
        <v>286</v>
      </c>
    </row>
    <row r="78" spans="1:120" x14ac:dyDescent="0.3">
      <c r="A78" s="2">
        <v>41617</v>
      </c>
      <c r="B78" s="21">
        <f t="shared" si="6"/>
        <v>69</v>
      </c>
      <c r="C78" s="36"/>
      <c r="D78" s="71">
        <v>0.04</v>
      </c>
      <c r="E78" s="74">
        <v>176225</v>
      </c>
      <c r="F78" s="10">
        <v>119700</v>
      </c>
      <c r="G78" s="10">
        <f t="shared" si="7"/>
        <v>56525</v>
      </c>
      <c r="N78">
        <v>5801</v>
      </c>
      <c r="U78" s="74">
        <v>3395.7</v>
      </c>
      <c r="AF78" s="80">
        <v>3060</v>
      </c>
      <c r="AG78" s="80">
        <v>14.4</v>
      </c>
      <c r="AH78" s="80">
        <v>59</v>
      </c>
      <c r="AI78" s="80">
        <v>3.2000000000000001E-2</v>
      </c>
      <c r="AJ78" s="10">
        <v>0.32875000000000004</v>
      </c>
      <c r="AK78" s="10">
        <v>1.5125</v>
      </c>
      <c r="AL78">
        <v>1662</v>
      </c>
      <c r="AP78">
        <v>84667</v>
      </c>
      <c r="AQ78" s="10">
        <f t="shared" si="5"/>
        <v>177958.7</v>
      </c>
      <c r="AX78" s="10">
        <v>2.96</v>
      </c>
      <c r="AZ78" s="10">
        <v>31</v>
      </c>
      <c r="BA78" s="10">
        <v>9.8260000000000005</v>
      </c>
      <c r="BB78">
        <v>2.98</v>
      </c>
      <c r="BD78">
        <v>76</v>
      </c>
      <c r="BE78">
        <v>11.631</v>
      </c>
      <c r="BF78" s="10">
        <v>3.15</v>
      </c>
      <c r="BH78" s="10">
        <v>72.5</v>
      </c>
      <c r="BI78" s="10">
        <v>11.548</v>
      </c>
      <c r="BJ78">
        <v>3.24</v>
      </c>
      <c r="BL78">
        <v>111</v>
      </c>
      <c r="BM78">
        <v>504</v>
      </c>
      <c r="BN78">
        <v>6.0049999999999999</v>
      </c>
      <c r="BO78" s="10">
        <v>12.836</v>
      </c>
      <c r="BP78">
        <v>56525</v>
      </c>
      <c r="CB78">
        <v>0</v>
      </c>
      <c r="CC78">
        <v>14897</v>
      </c>
      <c r="CD78">
        <v>2465</v>
      </c>
      <c r="CE78">
        <v>2716</v>
      </c>
      <c r="CF78">
        <v>2549</v>
      </c>
      <c r="CG78">
        <v>2681</v>
      </c>
      <c r="CH78">
        <v>4833</v>
      </c>
      <c r="CI78">
        <v>12779</v>
      </c>
      <c r="CK78">
        <v>0</v>
      </c>
      <c r="CL78">
        <v>37000</v>
      </c>
      <c r="CM78">
        <v>0</v>
      </c>
      <c r="CN78">
        <v>34000</v>
      </c>
      <c r="CO78">
        <v>36</v>
      </c>
      <c r="CP78">
        <v>30000</v>
      </c>
      <c r="CQ78">
        <v>0</v>
      </c>
      <c r="CR78">
        <v>64000</v>
      </c>
      <c r="CS78" s="5">
        <v>0</v>
      </c>
      <c r="CU78" s="5">
        <v>0</v>
      </c>
      <c r="CW78" s="5">
        <v>0</v>
      </c>
      <c r="CY78">
        <v>38</v>
      </c>
      <c r="CZ78">
        <v>19</v>
      </c>
      <c r="DA78">
        <v>25.2</v>
      </c>
      <c r="DB78">
        <v>7275</v>
      </c>
      <c r="DC78">
        <v>64.745999999999995</v>
      </c>
      <c r="DD78">
        <v>39.878</v>
      </c>
      <c r="DE78">
        <v>4.0000000000000001E-3</v>
      </c>
      <c r="DF78">
        <v>7182.5</v>
      </c>
      <c r="DH78">
        <v>111</v>
      </c>
      <c r="DI78">
        <v>0</v>
      </c>
      <c r="DJ78">
        <v>20.7</v>
      </c>
      <c r="DK78">
        <v>43</v>
      </c>
      <c r="DN78" s="23"/>
      <c r="DO78">
        <v>0</v>
      </c>
      <c r="DP78" t="s">
        <v>286</v>
      </c>
    </row>
    <row r="79" spans="1:120" x14ac:dyDescent="0.3">
      <c r="A79" s="2">
        <v>41618</v>
      </c>
      <c r="B79" s="21">
        <f t="shared" si="6"/>
        <v>70</v>
      </c>
      <c r="C79" s="36"/>
      <c r="D79" s="71">
        <v>0</v>
      </c>
      <c r="E79" s="74">
        <v>178100</v>
      </c>
      <c r="F79" s="10">
        <v>120000</v>
      </c>
      <c r="G79" s="10">
        <f t="shared" si="7"/>
        <v>58100</v>
      </c>
      <c r="H79" s="80">
        <v>385</v>
      </c>
      <c r="J79" s="80">
        <v>53.9</v>
      </c>
      <c r="K79" s="80">
        <v>6.79</v>
      </c>
      <c r="M79" s="10">
        <v>244695</v>
      </c>
      <c r="P79" s="80">
        <v>150</v>
      </c>
      <c r="R79" s="80">
        <v>19.399999999999999</v>
      </c>
      <c r="S79" s="80">
        <v>4.0999999999999996</v>
      </c>
      <c r="U79" s="74">
        <v>3773.95</v>
      </c>
      <c r="AI79" s="80">
        <v>3.2000000000000001E-2</v>
      </c>
      <c r="AJ79" s="10">
        <v>0.31875000000000003</v>
      </c>
      <c r="AK79" s="10">
        <v>1.4858333333333331</v>
      </c>
      <c r="AL79">
        <v>1718</v>
      </c>
      <c r="AP79">
        <v>92750</v>
      </c>
      <c r="AQ79" s="10">
        <f t="shared" si="5"/>
        <v>180155.95</v>
      </c>
      <c r="AR79" s="80">
        <v>160</v>
      </c>
      <c r="AT79" s="80">
        <v>20.2</v>
      </c>
      <c r="AU79" s="80">
        <v>4.0999999999999996</v>
      </c>
      <c r="AV79" s="80">
        <v>50</v>
      </c>
      <c r="AX79" s="10">
        <v>3.121</v>
      </c>
      <c r="AZ79" s="10">
        <v>30</v>
      </c>
      <c r="BA79" s="10">
        <v>9.9670000000000005</v>
      </c>
      <c r="BB79">
        <v>3.2709999999999999</v>
      </c>
      <c r="BD79">
        <v>80</v>
      </c>
      <c r="BE79">
        <v>11.779</v>
      </c>
      <c r="BF79" s="10">
        <v>3.2690000000000001</v>
      </c>
      <c r="BH79" s="10">
        <v>81</v>
      </c>
      <c r="BI79" s="10">
        <v>11.461</v>
      </c>
      <c r="BJ79">
        <v>3.2949999999999999</v>
      </c>
      <c r="BM79">
        <v>473</v>
      </c>
      <c r="BN79">
        <v>6.1020000000000003</v>
      </c>
      <c r="BO79" s="10">
        <v>13.125999999999999</v>
      </c>
      <c r="BP79">
        <v>58100</v>
      </c>
      <c r="BR79">
        <v>36</v>
      </c>
      <c r="BS79">
        <v>4</v>
      </c>
      <c r="BT79">
        <v>2.7</v>
      </c>
      <c r="BU79">
        <v>0.47</v>
      </c>
      <c r="BV79">
        <v>0.16</v>
      </c>
      <c r="BW79">
        <v>7</v>
      </c>
      <c r="BX79">
        <v>2.6</v>
      </c>
      <c r="BY79">
        <v>2.8</v>
      </c>
      <c r="BZ79" s="15">
        <v>4</v>
      </c>
      <c r="CA79">
        <v>0.39</v>
      </c>
      <c r="CB79">
        <v>0</v>
      </c>
      <c r="CC79">
        <v>15855</v>
      </c>
      <c r="CD79">
        <v>2671</v>
      </c>
      <c r="CE79">
        <v>3130</v>
      </c>
      <c r="CF79">
        <v>2819.5</v>
      </c>
      <c r="CG79">
        <v>3016</v>
      </c>
      <c r="CH79">
        <v>5464</v>
      </c>
      <c r="CI79">
        <v>14430</v>
      </c>
      <c r="CK79">
        <v>0</v>
      </c>
      <c r="CL79">
        <v>37000</v>
      </c>
      <c r="CM79">
        <v>0</v>
      </c>
      <c r="CN79">
        <v>34000</v>
      </c>
      <c r="CO79">
        <v>36</v>
      </c>
      <c r="CP79">
        <v>30000</v>
      </c>
      <c r="CQ79">
        <v>69</v>
      </c>
      <c r="CR79">
        <v>64000</v>
      </c>
      <c r="CS79" s="5">
        <v>0</v>
      </c>
      <c r="CU79" s="5">
        <v>0</v>
      </c>
      <c r="CW79" s="5">
        <v>0</v>
      </c>
      <c r="CY79">
        <v>11.7</v>
      </c>
      <c r="CZ79">
        <v>35.1</v>
      </c>
      <c r="DA79">
        <v>24.5</v>
      </c>
      <c r="DB79">
        <v>7905</v>
      </c>
      <c r="DC79">
        <v>65.254999999999995</v>
      </c>
      <c r="DD79">
        <v>39.713999999999999</v>
      </c>
      <c r="DE79">
        <v>5.0000000000000001E-3</v>
      </c>
      <c r="DF79">
        <v>7752.5</v>
      </c>
      <c r="DH79">
        <v>208.3</v>
      </c>
      <c r="DI79">
        <v>101760</v>
      </c>
      <c r="DJ79">
        <v>20.7</v>
      </c>
      <c r="DK79">
        <v>43</v>
      </c>
      <c r="DN79" s="23"/>
      <c r="DO79">
        <v>0</v>
      </c>
      <c r="DP79" t="s">
        <v>286</v>
      </c>
    </row>
    <row r="80" spans="1:120" x14ac:dyDescent="0.3">
      <c r="A80" s="2">
        <v>41619</v>
      </c>
      <c r="B80" s="21">
        <f t="shared" si="6"/>
        <v>71</v>
      </c>
      <c r="C80" s="36"/>
      <c r="D80" s="71">
        <v>0.01</v>
      </c>
      <c r="E80" s="74">
        <v>174675</v>
      </c>
      <c r="F80" s="10">
        <v>120000</v>
      </c>
      <c r="G80" s="10">
        <f t="shared" si="7"/>
        <v>54675</v>
      </c>
      <c r="U80" s="74">
        <v>3726.9</v>
      </c>
      <c r="AI80" s="80">
        <v>7.6999999999999999E-2</v>
      </c>
      <c r="AJ80" s="10">
        <v>0.60083333333333344</v>
      </c>
      <c r="AK80" s="10">
        <v>2.0708333333333333</v>
      </c>
      <c r="AL80">
        <v>1796</v>
      </c>
      <c r="AN80" s="80">
        <v>7413</v>
      </c>
      <c r="AP80">
        <v>97383</v>
      </c>
      <c r="AQ80" s="10">
        <f t="shared" si="5"/>
        <v>176605.9</v>
      </c>
      <c r="AX80" s="10">
        <v>3.1549999999999998</v>
      </c>
      <c r="AZ80" s="10">
        <v>31</v>
      </c>
      <c r="BA80" s="10">
        <v>9.6630000000000003</v>
      </c>
      <c r="BB80">
        <v>3.31</v>
      </c>
      <c r="BD80">
        <v>101.898</v>
      </c>
      <c r="BE80">
        <v>11.388</v>
      </c>
      <c r="BF80" s="10">
        <v>3.26</v>
      </c>
      <c r="BH80" s="10">
        <v>100</v>
      </c>
      <c r="BI80" s="10">
        <v>11.471</v>
      </c>
      <c r="BJ80">
        <v>3.302</v>
      </c>
      <c r="BM80">
        <v>422</v>
      </c>
      <c r="BN80">
        <v>6.04</v>
      </c>
      <c r="BO80" s="10">
        <v>13.064</v>
      </c>
      <c r="BP80">
        <v>54675</v>
      </c>
      <c r="CB80">
        <v>0</v>
      </c>
      <c r="CC80">
        <v>13336</v>
      </c>
      <c r="CD80">
        <v>2188</v>
      </c>
      <c r="CE80">
        <v>2934</v>
      </c>
      <c r="CF80">
        <v>2821</v>
      </c>
      <c r="CG80">
        <v>2813</v>
      </c>
      <c r="CH80">
        <v>5160</v>
      </c>
      <c r="CI80">
        <v>13728</v>
      </c>
      <c r="CK80">
        <v>0</v>
      </c>
      <c r="CL80">
        <v>37000</v>
      </c>
      <c r="CM80">
        <v>0</v>
      </c>
      <c r="CN80">
        <v>34000</v>
      </c>
      <c r="CO80">
        <v>95</v>
      </c>
      <c r="CP80">
        <v>30000</v>
      </c>
      <c r="CQ80">
        <v>69</v>
      </c>
      <c r="CR80">
        <v>64000</v>
      </c>
      <c r="CS80" s="5">
        <v>0</v>
      </c>
      <c r="CU80" s="5">
        <v>0</v>
      </c>
      <c r="CW80" s="5">
        <v>0</v>
      </c>
      <c r="CY80">
        <v>50.7</v>
      </c>
      <c r="CZ80">
        <v>15.6</v>
      </c>
      <c r="DA80">
        <v>21</v>
      </c>
      <c r="DB80">
        <v>8578</v>
      </c>
      <c r="DC80">
        <v>65.347999999999999</v>
      </c>
      <c r="DD80">
        <v>39.840000000000003</v>
      </c>
      <c r="DE80">
        <v>5.0000000000000001E-3</v>
      </c>
      <c r="DF80">
        <v>8600</v>
      </c>
      <c r="DH80">
        <v>201.4</v>
      </c>
      <c r="DI80">
        <v>36280</v>
      </c>
      <c r="DJ80">
        <v>20.3</v>
      </c>
      <c r="DK80">
        <v>39</v>
      </c>
      <c r="DN80" s="23"/>
      <c r="DO80">
        <v>0</v>
      </c>
      <c r="DP80" t="s">
        <v>286</v>
      </c>
    </row>
    <row r="81" spans="1:120" x14ac:dyDescent="0.3">
      <c r="A81" s="2">
        <v>41620</v>
      </c>
      <c r="B81" s="21">
        <f t="shared" si="6"/>
        <v>72</v>
      </c>
      <c r="C81" s="36"/>
      <c r="D81" s="71">
        <v>0.19</v>
      </c>
      <c r="E81" s="74">
        <v>185775</v>
      </c>
      <c r="F81" s="10">
        <v>131750</v>
      </c>
      <c r="G81" s="10">
        <f t="shared" si="7"/>
        <v>54025</v>
      </c>
      <c r="U81" s="74">
        <v>3775.9</v>
      </c>
      <c r="AF81" s="80">
        <v>2778</v>
      </c>
      <c r="AG81" s="80">
        <v>17.100000000000001</v>
      </c>
      <c r="AH81" s="80">
        <v>72</v>
      </c>
      <c r="AI81" s="80">
        <v>0.877</v>
      </c>
      <c r="AJ81" s="10">
        <v>0.44208333333333344</v>
      </c>
      <c r="AK81" s="10">
        <v>1.7404166666666667</v>
      </c>
      <c r="AL81">
        <v>1797</v>
      </c>
      <c r="AP81">
        <v>77434</v>
      </c>
      <c r="AQ81" s="10">
        <f t="shared" si="5"/>
        <v>187753.9</v>
      </c>
      <c r="AX81" s="10">
        <v>3.65</v>
      </c>
      <c r="AZ81" s="10">
        <v>31</v>
      </c>
      <c r="BA81" s="10">
        <v>9.8130000000000006</v>
      </c>
      <c r="BB81">
        <v>3.56</v>
      </c>
      <c r="BD81">
        <v>125.102</v>
      </c>
      <c r="BE81">
        <v>11.582000000000001</v>
      </c>
      <c r="BF81" s="10">
        <v>3.23</v>
      </c>
      <c r="BH81" s="10">
        <v>121</v>
      </c>
      <c r="BI81" s="10">
        <v>11.374000000000001</v>
      </c>
      <c r="BJ81">
        <v>3.68</v>
      </c>
      <c r="BL81">
        <v>122</v>
      </c>
      <c r="BM81">
        <v>404</v>
      </c>
      <c r="BN81">
        <v>6.3079999999999998</v>
      </c>
      <c r="BO81" s="10">
        <v>12.919</v>
      </c>
      <c r="BP81">
        <v>54025</v>
      </c>
      <c r="CB81">
        <v>0</v>
      </c>
      <c r="CC81">
        <v>14951</v>
      </c>
      <c r="CD81">
        <v>2346</v>
      </c>
      <c r="CE81">
        <v>3060</v>
      </c>
      <c r="CF81">
        <v>2820</v>
      </c>
      <c r="CG81">
        <v>3015</v>
      </c>
      <c r="CH81">
        <v>5670</v>
      </c>
      <c r="CI81">
        <v>14565</v>
      </c>
      <c r="CK81">
        <v>0</v>
      </c>
      <c r="CL81">
        <v>37000</v>
      </c>
      <c r="CM81">
        <v>0</v>
      </c>
      <c r="CN81">
        <v>34000</v>
      </c>
      <c r="CO81">
        <v>48</v>
      </c>
      <c r="CP81">
        <v>30000</v>
      </c>
      <c r="CQ81">
        <v>68</v>
      </c>
      <c r="CR81">
        <v>64000</v>
      </c>
      <c r="CS81" s="5">
        <v>0</v>
      </c>
      <c r="CU81" s="5">
        <v>0</v>
      </c>
      <c r="CW81" s="5">
        <v>0</v>
      </c>
      <c r="CY81">
        <v>50.7</v>
      </c>
      <c r="CZ81">
        <v>15.6</v>
      </c>
      <c r="DA81">
        <v>24.5</v>
      </c>
      <c r="DB81">
        <v>8213</v>
      </c>
      <c r="DC81">
        <v>64.953000000000003</v>
      </c>
      <c r="DD81">
        <v>40.064</v>
      </c>
      <c r="DE81">
        <v>5.0000000000000001E-3</v>
      </c>
      <c r="DF81">
        <v>8209</v>
      </c>
      <c r="DH81">
        <v>162.4</v>
      </c>
      <c r="DI81">
        <v>70560</v>
      </c>
      <c r="DJ81">
        <v>20.3</v>
      </c>
      <c r="DK81">
        <v>39</v>
      </c>
      <c r="DN81" s="23"/>
      <c r="DO81">
        <v>0</v>
      </c>
      <c r="DP81" t="s">
        <v>286</v>
      </c>
    </row>
    <row r="82" spans="1:120" x14ac:dyDescent="0.3">
      <c r="A82" s="2">
        <v>41621</v>
      </c>
      <c r="B82" s="21">
        <f t="shared" si="6"/>
        <v>73</v>
      </c>
      <c r="C82" s="36"/>
      <c r="D82" s="71">
        <v>0.05</v>
      </c>
      <c r="E82" s="74">
        <v>167725</v>
      </c>
      <c r="F82" s="10">
        <v>116750</v>
      </c>
      <c r="G82" s="10">
        <f t="shared" si="7"/>
        <v>50975</v>
      </c>
      <c r="U82" s="74">
        <v>3981.85</v>
      </c>
      <c r="AI82" s="80">
        <v>0.86</v>
      </c>
      <c r="AJ82" s="10">
        <v>0.35916666666666669</v>
      </c>
      <c r="AK82" s="10">
        <v>1.5975000000000001</v>
      </c>
      <c r="AL82">
        <v>1790</v>
      </c>
      <c r="AP82">
        <v>73358</v>
      </c>
      <c r="AQ82" s="10">
        <f t="shared" si="5"/>
        <v>169916.85</v>
      </c>
      <c r="AX82" s="10">
        <v>3.2989999999999999</v>
      </c>
      <c r="AZ82" s="10">
        <v>31</v>
      </c>
      <c r="BA82" s="10">
        <v>9.68</v>
      </c>
      <c r="BB82">
        <v>3.2869999999999999</v>
      </c>
      <c r="BD82">
        <v>128</v>
      </c>
      <c r="BE82">
        <v>11.468999999999999</v>
      </c>
      <c r="BF82" s="10">
        <v>3.1110000000000002</v>
      </c>
      <c r="BH82" s="10">
        <v>110</v>
      </c>
      <c r="BI82" s="10">
        <v>10.691000000000001</v>
      </c>
      <c r="BJ82">
        <v>3.3620000000000001</v>
      </c>
      <c r="BM82">
        <v>384</v>
      </c>
      <c r="BN82">
        <v>5.9539999999999997</v>
      </c>
      <c r="BO82" s="10">
        <v>12.715</v>
      </c>
      <c r="BP82">
        <v>50975</v>
      </c>
      <c r="CB82">
        <v>0</v>
      </c>
      <c r="CC82">
        <v>13471</v>
      </c>
      <c r="CD82">
        <v>2262</v>
      </c>
      <c r="CE82">
        <v>3060</v>
      </c>
      <c r="CF82">
        <v>2916</v>
      </c>
      <c r="CG82">
        <v>2945</v>
      </c>
      <c r="CH82">
        <v>5402</v>
      </c>
      <c r="CI82">
        <v>14323</v>
      </c>
      <c r="CK82">
        <v>0</v>
      </c>
      <c r="CL82">
        <v>37000</v>
      </c>
      <c r="CM82">
        <v>0</v>
      </c>
      <c r="CN82">
        <v>34000</v>
      </c>
      <c r="CO82">
        <v>71</v>
      </c>
      <c r="CP82">
        <v>30000</v>
      </c>
      <c r="CQ82">
        <v>69</v>
      </c>
      <c r="CR82">
        <v>64000</v>
      </c>
      <c r="CS82" s="5">
        <v>0</v>
      </c>
      <c r="CU82" s="5">
        <v>0</v>
      </c>
      <c r="CW82" s="5">
        <v>0</v>
      </c>
      <c r="CY82">
        <v>51.8</v>
      </c>
      <c r="CZ82">
        <v>11.1</v>
      </c>
      <c r="DA82">
        <v>24.5</v>
      </c>
      <c r="DB82">
        <v>8638</v>
      </c>
      <c r="DC82">
        <v>64.956999999999994</v>
      </c>
      <c r="DD82">
        <v>39.832999999999998</v>
      </c>
      <c r="DE82">
        <v>4.0000000000000001E-3</v>
      </c>
      <c r="DF82">
        <v>8634</v>
      </c>
      <c r="DH82">
        <v>211.8</v>
      </c>
      <c r="DI82">
        <v>66040</v>
      </c>
      <c r="DJ82">
        <v>20.3</v>
      </c>
      <c r="DK82">
        <v>39</v>
      </c>
      <c r="DN82" s="23"/>
      <c r="DO82">
        <v>0</v>
      </c>
      <c r="DP82" t="s">
        <v>286</v>
      </c>
    </row>
    <row r="83" spans="1:120" x14ac:dyDescent="0.3">
      <c r="A83" s="2">
        <v>41622</v>
      </c>
      <c r="B83" s="21">
        <f t="shared" si="6"/>
        <v>74</v>
      </c>
      <c r="C83" s="36"/>
      <c r="D83" s="71">
        <v>3.93</v>
      </c>
      <c r="E83" s="74">
        <v>181600</v>
      </c>
      <c r="F83" s="10">
        <v>114500</v>
      </c>
      <c r="G83" s="10">
        <f t="shared" si="7"/>
        <v>67100</v>
      </c>
      <c r="U83" s="74">
        <v>3333.8</v>
      </c>
      <c r="AI83" s="80">
        <v>0.78600000000000003</v>
      </c>
      <c r="AJ83" s="10">
        <v>0.35458333333333342</v>
      </c>
      <c r="AK83" s="10">
        <v>1.5066666666666668</v>
      </c>
      <c r="AL83">
        <v>1510</v>
      </c>
      <c r="AP83">
        <v>82075</v>
      </c>
      <c r="AQ83" s="10">
        <f t="shared" si="5"/>
        <v>183423.8</v>
      </c>
      <c r="AX83" s="10">
        <v>3.202</v>
      </c>
      <c r="AZ83" s="10">
        <v>60</v>
      </c>
      <c r="BA83" s="10">
        <v>9.8439999999999994</v>
      </c>
      <c r="BB83">
        <v>3.2010000000000001</v>
      </c>
      <c r="BD83">
        <v>141</v>
      </c>
      <c r="BE83">
        <v>11.574</v>
      </c>
      <c r="BF83" s="10">
        <v>3.0019999999999998</v>
      </c>
      <c r="BH83" s="10">
        <v>100</v>
      </c>
      <c r="BI83" s="10">
        <v>10.718</v>
      </c>
      <c r="BJ83">
        <v>3.3090000000000002</v>
      </c>
      <c r="BM83">
        <v>384</v>
      </c>
      <c r="BN83">
        <v>6.1429999999999998</v>
      </c>
      <c r="BO83" s="10">
        <v>12.601000000000001</v>
      </c>
      <c r="BP83">
        <v>67100</v>
      </c>
      <c r="CB83">
        <v>0</v>
      </c>
      <c r="CC83">
        <v>12573</v>
      </c>
      <c r="CD83">
        <v>2368</v>
      </c>
      <c r="CE83">
        <v>3158</v>
      </c>
      <c r="CF83">
        <v>2991</v>
      </c>
      <c r="CG83">
        <v>3110</v>
      </c>
      <c r="CH83">
        <v>5744</v>
      </c>
      <c r="CI83">
        <v>15003</v>
      </c>
      <c r="CK83">
        <v>0</v>
      </c>
      <c r="CL83">
        <v>37000</v>
      </c>
      <c r="CM83">
        <v>0</v>
      </c>
      <c r="CN83">
        <v>34000</v>
      </c>
      <c r="CO83">
        <v>0</v>
      </c>
      <c r="CP83">
        <v>30000</v>
      </c>
      <c r="CQ83">
        <v>68</v>
      </c>
      <c r="CR83">
        <v>64000</v>
      </c>
      <c r="CS83" s="5">
        <v>0</v>
      </c>
      <c r="CU83" s="5">
        <v>0</v>
      </c>
      <c r="CW83" s="5">
        <v>0</v>
      </c>
      <c r="CY83">
        <v>7.4</v>
      </c>
      <c r="CZ83">
        <v>37</v>
      </c>
      <c r="DA83">
        <v>24.5</v>
      </c>
      <c r="DB83">
        <v>9181</v>
      </c>
      <c r="DC83">
        <v>65.108000000000004</v>
      </c>
      <c r="DD83">
        <v>39.395000000000003</v>
      </c>
      <c r="DE83">
        <v>4.0000000000000001E-3</v>
      </c>
      <c r="DF83">
        <v>9178</v>
      </c>
      <c r="DH83">
        <v>141.30000000000001</v>
      </c>
      <c r="DI83">
        <v>106700</v>
      </c>
      <c r="DJ83">
        <v>20.3</v>
      </c>
      <c r="DK83">
        <v>39</v>
      </c>
      <c r="DN83" s="23"/>
      <c r="DO83">
        <v>0</v>
      </c>
      <c r="DP83" t="s">
        <v>286</v>
      </c>
    </row>
    <row r="84" spans="1:120" x14ac:dyDescent="0.3">
      <c r="A84" s="2">
        <v>41623</v>
      </c>
      <c r="B84" s="21">
        <f t="shared" si="6"/>
        <v>75</v>
      </c>
      <c r="C84" s="36"/>
      <c r="D84" s="71">
        <v>0.89</v>
      </c>
      <c r="E84" s="74">
        <v>177675</v>
      </c>
      <c r="F84" s="10">
        <v>119200</v>
      </c>
      <c r="G84" s="10">
        <f t="shared" si="7"/>
        <v>58475</v>
      </c>
      <c r="N84">
        <v>6476</v>
      </c>
      <c r="U84" s="74">
        <v>2978.4</v>
      </c>
      <c r="AI84" s="80">
        <v>0.67600000000000005</v>
      </c>
      <c r="AJ84" s="10">
        <v>0.36291666666666661</v>
      </c>
      <c r="AK84" s="10">
        <v>1.5762500000000002</v>
      </c>
      <c r="AL84">
        <v>1477</v>
      </c>
      <c r="AP84">
        <v>75967</v>
      </c>
      <c r="AQ84" s="10">
        <f t="shared" si="5"/>
        <v>179176.4</v>
      </c>
      <c r="AX84" s="10">
        <v>3.246</v>
      </c>
      <c r="AZ84" s="10">
        <v>61</v>
      </c>
      <c r="BA84" s="10">
        <v>9.7859999999999996</v>
      </c>
      <c r="BB84">
        <v>3.1880000000000002</v>
      </c>
      <c r="BD84">
        <v>141</v>
      </c>
      <c r="BE84">
        <v>11.628</v>
      </c>
      <c r="BF84" s="10">
        <v>3.1579999999999999</v>
      </c>
      <c r="BH84" s="10">
        <v>100.17</v>
      </c>
      <c r="BI84" s="10">
        <v>11.496</v>
      </c>
      <c r="BJ84">
        <v>3.331</v>
      </c>
      <c r="BM84">
        <v>384</v>
      </c>
      <c r="BN84">
        <v>5.577</v>
      </c>
      <c r="BO84" s="10">
        <v>12.462999999999999</v>
      </c>
      <c r="BP84">
        <v>58475</v>
      </c>
      <c r="CB84">
        <v>0</v>
      </c>
      <c r="CC84">
        <v>15966</v>
      </c>
      <c r="CD84">
        <v>2335</v>
      </c>
      <c r="CE84">
        <v>2830</v>
      </c>
      <c r="CF84">
        <v>2838.5</v>
      </c>
      <c r="CG84">
        <v>2758</v>
      </c>
      <c r="CH84">
        <v>5480</v>
      </c>
      <c r="CI84">
        <v>13907</v>
      </c>
      <c r="CK84">
        <v>0</v>
      </c>
      <c r="CL84">
        <v>37000</v>
      </c>
      <c r="CM84">
        <v>0</v>
      </c>
      <c r="CN84">
        <v>34000</v>
      </c>
      <c r="CO84">
        <v>0</v>
      </c>
      <c r="CP84">
        <v>30000</v>
      </c>
      <c r="CQ84">
        <v>0</v>
      </c>
      <c r="CR84">
        <v>64000</v>
      </c>
      <c r="CS84" s="5">
        <v>0</v>
      </c>
      <c r="CU84" s="5">
        <v>0</v>
      </c>
      <c r="CW84" s="5">
        <v>0</v>
      </c>
      <c r="CY84">
        <v>0</v>
      </c>
      <c r="CZ84">
        <v>40.700000000000003</v>
      </c>
      <c r="DA84">
        <v>24.5</v>
      </c>
      <c r="DB84">
        <v>7380</v>
      </c>
      <c r="DC84">
        <v>64.072000000000003</v>
      </c>
      <c r="DD84">
        <v>40.387999999999998</v>
      </c>
      <c r="DE84">
        <v>4.0000000000000001E-3</v>
      </c>
      <c r="DF84">
        <v>7378</v>
      </c>
      <c r="DH84">
        <v>87.2</v>
      </c>
      <c r="DI84">
        <v>31500</v>
      </c>
      <c r="DJ84">
        <v>20.3</v>
      </c>
      <c r="DK84">
        <v>39</v>
      </c>
      <c r="DN84" s="23"/>
      <c r="DO84">
        <v>0</v>
      </c>
      <c r="DP84" t="s">
        <v>286</v>
      </c>
    </row>
    <row r="85" spans="1:120" x14ac:dyDescent="0.3">
      <c r="A85" s="2">
        <v>41624</v>
      </c>
      <c r="B85" s="21">
        <f t="shared" si="6"/>
        <v>76</v>
      </c>
      <c r="C85" s="36"/>
      <c r="D85" s="71">
        <v>0</v>
      </c>
      <c r="E85" s="74">
        <v>181600</v>
      </c>
      <c r="F85" s="10">
        <v>118000</v>
      </c>
      <c r="G85" s="10">
        <f t="shared" si="7"/>
        <v>63600</v>
      </c>
      <c r="H85" s="80">
        <v>434</v>
      </c>
      <c r="J85" s="80">
        <v>46.6</v>
      </c>
      <c r="K85" s="80">
        <v>7.41</v>
      </c>
      <c r="M85" s="10">
        <v>274336</v>
      </c>
      <c r="P85" s="80">
        <v>180</v>
      </c>
      <c r="R85" s="80">
        <v>18</v>
      </c>
      <c r="S85" s="80">
        <v>5</v>
      </c>
      <c r="U85" s="74">
        <v>2465.9</v>
      </c>
      <c r="AF85" s="80">
        <v>2396</v>
      </c>
      <c r="AG85" s="80">
        <v>15.5</v>
      </c>
      <c r="AH85" s="80">
        <v>67</v>
      </c>
      <c r="AI85" s="80">
        <v>0.121</v>
      </c>
      <c r="AJ85" s="10">
        <v>0.33666666666666667</v>
      </c>
      <c r="AK85" s="10">
        <v>1.5295833333333331</v>
      </c>
      <c r="AL85">
        <v>1039</v>
      </c>
      <c r="AP85">
        <v>85833</v>
      </c>
      <c r="AQ85" s="10">
        <f t="shared" si="5"/>
        <v>183026.9</v>
      </c>
      <c r="AR85" s="80">
        <v>130</v>
      </c>
      <c r="AT85" s="80">
        <v>18.8</v>
      </c>
      <c r="AU85" s="80">
        <v>4.9000000000000004</v>
      </c>
      <c r="AV85" s="80">
        <v>59</v>
      </c>
      <c r="AX85" s="10">
        <v>3.18</v>
      </c>
      <c r="AY85" s="10">
        <v>23</v>
      </c>
      <c r="AZ85" s="10">
        <v>60</v>
      </c>
      <c r="BA85" s="10">
        <v>10.678000000000001</v>
      </c>
      <c r="BB85">
        <v>3.15</v>
      </c>
      <c r="BC85">
        <v>21</v>
      </c>
      <c r="BD85">
        <v>141</v>
      </c>
      <c r="BE85">
        <v>9.3949999999999996</v>
      </c>
      <c r="BF85" s="10">
        <v>3.7</v>
      </c>
      <c r="BG85" s="10">
        <v>21</v>
      </c>
      <c r="BH85" s="10">
        <v>79.83</v>
      </c>
      <c r="BI85" s="10">
        <v>10.425000000000001</v>
      </c>
      <c r="BJ85">
        <v>3.43</v>
      </c>
      <c r="BK85">
        <v>22</v>
      </c>
      <c r="BL85">
        <v>122</v>
      </c>
      <c r="BM85">
        <v>353</v>
      </c>
      <c r="BN85">
        <v>5.7480000000000002</v>
      </c>
      <c r="BO85" s="10">
        <v>12.52</v>
      </c>
      <c r="BP85">
        <v>63600</v>
      </c>
      <c r="BR85">
        <v>43</v>
      </c>
      <c r="BS85">
        <v>5</v>
      </c>
      <c r="BT85">
        <v>2.6</v>
      </c>
      <c r="BU85">
        <v>0.69</v>
      </c>
      <c r="BV85">
        <v>0.19</v>
      </c>
      <c r="BW85">
        <v>6.3</v>
      </c>
      <c r="BX85">
        <v>3.2</v>
      </c>
      <c r="BY85">
        <v>3.7</v>
      </c>
      <c r="BZ85">
        <v>6</v>
      </c>
      <c r="CA85">
        <v>0.52</v>
      </c>
      <c r="CB85">
        <v>0</v>
      </c>
      <c r="CC85">
        <v>19367</v>
      </c>
      <c r="CD85">
        <v>2518</v>
      </c>
      <c r="CE85">
        <v>3244</v>
      </c>
      <c r="CF85">
        <v>3028</v>
      </c>
      <c r="CG85">
        <v>3046</v>
      </c>
      <c r="CH85">
        <v>5888</v>
      </c>
      <c r="CI85">
        <v>15206</v>
      </c>
      <c r="CK85">
        <v>0</v>
      </c>
      <c r="CL85">
        <v>37000</v>
      </c>
      <c r="CM85">
        <v>0</v>
      </c>
      <c r="CN85">
        <v>34000</v>
      </c>
      <c r="CO85">
        <v>0</v>
      </c>
      <c r="CP85">
        <v>30000</v>
      </c>
      <c r="CQ85">
        <v>0</v>
      </c>
      <c r="CR85">
        <v>64000</v>
      </c>
      <c r="CS85" s="5">
        <v>0</v>
      </c>
      <c r="CU85" s="5">
        <v>0</v>
      </c>
      <c r="CW85" s="5">
        <v>0</v>
      </c>
      <c r="CY85">
        <v>0</v>
      </c>
      <c r="CZ85">
        <v>29.6</v>
      </c>
      <c r="DA85">
        <v>21</v>
      </c>
      <c r="DB85">
        <v>6390</v>
      </c>
      <c r="DC85">
        <v>64.180000000000007</v>
      </c>
      <c r="DD85">
        <v>40.097000000000001</v>
      </c>
      <c r="DE85">
        <v>4.0000000000000001E-3</v>
      </c>
      <c r="DF85">
        <v>6388</v>
      </c>
      <c r="DH85">
        <v>99.2</v>
      </c>
      <c r="DI85">
        <v>0</v>
      </c>
      <c r="DJ85">
        <v>20.3</v>
      </c>
      <c r="DK85">
        <v>39</v>
      </c>
      <c r="DN85" s="23"/>
      <c r="DO85">
        <v>0</v>
      </c>
      <c r="DP85" t="s">
        <v>286</v>
      </c>
    </row>
    <row r="86" spans="1:120" x14ac:dyDescent="0.3">
      <c r="A86" s="2">
        <v>41625</v>
      </c>
      <c r="B86" s="21">
        <f t="shared" si="6"/>
        <v>77</v>
      </c>
      <c r="C86" s="36"/>
      <c r="D86" s="71">
        <v>0</v>
      </c>
      <c r="E86" s="74">
        <v>170775</v>
      </c>
      <c r="F86" s="10">
        <v>120000</v>
      </c>
      <c r="G86" s="10">
        <f t="shared" si="7"/>
        <v>50775</v>
      </c>
      <c r="N86">
        <v>6216</v>
      </c>
      <c r="U86" s="74">
        <v>1963.55</v>
      </c>
      <c r="AI86" s="80">
        <v>5.6000000000000001E-2</v>
      </c>
      <c r="AJ86" s="10">
        <v>0.34166666666666656</v>
      </c>
      <c r="AK86" s="10">
        <v>1.4804166666666665</v>
      </c>
      <c r="AL86">
        <v>337.53100000000001</v>
      </c>
      <c r="AP86">
        <v>86250</v>
      </c>
      <c r="AQ86" s="10">
        <f t="shared" si="5"/>
        <v>172401.019</v>
      </c>
      <c r="AX86" s="10">
        <v>3.4740000000000002</v>
      </c>
      <c r="AZ86" s="10">
        <v>81</v>
      </c>
      <c r="BA86" s="10">
        <v>10.218</v>
      </c>
      <c r="BB86">
        <v>3.266</v>
      </c>
      <c r="BD86">
        <v>150</v>
      </c>
      <c r="BE86">
        <v>11.583</v>
      </c>
      <c r="BF86" s="10">
        <v>3.597</v>
      </c>
      <c r="BH86" s="10">
        <v>91.287999999999997</v>
      </c>
      <c r="BI86" s="10">
        <v>11.579000000000001</v>
      </c>
      <c r="BJ86">
        <v>3.48</v>
      </c>
      <c r="BM86">
        <v>353</v>
      </c>
      <c r="BN86">
        <v>6.57</v>
      </c>
      <c r="BO86" s="10">
        <v>12.855</v>
      </c>
      <c r="BP86">
        <v>50775</v>
      </c>
      <c r="CB86">
        <v>0</v>
      </c>
      <c r="CC86">
        <v>16814</v>
      </c>
      <c r="CD86">
        <v>2535</v>
      </c>
      <c r="CE86">
        <v>2977</v>
      </c>
      <c r="CF86">
        <v>2880.5</v>
      </c>
      <c r="CG86">
        <v>2796</v>
      </c>
      <c r="CH86">
        <v>5872</v>
      </c>
      <c r="CI86">
        <v>14526</v>
      </c>
      <c r="CK86">
        <v>108</v>
      </c>
      <c r="CL86">
        <v>37000</v>
      </c>
      <c r="CM86">
        <v>0</v>
      </c>
      <c r="CN86">
        <v>34000</v>
      </c>
      <c r="CO86">
        <v>0</v>
      </c>
      <c r="CP86">
        <v>30000</v>
      </c>
      <c r="CQ86">
        <v>102</v>
      </c>
      <c r="CR86">
        <v>64000</v>
      </c>
      <c r="CS86" s="5">
        <v>0</v>
      </c>
      <c r="CU86" s="5">
        <v>0</v>
      </c>
      <c r="CW86" s="5">
        <v>0</v>
      </c>
      <c r="CY86">
        <v>0</v>
      </c>
      <c r="CZ86">
        <v>7.8</v>
      </c>
      <c r="DA86">
        <v>25.9</v>
      </c>
      <c r="DB86">
        <v>6762</v>
      </c>
      <c r="DC86">
        <v>64.739999999999995</v>
      </c>
      <c r="DD86">
        <v>39.381999999999998</v>
      </c>
      <c r="DE86">
        <v>6.0000000000000001E-3</v>
      </c>
      <c r="DF86">
        <v>6762</v>
      </c>
      <c r="DH86">
        <v>179.8</v>
      </c>
      <c r="DI86">
        <v>96860</v>
      </c>
      <c r="DJ86">
        <v>20.3</v>
      </c>
      <c r="DK86">
        <v>39</v>
      </c>
      <c r="DN86" s="23"/>
      <c r="DO86">
        <v>0</v>
      </c>
      <c r="DP86" t="s">
        <v>286</v>
      </c>
    </row>
    <row r="87" spans="1:120" x14ac:dyDescent="0.3">
      <c r="A87" s="2">
        <v>41626</v>
      </c>
      <c r="B87" s="21">
        <f t="shared" si="6"/>
        <v>78</v>
      </c>
      <c r="C87" s="36"/>
      <c r="D87" s="71">
        <v>0</v>
      </c>
      <c r="E87" s="74">
        <v>168950</v>
      </c>
      <c r="F87" s="10">
        <v>120000</v>
      </c>
      <c r="G87" s="10">
        <f t="shared" si="7"/>
        <v>48950</v>
      </c>
      <c r="H87" s="80">
        <v>491</v>
      </c>
      <c r="I87" s="80">
        <v>235</v>
      </c>
      <c r="J87" s="80">
        <v>61.5</v>
      </c>
      <c r="K87" s="80">
        <v>8.59</v>
      </c>
      <c r="L87" s="80">
        <v>229</v>
      </c>
      <c r="M87" s="10">
        <v>251957</v>
      </c>
      <c r="O87" s="10">
        <v>7.8</v>
      </c>
      <c r="P87" s="80">
        <v>170</v>
      </c>
      <c r="Q87" s="80">
        <v>71</v>
      </c>
      <c r="R87" s="80">
        <v>19.8</v>
      </c>
      <c r="S87" s="80">
        <v>5.4</v>
      </c>
      <c r="T87" s="80">
        <v>70</v>
      </c>
      <c r="U87" s="74">
        <v>1677.8</v>
      </c>
      <c r="AI87" s="80">
        <v>0.04</v>
      </c>
      <c r="AJ87" s="10">
        <v>0.31000000000000005</v>
      </c>
      <c r="AK87" s="10">
        <v>1.4758333333333333</v>
      </c>
      <c r="AL87">
        <v>93.468999999999994</v>
      </c>
      <c r="AN87" s="80">
        <v>4789</v>
      </c>
      <c r="AP87">
        <v>93800</v>
      </c>
      <c r="AQ87" s="10">
        <f t="shared" si="5"/>
        <v>170534.33099999998</v>
      </c>
      <c r="AR87" s="80">
        <v>120</v>
      </c>
      <c r="AS87" s="80">
        <v>37</v>
      </c>
      <c r="AT87" s="80">
        <v>20.5</v>
      </c>
      <c r="AU87" s="80">
        <v>5.5</v>
      </c>
      <c r="AV87" s="80">
        <v>56</v>
      </c>
      <c r="AX87" s="10">
        <v>3.488</v>
      </c>
      <c r="AZ87" s="10">
        <v>108</v>
      </c>
      <c r="BA87" s="10">
        <v>9.9499999999999993</v>
      </c>
      <c r="BB87">
        <v>3.2450000000000001</v>
      </c>
      <c r="BD87">
        <v>161</v>
      </c>
      <c r="BE87">
        <v>11.449</v>
      </c>
      <c r="BF87" s="10">
        <v>3.4689999999999999</v>
      </c>
      <c r="BH87" s="10">
        <v>121.176</v>
      </c>
      <c r="BI87" s="10">
        <v>11.122999999999999</v>
      </c>
      <c r="BJ87">
        <v>3.4980000000000002</v>
      </c>
      <c r="BM87">
        <v>333.02</v>
      </c>
      <c r="BN87">
        <v>6.67</v>
      </c>
      <c r="BO87" s="10">
        <v>13.026</v>
      </c>
      <c r="BP87">
        <v>48950</v>
      </c>
      <c r="BQ87">
        <v>7.7</v>
      </c>
      <c r="BR87">
        <v>39</v>
      </c>
      <c r="BS87">
        <v>4</v>
      </c>
      <c r="BT87">
        <v>2.8</v>
      </c>
      <c r="BU87">
        <v>0.59</v>
      </c>
      <c r="BV87">
        <v>0.19</v>
      </c>
      <c r="BW87">
        <v>6.7</v>
      </c>
      <c r="BX87">
        <v>2.9</v>
      </c>
      <c r="BY87">
        <v>4.0999999999999996</v>
      </c>
      <c r="BZ87">
        <v>5</v>
      </c>
      <c r="CA87">
        <v>0.52</v>
      </c>
      <c r="CB87">
        <v>0</v>
      </c>
      <c r="CC87">
        <v>17680</v>
      </c>
      <c r="CD87">
        <v>2659</v>
      </c>
      <c r="CE87">
        <v>2974</v>
      </c>
      <c r="CF87">
        <v>2816.5</v>
      </c>
      <c r="CG87">
        <v>2726.5</v>
      </c>
      <c r="CH87">
        <v>5808</v>
      </c>
      <c r="CI87">
        <v>14325</v>
      </c>
      <c r="CK87">
        <v>152</v>
      </c>
      <c r="CL87">
        <v>37000</v>
      </c>
      <c r="CM87">
        <v>0</v>
      </c>
      <c r="CN87">
        <v>34000</v>
      </c>
      <c r="CO87">
        <v>0</v>
      </c>
      <c r="CP87">
        <v>30000</v>
      </c>
      <c r="CQ87">
        <v>104</v>
      </c>
      <c r="CR87">
        <v>64000</v>
      </c>
      <c r="CS87" s="5">
        <v>0</v>
      </c>
      <c r="CU87" s="5">
        <v>0</v>
      </c>
      <c r="CW87" s="5">
        <v>0</v>
      </c>
      <c r="CY87">
        <v>0</v>
      </c>
      <c r="CZ87">
        <v>0</v>
      </c>
      <c r="DA87">
        <v>25.9</v>
      </c>
      <c r="DB87">
        <v>6364</v>
      </c>
      <c r="DC87">
        <v>65.513000000000005</v>
      </c>
      <c r="DD87">
        <v>38.744999999999997</v>
      </c>
      <c r="DE87">
        <v>4.0000000000000001E-3</v>
      </c>
      <c r="DF87">
        <v>6361</v>
      </c>
      <c r="DH87">
        <v>171.9</v>
      </c>
      <c r="DI87">
        <v>70700</v>
      </c>
      <c r="DJ87">
        <v>20.2</v>
      </c>
      <c r="DK87">
        <v>41</v>
      </c>
      <c r="DN87" s="23"/>
      <c r="DO87">
        <v>0</v>
      </c>
      <c r="DP87" t="s">
        <v>286</v>
      </c>
    </row>
    <row r="88" spans="1:120" x14ac:dyDescent="0.3">
      <c r="A88" s="2">
        <v>41627</v>
      </c>
      <c r="B88" s="21">
        <f t="shared" si="6"/>
        <v>79</v>
      </c>
      <c r="C88" s="36"/>
      <c r="D88" s="71">
        <v>9.73</v>
      </c>
      <c r="E88" s="74">
        <v>188700</v>
      </c>
      <c r="F88" s="10">
        <v>101600</v>
      </c>
      <c r="G88" s="10">
        <f t="shared" si="7"/>
        <v>87100</v>
      </c>
      <c r="U88" s="74">
        <v>3342.3</v>
      </c>
      <c r="AF88" s="80">
        <v>2698</v>
      </c>
      <c r="AG88" s="80">
        <v>14.6</v>
      </c>
      <c r="AH88" s="80">
        <v>74</v>
      </c>
      <c r="AI88" s="80">
        <v>8.9999999999999993E-3</v>
      </c>
      <c r="AJ88" s="10">
        <v>0.29416666666666669</v>
      </c>
      <c r="AK88" s="10">
        <v>1.5733333333333333</v>
      </c>
      <c r="AL88">
        <v>1140</v>
      </c>
      <c r="AP88">
        <v>120550</v>
      </c>
      <c r="AQ88" s="10">
        <f t="shared" si="5"/>
        <v>190902.3</v>
      </c>
      <c r="AX88" s="10">
        <v>3.22</v>
      </c>
      <c r="AZ88" s="10">
        <v>124</v>
      </c>
      <c r="BA88" s="10">
        <v>9.9670000000000005</v>
      </c>
      <c r="BB88">
        <v>3.04</v>
      </c>
      <c r="BD88">
        <v>161</v>
      </c>
      <c r="BE88">
        <v>10.972</v>
      </c>
      <c r="BF88" s="10">
        <v>3.94</v>
      </c>
      <c r="BH88" s="10">
        <v>131.19</v>
      </c>
      <c r="BI88" s="10">
        <v>10.98</v>
      </c>
      <c r="BJ88">
        <v>3.27</v>
      </c>
      <c r="BL88">
        <v>110</v>
      </c>
      <c r="BM88">
        <v>324</v>
      </c>
      <c r="BN88">
        <v>6.4980000000000002</v>
      </c>
      <c r="BO88" s="10">
        <v>13.047000000000001</v>
      </c>
      <c r="BP88">
        <v>87100</v>
      </c>
      <c r="CB88">
        <v>0</v>
      </c>
      <c r="CC88">
        <v>20278</v>
      </c>
      <c r="CD88">
        <v>2333</v>
      </c>
      <c r="CE88">
        <v>3419</v>
      </c>
      <c r="CF88">
        <v>3485.5</v>
      </c>
      <c r="CG88">
        <v>3539.5</v>
      </c>
      <c r="CH88">
        <v>6924</v>
      </c>
      <c r="CI88">
        <v>17368</v>
      </c>
      <c r="CK88">
        <v>63</v>
      </c>
      <c r="CL88">
        <v>37000</v>
      </c>
      <c r="CM88">
        <v>0</v>
      </c>
      <c r="CN88">
        <v>34000</v>
      </c>
      <c r="CO88">
        <v>0</v>
      </c>
      <c r="CP88">
        <v>30000</v>
      </c>
      <c r="CQ88">
        <v>103</v>
      </c>
      <c r="CR88">
        <v>64000</v>
      </c>
      <c r="CS88" s="5">
        <v>0</v>
      </c>
      <c r="CU88" s="5">
        <v>0</v>
      </c>
      <c r="CW88" s="5">
        <v>0</v>
      </c>
      <c r="CY88">
        <v>0</v>
      </c>
      <c r="CZ88">
        <v>39</v>
      </c>
      <c r="DA88">
        <v>29.6</v>
      </c>
      <c r="DB88">
        <v>7377</v>
      </c>
      <c r="DC88">
        <v>64.941000000000003</v>
      </c>
      <c r="DD88">
        <v>38.387999999999998</v>
      </c>
      <c r="DE88">
        <v>4.0000000000000001E-3</v>
      </c>
      <c r="DF88">
        <v>7374</v>
      </c>
      <c r="DH88">
        <v>229.2</v>
      </c>
      <c r="DI88">
        <v>68040</v>
      </c>
      <c r="DJ88">
        <v>20.2</v>
      </c>
      <c r="DK88">
        <v>41</v>
      </c>
      <c r="DN88" s="23"/>
      <c r="DO88">
        <v>0</v>
      </c>
      <c r="DP88" t="s">
        <v>286</v>
      </c>
    </row>
    <row r="89" spans="1:120" x14ac:dyDescent="0.3">
      <c r="A89" s="2">
        <v>41628</v>
      </c>
      <c r="B89" s="21">
        <f t="shared" si="6"/>
        <v>80</v>
      </c>
      <c r="C89" s="36"/>
      <c r="D89" s="71">
        <v>0.21</v>
      </c>
      <c r="E89" s="74">
        <v>204300</v>
      </c>
      <c r="F89" s="10">
        <v>89600</v>
      </c>
      <c r="G89" s="10">
        <f t="shared" si="7"/>
        <v>114700</v>
      </c>
      <c r="U89" s="74">
        <v>3700.1</v>
      </c>
      <c r="AI89" s="80">
        <v>1.7999999999999999E-2</v>
      </c>
      <c r="AJ89" s="10">
        <v>0.36499999999999999</v>
      </c>
      <c r="AK89" s="10">
        <v>1.5791666666666666</v>
      </c>
      <c r="AL89">
        <v>1445</v>
      </c>
      <c r="AP89">
        <v>93433</v>
      </c>
      <c r="AQ89" s="10">
        <f t="shared" si="5"/>
        <v>206555.1</v>
      </c>
      <c r="AX89" s="10">
        <v>3.5310000000000001</v>
      </c>
      <c r="AZ89" s="10">
        <v>131</v>
      </c>
      <c r="BA89" s="10">
        <v>10.863</v>
      </c>
      <c r="BB89">
        <v>3.0550000000000002</v>
      </c>
      <c r="BD89">
        <v>160.059</v>
      </c>
      <c r="BE89">
        <v>8.8420000000000005</v>
      </c>
      <c r="BF89" s="10">
        <v>3.41</v>
      </c>
      <c r="BH89" s="10">
        <v>151.214</v>
      </c>
      <c r="BI89" s="10">
        <v>2.97</v>
      </c>
      <c r="BJ89">
        <v>3.5110000000000001</v>
      </c>
      <c r="BM89">
        <v>302</v>
      </c>
      <c r="BN89">
        <v>6.3959999999999999</v>
      </c>
      <c r="BO89" s="10">
        <v>11.989000000000001</v>
      </c>
      <c r="BP89">
        <v>114700</v>
      </c>
      <c r="CB89">
        <v>0</v>
      </c>
      <c r="CC89">
        <v>22209</v>
      </c>
      <c r="CD89">
        <v>2530</v>
      </c>
      <c r="CE89">
        <v>3726</v>
      </c>
      <c r="CF89">
        <v>3608</v>
      </c>
      <c r="CG89">
        <v>3678</v>
      </c>
      <c r="CH89">
        <v>7546</v>
      </c>
      <c r="CI89">
        <v>18558</v>
      </c>
      <c r="CK89">
        <v>142</v>
      </c>
      <c r="CL89">
        <v>37000</v>
      </c>
      <c r="CM89">
        <v>0</v>
      </c>
      <c r="CN89">
        <v>34000</v>
      </c>
      <c r="CO89">
        <v>0</v>
      </c>
      <c r="CP89">
        <v>30000</v>
      </c>
      <c r="CQ89">
        <v>103</v>
      </c>
      <c r="CR89">
        <v>64000</v>
      </c>
      <c r="CS89" s="5">
        <v>0</v>
      </c>
      <c r="CU89" s="5">
        <v>0</v>
      </c>
      <c r="CW89" s="5">
        <v>0</v>
      </c>
      <c r="CY89">
        <v>0</v>
      </c>
      <c r="CZ89">
        <v>41.8</v>
      </c>
      <c r="DA89">
        <v>21.6</v>
      </c>
      <c r="DB89">
        <v>9084</v>
      </c>
      <c r="DC89">
        <v>65.179000000000002</v>
      </c>
      <c r="DD89">
        <v>38.183</v>
      </c>
      <c r="DE89">
        <v>4.0000000000000001E-3</v>
      </c>
      <c r="DF89">
        <v>9082</v>
      </c>
      <c r="DH89">
        <v>242.7</v>
      </c>
      <c r="DI89">
        <v>70200</v>
      </c>
      <c r="DJ89">
        <v>20.2</v>
      </c>
      <c r="DK89">
        <v>41</v>
      </c>
      <c r="DN89" s="23"/>
      <c r="DO89">
        <v>0</v>
      </c>
      <c r="DP89" t="s">
        <v>286</v>
      </c>
    </row>
    <row r="90" spans="1:120" x14ac:dyDescent="0.3">
      <c r="A90" s="2">
        <v>41629</v>
      </c>
      <c r="B90" s="21">
        <f t="shared" si="6"/>
        <v>81</v>
      </c>
      <c r="C90" s="36"/>
      <c r="D90" s="71">
        <v>0.02</v>
      </c>
      <c r="E90" s="74">
        <v>172900</v>
      </c>
      <c r="F90" s="10">
        <v>120000</v>
      </c>
      <c r="G90" s="10">
        <f t="shared" si="7"/>
        <v>52900</v>
      </c>
      <c r="N90">
        <v>6372</v>
      </c>
      <c r="U90" s="74">
        <v>3867.65</v>
      </c>
      <c r="AI90" s="80">
        <v>2.5000000000000001E-2</v>
      </c>
      <c r="AJ90" s="10">
        <v>0.28958333333333336</v>
      </c>
      <c r="AK90" s="10">
        <v>1.5079166666666668</v>
      </c>
      <c r="AL90">
        <v>1768</v>
      </c>
      <c r="AP90">
        <v>86367</v>
      </c>
      <c r="AQ90" s="10">
        <f t="shared" si="5"/>
        <v>174999.65</v>
      </c>
      <c r="AX90" s="10">
        <v>3.577</v>
      </c>
      <c r="AZ90" s="10">
        <v>150</v>
      </c>
      <c r="BA90" s="10">
        <v>10.444000000000001</v>
      </c>
      <c r="BB90">
        <v>3.2010000000000001</v>
      </c>
      <c r="BD90">
        <v>151.268</v>
      </c>
      <c r="BE90">
        <v>11.96</v>
      </c>
      <c r="BF90" s="10">
        <v>3.6339999999999999</v>
      </c>
      <c r="BH90" s="10">
        <v>164.63200000000001</v>
      </c>
      <c r="BI90" s="10">
        <v>10.875</v>
      </c>
      <c r="BJ90">
        <v>3.8359999999999999</v>
      </c>
      <c r="BM90">
        <v>302.02</v>
      </c>
      <c r="BN90">
        <v>7.484</v>
      </c>
      <c r="BO90" s="10">
        <v>12.118</v>
      </c>
      <c r="BP90">
        <v>52900</v>
      </c>
      <c r="CB90">
        <v>0</v>
      </c>
      <c r="CC90">
        <v>12745</v>
      </c>
      <c r="CD90">
        <v>2568</v>
      </c>
      <c r="CE90">
        <v>3036</v>
      </c>
      <c r="CF90">
        <v>3074</v>
      </c>
      <c r="CG90">
        <v>3095.5</v>
      </c>
      <c r="CH90">
        <v>5994</v>
      </c>
      <c r="CI90">
        <v>15200</v>
      </c>
      <c r="CK90">
        <v>2</v>
      </c>
      <c r="CL90">
        <v>37000</v>
      </c>
      <c r="CM90">
        <v>0</v>
      </c>
      <c r="CN90">
        <v>34000</v>
      </c>
      <c r="CO90">
        <v>0</v>
      </c>
      <c r="CP90">
        <v>30000</v>
      </c>
      <c r="CQ90">
        <v>68</v>
      </c>
      <c r="CR90">
        <v>64000</v>
      </c>
      <c r="CS90" s="5">
        <v>0</v>
      </c>
      <c r="CU90" s="5">
        <v>0</v>
      </c>
      <c r="CW90" s="5">
        <v>0</v>
      </c>
      <c r="CY90">
        <v>26.6</v>
      </c>
      <c r="CZ90">
        <v>19</v>
      </c>
      <c r="DA90">
        <v>32.4</v>
      </c>
      <c r="DB90">
        <v>10467</v>
      </c>
      <c r="DC90">
        <v>64.367000000000004</v>
      </c>
      <c r="DD90">
        <v>39.801000000000002</v>
      </c>
      <c r="DE90">
        <v>4.0000000000000001E-3</v>
      </c>
      <c r="DF90">
        <v>10448</v>
      </c>
      <c r="DH90">
        <v>202.5</v>
      </c>
      <c r="DI90">
        <v>102580</v>
      </c>
      <c r="DJ90">
        <v>20.2</v>
      </c>
      <c r="DK90">
        <v>41</v>
      </c>
      <c r="DN90" s="23"/>
      <c r="DO90">
        <v>0</v>
      </c>
      <c r="DP90" t="s">
        <v>286</v>
      </c>
    </row>
    <row r="91" spans="1:120" x14ac:dyDescent="0.3">
      <c r="A91" s="2">
        <v>41630</v>
      </c>
      <c r="B91" s="21">
        <f t="shared" si="6"/>
        <v>82</v>
      </c>
      <c r="C91" s="36"/>
      <c r="D91" s="71">
        <v>2.96</v>
      </c>
      <c r="E91" s="74">
        <v>188400</v>
      </c>
      <c r="F91" s="10">
        <v>120050</v>
      </c>
      <c r="G91" s="10">
        <f t="shared" si="7"/>
        <v>68350</v>
      </c>
      <c r="H91" s="80">
        <v>485</v>
      </c>
      <c r="J91" s="80">
        <v>49.6</v>
      </c>
      <c r="K91" s="80">
        <v>6.91</v>
      </c>
      <c r="M91" s="10">
        <v>324090</v>
      </c>
      <c r="P91" s="80">
        <v>200</v>
      </c>
      <c r="R91" s="80">
        <v>20.100000000000001</v>
      </c>
      <c r="S91" s="80">
        <v>4.8</v>
      </c>
      <c r="U91" s="74">
        <v>3646.3</v>
      </c>
      <c r="AI91" s="80">
        <v>0.04</v>
      </c>
      <c r="AJ91" s="10">
        <v>0.40749999999999997</v>
      </c>
      <c r="AK91" s="10">
        <v>1.5279166666666668</v>
      </c>
      <c r="AL91">
        <v>1698</v>
      </c>
      <c r="AP91">
        <v>102200</v>
      </c>
      <c r="AQ91" s="10">
        <f t="shared" si="5"/>
        <v>190348.3</v>
      </c>
      <c r="AR91" s="80">
        <v>140</v>
      </c>
      <c r="AT91" s="80">
        <v>19.5</v>
      </c>
      <c r="AU91" s="80">
        <v>4.7</v>
      </c>
      <c r="AV91" s="80">
        <v>65</v>
      </c>
      <c r="AX91" s="10">
        <v>3.5169999999999999</v>
      </c>
      <c r="AZ91" s="10">
        <v>151</v>
      </c>
      <c r="BA91" s="10">
        <v>10.702999999999999</v>
      </c>
      <c r="BB91">
        <v>3.1760000000000002</v>
      </c>
      <c r="BD91">
        <v>151.232</v>
      </c>
      <c r="BE91">
        <v>10.683</v>
      </c>
      <c r="BF91" s="10">
        <v>3.698</v>
      </c>
      <c r="BH91" s="10">
        <v>169.5</v>
      </c>
      <c r="BI91" s="10">
        <v>11.326000000000001</v>
      </c>
      <c r="BJ91">
        <v>3.76</v>
      </c>
      <c r="BM91">
        <v>303.98399999999998</v>
      </c>
      <c r="BN91">
        <v>7.1619999999999999</v>
      </c>
      <c r="BO91" s="10">
        <v>12.252000000000001</v>
      </c>
      <c r="BP91">
        <v>68350</v>
      </c>
      <c r="BR91">
        <v>38</v>
      </c>
      <c r="BS91">
        <v>4</v>
      </c>
      <c r="BT91">
        <v>3.3</v>
      </c>
      <c r="BU91">
        <v>1</v>
      </c>
      <c r="BV91">
        <v>0.3</v>
      </c>
      <c r="BW91">
        <v>7</v>
      </c>
      <c r="BX91">
        <v>3.4</v>
      </c>
      <c r="BY91">
        <v>3.6</v>
      </c>
      <c r="BZ91">
        <v>6</v>
      </c>
      <c r="CA91">
        <v>0.5</v>
      </c>
      <c r="CB91">
        <v>0</v>
      </c>
      <c r="CC91">
        <v>13919</v>
      </c>
      <c r="CD91">
        <v>2926</v>
      </c>
      <c r="CE91">
        <v>3364</v>
      </c>
      <c r="CF91">
        <v>3295.5</v>
      </c>
      <c r="CG91">
        <v>3391.5</v>
      </c>
      <c r="CH91">
        <v>6732</v>
      </c>
      <c r="CI91">
        <v>16783</v>
      </c>
      <c r="CK91">
        <v>0</v>
      </c>
      <c r="CL91">
        <v>37000</v>
      </c>
      <c r="CM91">
        <v>0</v>
      </c>
      <c r="CN91">
        <v>34000</v>
      </c>
      <c r="CO91">
        <v>0</v>
      </c>
      <c r="CP91">
        <v>30000</v>
      </c>
      <c r="CQ91">
        <v>0</v>
      </c>
      <c r="CR91">
        <v>64000</v>
      </c>
      <c r="CS91" s="5">
        <v>0</v>
      </c>
      <c r="CU91" s="5">
        <v>0</v>
      </c>
      <c r="CW91" s="5">
        <v>0</v>
      </c>
      <c r="CY91">
        <v>26.6</v>
      </c>
      <c r="CZ91">
        <v>19</v>
      </c>
      <c r="DA91">
        <v>28.8</v>
      </c>
      <c r="DB91">
        <v>9478</v>
      </c>
      <c r="DC91">
        <v>62.396000000000001</v>
      </c>
      <c r="DD91">
        <v>41.070999999999998</v>
      </c>
      <c r="DE91">
        <v>4.0000000000000001E-3</v>
      </c>
      <c r="DF91">
        <v>9790</v>
      </c>
      <c r="DH91">
        <v>125.7</v>
      </c>
      <c r="DI91">
        <v>30140</v>
      </c>
      <c r="DJ91">
        <v>20.2</v>
      </c>
      <c r="DK91">
        <v>41</v>
      </c>
      <c r="DN91" s="23"/>
      <c r="DO91">
        <v>0</v>
      </c>
      <c r="DP91" t="s">
        <v>286</v>
      </c>
    </row>
    <row r="92" spans="1:120" x14ac:dyDescent="0.3">
      <c r="A92" s="2">
        <v>41631</v>
      </c>
      <c r="B92" s="21">
        <f t="shared" si="6"/>
        <v>83</v>
      </c>
      <c r="C92" s="36"/>
      <c r="D92" s="71">
        <v>2.2400000000000002</v>
      </c>
      <c r="E92" s="74">
        <v>183475</v>
      </c>
      <c r="F92" s="10">
        <v>120000</v>
      </c>
      <c r="G92" s="10">
        <f t="shared" si="7"/>
        <v>63475</v>
      </c>
      <c r="U92" s="74">
        <v>3730.75</v>
      </c>
      <c r="AF92" s="80">
        <v>2678</v>
      </c>
      <c r="AG92" s="80">
        <v>14</v>
      </c>
      <c r="AH92" s="80">
        <v>75</v>
      </c>
      <c r="AI92" s="80">
        <v>0.11700000000000001</v>
      </c>
      <c r="AJ92" s="10">
        <v>0.43916666666666671</v>
      </c>
      <c r="AK92" s="10">
        <v>1.5362499999999999</v>
      </c>
      <c r="AL92">
        <v>1675</v>
      </c>
      <c r="AP92">
        <v>86500</v>
      </c>
      <c r="AQ92" s="10">
        <f t="shared" si="5"/>
        <v>185530.75</v>
      </c>
      <c r="AX92" s="10">
        <v>3.74</v>
      </c>
      <c r="AZ92" s="10">
        <v>170</v>
      </c>
      <c r="BA92" s="10">
        <v>10.659000000000001</v>
      </c>
      <c r="BB92">
        <v>3.36</v>
      </c>
      <c r="BD92">
        <v>150.23400000000001</v>
      </c>
      <c r="BE92">
        <v>10.672000000000001</v>
      </c>
      <c r="BF92" s="10">
        <v>3.9</v>
      </c>
      <c r="BH92" s="10">
        <v>183</v>
      </c>
      <c r="BI92" s="10">
        <v>11.095000000000001</v>
      </c>
      <c r="BJ92">
        <v>4.1500000000000004</v>
      </c>
      <c r="BL92">
        <v>120</v>
      </c>
      <c r="BM92">
        <v>324</v>
      </c>
      <c r="BN92">
        <v>7.1559999999999997</v>
      </c>
      <c r="BO92" s="10">
        <v>12.484</v>
      </c>
      <c r="BP92">
        <v>63475</v>
      </c>
      <c r="CB92">
        <v>0</v>
      </c>
      <c r="CC92">
        <v>12533</v>
      </c>
      <c r="CD92">
        <v>2535</v>
      </c>
      <c r="CE92">
        <v>3161</v>
      </c>
      <c r="CF92">
        <v>3190.5</v>
      </c>
      <c r="CG92">
        <v>3168</v>
      </c>
      <c r="CH92">
        <v>6324</v>
      </c>
      <c r="CI92">
        <v>15844</v>
      </c>
      <c r="CK92">
        <v>0</v>
      </c>
      <c r="CL92">
        <v>37000</v>
      </c>
      <c r="CM92">
        <v>36</v>
      </c>
      <c r="CN92">
        <v>34000</v>
      </c>
      <c r="CO92">
        <v>0</v>
      </c>
      <c r="CP92">
        <v>30000</v>
      </c>
      <c r="CQ92">
        <v>0</v>
      </c>
      <c r="CR92">
        <v>64000</v>
      </c>
      <c r="CS92" s="5">
        <v>0</v>
      </c>
      <c r="CU92" s="5">
        <v>0</v>
      </c>
      <c r="CW92" s="5">
        <v>0</v>
      </c>
      <c r="CY92">
        <v>26.6</v>
      </c>
      <c r="CZ92">
        <v>15.2</v>
      </c>
      <c r="DA92">
        <v>28.8</v>
      </c>
      <c r="DB92">
        <v>9985</v>
      </c>
      <c r="DC92">
        <v>63.143999999999998</v>
      </c>
      <c r="DD92">
        <v>40.094999999999999</v>
      </c>
      <c r="DE92">
        <v>4.0000000000000001E-3</v>
      </c>
      <c r="DF92">
        <v>9550</v>
      </c>
      <c r="DH92">
        <v>167.7</v>
      </c>
      <c r="DI92">
        <v>0</v>
      </c>
      <c r="DJ92">
        <v>20.2</v>
      </c>
      <c r="DK92">
        <v>41</v>
      </c>
      <c r="DN92" s="23"/>
      <c r="DO92">
        <v>0</v>
      </c>
      <c r="DP92" t="s">
        <v>286</v>
      </c>
    </row>
    <row r="93" spans="1:120" x14ac:dyDescent="0.3">
      <c r="A93" s="2">
        <v>41632</v>
      </c>
      <c r="B93" s="21">
        <f t="shared" si="6"/>
        <v>84</v>
      </c>
      <c r="C93" s="36"/>
      <c r="D93" s="71">
        <v>1.6</v>
      </c>
      <c r="E93" s="74">
        <v>175325</v>
      </c>
      <c r="F93" s="10">
        <v>120050</v>
      </c>
      <c r="G93" s="10">
        <f t="shared" si="7"/>
        <v>55275</v>
      </c>
      <c r="U93" s="74">
        <v>3871.35</v>
      </c>
      <c r="AI93" s="80">
        <v>0.24199999999999999</v>
      </c>
      <c r="AJ93" s="10">
        <v>0.73249999999999993</v>
      </c>
      <c r="AK93" s="10">
        <v>1.9383333333333332</v>
      </c>
      <c r="AL93">
        <v>1435.5</v>
      </c>
      <c r="AP93">
        <v>79367</v>
      </c>
      <c r="AQ93" s="10">
        <f t="shared" si="5"/>
        <v>177760.85</v>
      </c>
      <c r="AX93" s="10">
        <v>3.43</v>
      </c>
      <c r="AZ93" s="10">
        <v>191</v>
      </c>
      <c r="BA93" s="10">
        <v>10.055</v>
      </c>
      <c r="BB93">
        <v>3.1549999999999998</v>
      </c>
      <c r="BD93">
        <v>161.20699999999999</v>
      </c>
      <c r="BE93">
        <v>11.778</v>
      </c>
      <c r="BF93" s="10">
        <v>3.4740000000000002</v>
      </c>
      <c r="BH93" s="10">
        <v>200</v>
      </c>
      <c r="BI93" s="10">
        <v>11.81</v>
      </c>
      <c r="BJ93">
        <v>3.83</v>
      </c>
      <c r="BM93">
        <v>333.97699999999998</v>
      </c>
      <c r="BN93">
        <v>7.0819999999999999</v>
      </c>
      <c r="BO93" s="10">
        <v>12.535</v>
      </c>
      <c r="BP93">
        <v>55275</v>
      </c>
      <c r="CB93">
        <v>0</v>
      </c>
      <c r="CC93">
        <v>13119</v>
      </c>
      <c r="CD93">
        <v>2021</v>
      </c>
      <c r="CE93">
        <v>3015</v>
      </c>
      <c r="CF93">
        <v>3065</v>
      </c>
      <c r="CG93">
        <v>3192.5</v>
      </c>
      <c r="CH93">
        <v>6170</v>
      </c>
      <c r="CI93">
        <v>15443</v>
      </c>
      <c r="CK93">
        <v>0</v>
      </c>
      <c r="CL93">
        <v>37000</v>
      </c>
      <c r="CM93">
        <v>179</v>
      </c>
      <c r="CN93">
        <v>34000</v>
      </c>
      <c r="CO93">
        <v>0</v>
      </c>
      <c r="CP93">
        <v>30000</v>
      </c>
      <c r="CQ93">
        <v>140</v>
      </c>
      <c r="CR93">
        <v>64000</v>
      </c>
      <c r="CS93" s="5">
        <v>0</v>
      </c>
      <c r="CU93" s="5">
        <v>0</v>
      </c>
      <c r="CW93" s="5">
        <v>0</v>
      </c>
      <c r="CY93">
        <v>32.4</v>
      </c>
      <c r="CZ93">
        <v>0</v>
      </c>
      <c r="DA93">
        <v>34</v>
      </c>
      <c r="DB93">
        <v>9821</v>
      </c>
      <c r="DC93">
        <v>62.146999999999998</v>
      </c>
      <c r="DD93">
        <v>40.052</v>
      </c>
      <c r="DE93">
        <v>5.0000000000000001E-3</v>
      </c>
      <c r="DF93">
        <v>9175</v>
      </c>
      <c r="DH93">
        <v>234.4</v>
      </c>
      <c r="DI93">
        <v>102800</v>
      </c>
      <c r="DJ93">
        <v>20.2</v>
      </c>
      <c r="DK93">
        <v>41</v>
      </c>
      <c r="DN93" s="23"/>
      <c r="DO93">
        <v>0</v>
      </c>
      <c r="DP93" t="s">
        <v>286</v>
      </c>
    </row>
    <row r="94" spans="1:120" x14ac:dyDescent="0.3">
      <c r="A94" s="2">
        <v>41633</v>
      </c>
      <c r="B94" s="21">
        <f t="shared" si="6"/>
        <v>85</v>
      </c>
      <c r="C94" s="36"/>
      <c r="D94" s="71">
        <v>14.96</v>
      </c>
      <c r="E94" s="74">
        <v>236400</v>
      </c>
      <c r="F94" s="10">
        <v>49500</v>
      </c>
      <c r="G94" s="10">
        <f t="shared" si="7"/>
        <v>186900</v>
      </c>
      <c r="U94" s="74">
        <v>3346.05</v>
      </c>
      <c r="AI94" s="80">
        <v>0.215</v>
      </c>
      <c r="AJ94" s="10">
        <v>0.76333333333333331</v>
      </c>
      <c r="AK94" s="10">
        <v>1.6412499999999997</v>
      </c>
      <c r="AL94">
        <v>1133</v>
      </c>
      <c r="AP94">
        <v>79900</v>
      </c>
      <c r="AQ94" s="10">
        <f t="shared" si="5"/>
        <v>238613.05</v>
      </c>
      <c r="AX94" s="10">
        <v>3.09</v>
      </c>
      <c r="AZ94" s="10">
        <v>200.20400000000001</v>
      </c>
      <c r="BA94" s="10">
        <v>10.478999999999999</v>
      </c>
      <c r="BB94">
        <v>3.0990000000000002</v>
      </c>
      <c r="BD94">
        <v>178.5</v>
      </c>
      <c r="BE94">
        <v>9.9540000000000006</v>
      </c>
      <c r="BF94" s="10">
        <v>3.3090000000000002</v>
      </c>
      <c r="BH94" s="10">
        <v>210.65799999999999</v>
      </c>
      <c r="BI94" s="10">
        <v>9.9649999999999999</v>
      </c>
      <c r="BJ94">
        <v>3.5459999999999998</v>
      </c>
      <c r="BM94">
        <v>353</v>
      </c>
      <c r="BN94">
        <v>6.6660000000000004</v>
      </c>
      <c r="BO94" s="10">
        <v>12.355</v>
      </c>
      <c r="BP94">
        <v>186900</v>
      </c>
      <c r="CB94">
        <v>0</v>
      </c>
      <c r="CC94">
        <v>17184</v>
      </c>
      <c r="CD94">
        <v>2369</v>
      </c>
      <c r="CE94">
        <v>4096</v>
      </c>
      <c r="CF94">
        <v>4049</v>
      </c>
      <c r="CG94">
        <v>4045.5</v>
      </c>
      <c r="CH94">
        <v>8400</v>
      </c>
      <c r="CI94">
        <v>20591</v>
      </c>
      <c r="CK94">
        <v>0</v>
      </c>
      <c r="CL94">
        <v>37000</v>
      </c>
      <c r="CM94">
        <v>36</v>
      </c>
      <c r="CN94">
        <v>34000</v>
      </c>
      <c r="CO94">
        <v>0</v>
      </c>
      <c r="CP94">
        <v>30000</v>
      </c>
      <c r="CQ94">
        <v>103</v>
      </c>
      <c r="CR94">
        <v>64000</v>
      </c>
      <c r="CS94" s="5">
        <v>0</v>
      </c>
      <c r="CU94" s="5">
        <v>0</v>
      </c>
      <c r="CW94" s="5">
        <v>0</v>
      </c>
      <c r="CY94">
        <v>21.6</v>
      </c>
      <c r="CZ94">
        <v>0</v>
      </c>
      <c r="DA94">
        <v>30.6</v>
      </c>
      <c r="DB94">
        <v>9872</v>
      </c>
      <c r="DC94">
        <v>62.033000000000001</v>
      </c>
      <c r="DD94">
        <v>39.274999999999999</v>
      </c>
      <c r="DE94">
        <v>4.0000000000000001E-3</v>
      </c>
      <c r="DF94">
        <v>10035</v>
      </c>
      <c r="DH94">
        <v>183.7</v>
      </c>
      <c r="DI94">
        <v>125240</v>
      </c>
      <c r="DJ94">
        <v>20.2</v>
      </c>
      <c r="DK94">
        <v>38</v>
      </c>
      <c r="DN94" s="23"/>
      <c r="DO94">
        <v>0</v>
      </c>
      <c r="DP94" t="s">
        <v>286</v>
      </c>
    </row>
    <row r="95" spans="1:120" x14ac:dyDescent="0.3">
      <c r="A95" s="2">
        <v>41634</v>
      </c>
      <c r="B95" s="21">
        <f t="shared" si="6"/>
        <v>86</v>
      </c>
      <c r="C95" s="36"/>
      <c r="D95" s="71">
        <v>0</v>
      </c>
      <c r="E95" s="74">
        <v>193300</v>
      </c>
      <c r="F95" s="10">
        <v>103800</v>
      </c>
      <c r="G95" s="10">
        <f t="shared" si="7"/>
        <v>89500</v>
      </c>
      <c r="U95" s="74">
        <v>3155.6</v>
      </c>
      <c r="AF95" s="80">
        <v>3146</v>
      </c>
      <c r="AG95" s="80">
        <v>14.8</v>
      </c>
      <c r="AH95" s="80">
        <v>111</v>
      </c>
      <c r="AI95" s="80">
        <v>3.2000000000000001E-2</v>
      </c>
      <c r="AJ95" s="10">
        <v>1.0458333333333336</v>
      </c>
      <c r="AK95" s="10">
        <v>2.0779166666666664</v>
      </c>
      <c r="AL95">
        <v>1083.5</v>
      </c>
      <c r="AP95">
        <v>70066</v>
      </c>
      <c r="AQ95" s="10">
        <f t="shared" si="5"/>
        <v>195372.1</v>
      </c>
      <c r="AX95" s="10">
        <v>3.0910000000000002</v>
      </c>
      <c r="AZ95" s="10">
        <v>200.25399999999999</v>
      </c>
      <c r="BA95" s="10">
        <v>10.551</v>
      </c>
      <c r="BB95">
        <v>3.085</v>
      </c>
      <c r="BD95">
        <v>178.5</v>
      </c>
      <c r="BE95">
        <v>10.538</v>
      </c>
      <c r="BF95" s="10">
        <v>3.24</v>
      </c>
      <c r="BH95" s="10">
        <v>216.34200000000001</v>
      </c>
      <c r="BI95" s="10">
        <v>10.411</v>
      </c>
      <c r="BJ95">
        <v>3.8410000000000002</v>
      </c>
      <c r="BM95">
        <v>353</v>
      </c>
      <c r="BN95">
        <v>7.4770000000000003</v>
      </c>
      <c r="BO95" s="10">
        <v>11.143000000000001</v>
      </c>
      <c r="BP95">
        <v>89500</v>
      </c>
      <c r="CB95">
        <v>0</v>
      </c>
      <c r="CC95">
        <v>12080</v>
      </c>
      <c r="CD95">
        <v>2100</v>
      </c>
      <c r="CE95">
        <v>2696</v>
      </c>
      <c r="CF95">
        <v>2602</v>
      </c>
      <c r="CG95">
        <v>2555</v>
      </c>
      <c r="CH95">
        <v>4978</v>
      </c>
      <c r="CI95">
        <v>12831</v>
      </c>
      <c r="CK95">
        <v>0</v>
      </c>
      <c r="CL95">
        <v>37000</v>
      </c>
      <c r="CM95">
        <v>0</v>
      </c>
      <c r="CN95">
        <v>34000</v>
      </c>
      <c r="CO95">
        <v>0</v>
      </c>
      <c r="CP95">
        <v>30000</v>
      </c>
      <c r="CQ95">
        <v>0</v>
      </c>
      <c r="CR95">
        <v>64000</v>
      </c>
      <c r="CS95" s="5">
        <v>0</v>
      </c>
      <c r="CU95" s="5">
        <v>0</v>
      </c>
      <c r="CW95" s="5">
        <v>0</v>
      </c>
      <c r="CY95">
        <v>25.2</v>
      </c>
      <c r="CZ95">
        <v>0</v>
      </c>
      <c r="DA95">
        <v>34</v>
      </c>
      <c r="DB95">
        <v>8752</v>
      </c>
      <c r="DC95">
        <v>61.86</v>
      </c>
      <c r="DD95">
        <v>39.701999999999998</v>
      </c>
      <c r="DE95">
        <v>4.0000000000000001E-3</v>
      </c>
      <c r="DF95">
        <v>8675</v>
      </c>
      <c r="DH95">
        <v>163.19999999999999</v>
      </c>
      <c r="DI95">
        <v>0</v>
      </c>
      <c r="DJ95">
        <v>20.2</v>
      </c>
      <c r="DK95">
        <v>38</v>
      </c>
      <c r="DN95" s="23"/>
      <c r="DO95">
        <v>0</v>
      </c>
      <c r="DP95" t="s">
        <v>286</v>
      </c>
    </row>
    <row r="96" spans="1:120" x14ac:dyDescent="0.3">
      <c r="A96" s="2">
        <v>41635</v>
      </c>
      <c r="B96" s="21">
        <f t="shared" si="6"/>
        <v>87</v>
      </c>
      <c r="C96" s="36"/>
      <c r="D96" s="71">
        <v>0.48</v>
      </c>
      <c r="E96" s="74">
        <v>170600</v>
      </c>
      <c r="F96" s="10">
        <v>120000</v>
      </c>
      <c r="G96" s="10">
        <f t="shared" si="7"/>
        <v>50600</v>
      </c>
      <c r="N96">
        <v>5159</v>
      </c>
      <c r="U96" s="74">
        <v>3351.3</v>
      </c>
      <c r="AI96" s="80">
        <v>0.126</v>
      </c>
      <c r="AJ96" s="10">
        <v>0.37208333333333338</v>
      </c>
      <c r="AK96" s="10">
        <v>1.5262499999999999</v>
      </c>
      <c r="AL96">
        <v>1196.5</v>
      </c>
      <c r="AP96">
        <v>79000</v>
      </c>
      <c r="AQ96" s="10">
        <f t="shared" si="5"/>
        <v>172754.8</v>
      </c>
      <c r="AX96" s="10">
        <v>3.44</v>
      </c>
      <c r="AZ96" s="10">
        <v>200.25</v>
      </c>
      <c r="BA96" s="10">
        <v>9.8529999999999998</v>
      </c>
      <c r="BB96">
        <v>3.26</v>
      </c>
      <c r="BD96">
        <v>191</v>
      </c>
      <c r="BE96">
        <v>11.568</v>
      </c>
      <c r="BF96" s="10">
        <v>3.44</v>
      </c>
      <c r="BH96" s="10">
        <v>220</v>
      </c>
      <c r="BI96" s="10">
        <v>10.83</v>
      </c>
      <c r="BJ96">
        <v>4.2300000000000004</v>
      </c>
      <c r="BL96">
        <v>113</v>
      </c>
      <c r="BM96">
        <v>375</v>
      </c>
      <c r="BN96">
        <v>7.9089999999999998</v>
      </c>
      <c r="BO96" s="10">
        <v>11.858000000000001</v>
      </c>
      <c r="BP96">
        <v>50600</v>
      </c>
      <c r="CB96">
        <v>0</v>
      </c>
      <c r="CC96">
        <v>13393</v>
      </c>
      <c r="CD96">
        <v>2275</v>
      </c>
      <c r="CE96">
        <v>3284</v>
      </c>
      <c r="CF96">
        <v>3096.5</v>
      </c>
      <c r="CG96">
        <v>3147</v>
      </c>
      <c r="CH96">
        <v>6598</v>
      </c>
      <c r="CI96">
        <v>16126</v>
      </c>
      <c r="CK96">
        <v>0</v>
      </c>
      <c r="CL96">
        <v>37000</v>
      </c>
      <c r="CM96">
        <v>0</v>
      </c>
      <c r="CN96">
        <v>34000</v>
      </c>
      <c r="CO96">
        <v>0</v>
      </c>
      <c r="CP96">
        <v>30000</v>
      </c>
      <c r="CQ96">
        <v>35</v>
      </c>
      <c r="CR96">
        <v>64000</v>
      </c>
      <c r="CS96" s="5">
        <v>0</v>
      </c>
      <c r="CU96" s="5">
        <v>0</v>
      </c>
      <c r="CW96" s="5">
        <v>0</v>
      </c>
      <c r="CY96">
        <v>25.9</v>
      </c>
      <c r="CZ96">
        <v>0</v>
      </c>
      <c r="DA96">
        <v>35</v>
      </c>
      <c r="DB96">
        <v>8937</v>
      </c>
      <c r="DC96">
        <v>62.959000000000003</v>
      </c>
      <c r="DD96">
        <v>39.207000000000001</v>
      </c>
      <c r="DE96">
        <v>4.0000000000000001E-3</v>
      </c>
      <c r="DF96">
        <v>8805</v>
      </c>
      <c r="DH96">
        <v>182.3</v>
      </c>
      <c r="DI96">
        <v>105720</v>
      </c>
      <c r="DJ96">
        <v>20.2</v>
      </c>
      <c r="DK96">
        <v>38</v>
      </c>
      <c r="DN96" s="23"/>
      <c r="DO96">
        <v>0</v>
      </c>
      <c r="DP96" t="s">
        <v>286</v>
      </c>
    </row>
    <row r="97" spans="1:128" x14ac:dyDescent="0.3">
      <c r="A97" s="2">
        <v>41636</v>
      </c>
      <c r="B97" s="21">
        <f t="shared" si="6"/>
        <v>88</v>
      </c>
      <c r="C97" s="36"/>
      <c r="D97" s="71">
        <v>17.239999999999998</v>
      </c>
      <c r="E97" s="74">
        <v>228200</v>
      </c>
      <c r="F97" s="10">
        <v>74100</v>
      </c>
      <c r="G97" s="10">
        <f t="shared" si="7"/>
        <v>154100</v>
      </c>
      <c r="H97" s="80">
        <v>366</v>
      </c>
      <c r="J97" s="80">
        <v>31.1</v>
      </c>
      <c r="K97" s="80">
        <v>4.93</v>
      </c>
      <c r="M97" s="10">
        <v>522453</v>
      </c>
      <c r="P97" s="80">
        <v>260</v>
      </c>
      <c r="R97" s="80">
        <v>23.2</v>
      </c>
      <c r="S97" s="80">
        <v>4.4000000000000004</v>
      </c>
      <c r="U97" s="74">
        <v>3388.75</v>
      </c>
      <c r="AI97" s="80">
        <v>0.115</v>
      </c>
      <c r="AJ97" s="10">
        <v>0.6116666666666668</v>
      </c>
      <c r="AK97" s="10">
        <v>1.6516666666666666</v>
      </c>
      <c r="AL97">
        <v>1190.5</v>
      </c>
      <c r="AP97">
        <v>90967</v>
      </c>
      <c r="AQ97" s="10">
        <f t="shared" si="5"/>
        <v>230398.25</v>
      </c>
      <c r="AR97" s="80">
        <v>140</v>
      </c>
      <c r="AT97" s="80">
        <v>23.8</v>
      </c>
      <c r="AU97" s="80">
        <v>4.3</v>
      </c>
      <c r="AV97" s="80">
        <v>90</v>
      </c>
      <c r="AX97" s="10">
        <v>3.0049999999999999</v>
      </c>
      <c r="AY97" s="10">
        <v>20</v>
      </c>
      <c r="AZ97" s="10">
        <v>220.24799999999999</v>
      </c>
      <c r="BA97" s="10">
        <v>10.286</v>
      </c>
      <c r="BB97">
        <v>3.06</v>
      </c>
      <c r="BC97">
        <v>19</v>
      </c>
      <c r="BD97">
        <v>200</v>
      </c>
      <c r="BE97">
        <v>9.9209999999999994</v>
      </c>
      <c r="BF97" s="10">
        <v>2.419</v>
      </c>
      <c r="BG97" s="10">
        <v>19</v>
      </c>
      <c r="BH97" s="10">
        <v>162.15600000000001</v>
      </c>
      <c r="BI97" s="10">
        <v>13.832000000000001</v>
      </c>
      <c r="BJ97">
        <v>3.7320000000000002</v>
      </c>
      <c r="BK97">
        <v>19</v>
      </c>
      <c r="BM97">
        <v>403</v>
      </c>
      <c r="BN97">
        <v>7.1310000000000002</v>
      </c>
      <c r="BO97" s="10">
        <v>12.108000000000001</v>
      </c>
      <c r="BP97">
        <v>154100</v>
      </c>
      <c r="BR97">
        <v>39</v>
      </c>
      <c r="BS97">
        <v>4</v>
      </c>
      <c r="BT97">
        <v>6.7</v>
      </c>
      <c r="BU97">
        <v>4.8</v>
      </c>
      <c r="BV97">
        <v>0.45</v>
      </c>
      <c r="BW97">
        <v>7.5</v>
      </c>
      <c r="BX97">
        <v>3</v>
      </c>
      <c r="BY97">
        <v>3.3</v>
      </c>
      <c r="BZ97">
        <v>13</v>
      </c>
      <c r="CA97">
        <v>0.49</v>
      </c>
      <c r="CB97">
        <v>0</v>
      </c>
      <c r="CC97">
        <v>20767</v>
      </c>
      <c r="CD97">
        <v>2609</v>
      </c>
      <c r="CE97">
        <v>3952</v>
      </c>
      <c r="CF97">
        <v>4187.5</v>
      </c>
      <c r="CG97">
        <v>3369</v>
      </c>
      <c r="CH97">
        <v>8616</v>
      </c>
      <c r="CI97">
        <v>20125</v>
      </c>
      <c r="CK97">
        <v>0</v>
      </c>
      <c r="CL97">
        <v>37000</v>
      </c>
      <c r="CM97">
        <v>0</v>
      </c>
      <c r="CN97">
        <v>34000</v>
      </c>
      <c r="CO97">
        <v>0</v>
      </c>
      <c r="CP97">
        <v>30000</v>
      </c>
      <c r="CQ97">
        <v>174</v>
      </c>
      <c r="CR97">
        <v>64000</v>
      </c>
      <c r="CS97" s="5">
        <v>0</v>
      </c>
      <c r="CU97" s="5">
        <v>0</v>
      </c>
      <c r="CW97" s="5">
        <v>0</v>
      </c>
      <c r="CY97">
        <v>25.9</v>
      </c>
      <c r="CZ97">
        <v>0</v>
      </c>
      <c r="DA97">
        <v>35</v>
      </c>
      <c r="DB97">
        <v>8810</v>
      </c>
      <c r="DC97">
        <v>62.225999999999999</v>
      </c>
      <c r="DD97">
        <v>39.459000000000003</v>
      </c>
      <c r="DE97">
        <v>4.0000000000000001E-3</v>
      </c>
      <c r="DF97">
        <v>8280</v>
      </c>
      <c r="DH97">
        <v>160</v>
      </c>
      <c r="DI97">
        <v>99000</v>
      </c>
      <c r="DJ97">
        <v>20.2</v>
      </c>
      <c r="DK97">
        <v>38</v>
      </c>
      <c r="DL97">
        <v>1</v>
      </c>
      <c r="DM97">
        <v>10400</v>
      </c>
      <c r="DN97" s="23"/>
      <c r="DO97">
        <v>0</v>
      </c>
      <c r="DP97" t="s">
        <v>286</v>
      </c>
    </row>
    <row r="98" spans="1:128" x14ac:dyDescent="0.3">
      <c r="A98" s="2">
        <v>41637</v>
      </c>
      <c r="B98" s="21">
        <f t="shared" si="6"/>
        <v>89</v>
      </c>
      <c r="C98" s="36"/>
      <c r="D98" s="71">
        <v>1.52</v>
      </c>
      <c r="E98" s="74">
        <v>238250</v>
      </c>
      <c r="F98" s="10">
        <v>60050</v>
      </c>
      <c r="G98" s="10">
        <f t="shared" si="7"/>
        <v>178200</v>
      </c>
      <c r="U98" s="74">
        <v>3230.6</v>
      </c>
      <c r="AI98" s="80">
        <v>4.5999999999999999E-2</v>
      </c>
      <c r="AJ98" s="10">
        <v>1.9158333333333328</v>
      </c>
      <c r="AK98" s="10">
        <v>2.9095833333333325</v>
      </c>
      <c r="AL98">
        <v>890</v>
      </c>
      <c r="AP98">
        <v>65867</v>
      </c>
      <c r="AQ98" s="10">
        <f t="shared" si="5"/>
        <v>240590.6</v>
      </c>
      <c r="AX98" s="10">
        <v>2.7890000000000001</v>
      </c>
      <c r="AZ98" s="10">
        <v>239.04400000000001</v>
      </c>
      <c r="BA98" s="10">
        <v>10.028</v>
      </c>
      <c r="BB98">
        <v>2.82</v>
      </c>
      <c r="BD98">
        <v>200</v>
      </c>
      <c r="BE98">
        <v>9.9510000000000005</v>
      </c>
      <c r="BF98" s="10">
        <v>2.972</v>
      </c>
      <c r="BH98" s="10">
        <v>200.20500000000001</v>
      </c>
      <c r="BI98" s="10">
        <v>11.835000000000001</v>
      </c>
      <c r="BJ98">
        <v>3.5430000000000001</v>
      </c>
      <c r="BM98">
        <v>423</v>
      </c>
      <c r="BN98">
        <v>7.3879999999999999</v>
      </c>
      <c r="BO98" s="10">
        <v>10.603</v>
      </c>
      <c r="BP98">
        <v>178200</v>
      </c>
      <c r="CB98">
        <v>0</v>
      </c>
      <c r="CC98">
        <v>23193</v>
      </c>
      <c r="CD98">
        <v>2070</v>
      </c>
      <c r="CE98">
        <v>2996</v>
      </c>
      <c r="CF98">
        <v>2846</v>
      </c>
      <c r="CG98">
        <v>3198.5</v>
      </c>
      <c r="CH98">
        <v>5818</v>
      </c>
      <c r="CI98">
        <v>14859</v>
      </c>
      <c r="CK98">
        <v>0</v>
      </c>
      <c r="CL98">
        <v>37000</v>
      </c>
      <c r="CM98">
        <v>0</v>
      </c>
      <c r="CN98">
        <v>34000</v>
      </c>
      <c r="CO98">
        <v>0</v>
      </c>
      <c r="CP98">
        <v>30000</v>
      </c>
      <c r="CQ98">
        <v>0</v>
      </c>
      <c r="CR98">
        <v>64000</v>
      </c>
      <c r="CS98" s="5">
        <v>0</v>
      </c>
      <c r="CU98" s="5">
        <v>0</v>
      </c>
      <c r="CW98" s="5">
        <v>0</v>
      </c>
      <c r="CY98">
        <v>7.4</v>
      </c>
      <c r="CZ98">
        <v>14</v>
      </c>
      <c r="DA98">
        <v>42</v>
      </c>
      <c r="DB98">
        <v>8357</v>
      </c>
      <c r="DC98">
        <v>62.610999999999997</v>
      </c>
      <c r="DD98">
        <v>39.610999999999997</v>
      </c>
      <c r="DE98">
        <v>4.0000000000000001E-3</v>
      </c>
      <c r="DF98">
        <v>4993.3130000000001</v>
      </c>
      <c r="DH98">
        <v>169.2</v>
      </c>
      <c r="DI98">
        <v>33440</v>
      </c>
      <c r="DJ98">
        <v>20.2</v>
      </c>
      <c r="DK98">
        <v>38</v>
      </c>
      <c r="DN98" s="23"/>
      <c r="DO98">
        <v>0</v>
      </c>
      <c r="DP98" t="s">
        <v>286</v>
      </c>
    </row>
    <row r="99" spans="1:128" x14ac:dyDescent="0.3">
      <c r="A99" s="2">
        <v>41638</v>
      </c>
      <c r="B99" s="21">
        <f t="shared" si="6"/>
        <v>90</v>
      </c>
      <c r="C99" s="36"/>
      <c r="D99" s="71">
        <v>0</v>
      </c>
      <c r="E99" s="74">
        <v>192950</v>
      </c>
      <c r="F99" s="10">
        <v>119450</v>
      </c>
      <c r="G99" s="10">
        <f t="shared" si="7"/>
        <v>73500</v>
      </c>
      <c r="U99" s="74">
        <v>2506.4</v>
      </c>
      <c r="AF99" s="80">
        <v>3624</v>
      </c>
      <c r="AG99" s="80">
        <v>15.5</v>
      </c>
      <c r="AH99" s="80">
        <v>99</v>
      </c>
      <c r="AI99" s="80">
        <v>0.26600000000000001</v>
      </c>
      <c r="AJ99" s="10">
        <v>0.78500000000000003</v>
      </c>
      <c r="AK99" s="10">
        <v>1.912916666666667</v>
      </c>
      <c r="AL99">
        <v>839</v>
      </c>
      <c r="AP99">
        <v>69200</v>
      </c>
      <c r="AQ99" s="10">
        <f t="shared" si="5"/>
        <v>194617.4</v>
      </c>
      <c r="AX99" s="10">
        <v>3.33</v>
      </c>
      <c r="AZ99" s="10">
        <v>166</v>
      </c>
      <c r="BA99" s="10">
        <v>9.766</v>
      </c>
      <c r="BB99">
        <v>3.11</v>
      </c>
      <c r="BD99">
        <v>160</v>
      </c>
      <c r="BE99">
        <v>11.477</v>
      </c>
      <c r="BF99" s="10">
        <v>3.48</v>
      </c>
      <c r="BH99" s="10">
        <v>147.63900000000001</v>
      </c>
      <c r="BI99" s="10">
        <v>12.483000000000001</v>
      </c>
      <c r="BJ99">
        <v>4.54</v>
      </c>
      <c r="BL99">
        <v>123</v>
      </c>
      <c r="BM99">
        <v>332</v>
      </c>
      <c r="BN99">
        <v>8.516</v>
      </c>
      <c r="BO99" s="10">
        <v>11.173999999999999</v>
      </c>
      <c r="BP99">
        <v>73500</v>
      </c>
      <c r="CB99">
        <v>0</v>
      </c>
      <c r="CC99">
        <v>21258</v>
      </c>
      <c r="CD99">
        <v>2151</v>
      </c>
      <c r="CE99">
        <v>2915.5</v>
      </c>
      <c r="CF99">
        <v>2846</v>
      </c>
      <c r="CG99">
        <v>2867.5</v>
      </c>
      <c r="CH99">
        <v>5860</v>
      </c>
      <c r="CI99">
        <v>14489</v>
      </c>
      <c r="CK99">
        <v>72</v>
      </c>
      <c r="CL99">
        <v>37000</v>
      </c>
      <c r="CM99">
        <v>0</v>
      </c>
      <c r="CN99">
        <v>34000</v>
      </c>
      <c r="CO99">
        <v>0</v>
      </c>
      <c r="CP99">
        <v>30000</v>
      </c>
      <c r="CQ99">
        <v>0</v>
      </c>
      <c r="CR99">
        <v>64000</v>
      </c>
      <c r="CS99" s="5">
        <v>0</v>
      </c>
      <c r="CU99" s="5">
        <v>0</v>
      </c>
      <c r="CW99" s="5">
        <v>0</v>
      </c>
      <c r="CY99">
        <v>0</v>
      </c>
      <c r="CZ99">
        <v>14</v>
      </c>
      <c r="DA99">
        <v>24.5</v>
      </c>
      <c r="DB99">
        <v>7907</v>
      </c>
      <c r="DC99">
        <v>63.807000000000002</v>
      </c>
      <c r="DD99">
        <v>39.536999999999999</v>
      </c>
      <c r="DE99">
        <v>4.0000000000000001E-3</v>
      </c>
      <c r="DF99">
        <v>4983.375</v>
      </c>
      <c r="DH99">
        <v>124.6</v>
      </c>
      <c r="DI99">
        <v>35180</v>
      </c>
      <c r="DJ99">
        <v>20.2</v>
      </c>
      <c r="DK99">
        <v>38</v>
      </c>
      <c r="DN99" s="23"/>
      <c r="DO99">
        <v>0</v>
      </c>
      <c r="DP99" t="s">
        <v>286</v>
      </c>
    </row>
    <row r="100" spans="1:128" x14ac:dyDescent="0.3">
      <c r="A100" s="2">
        <v>41639</v>
      </c>
      <c r="B100" s="21">
        <f t="shared" si="6"/>
        <v>91</v>
      </c>
      <c r="C100" s="36"/>
      <c r="D100" s="71">
        <v>0.67</v>
      </c>
      <c r="E100" s="74">
        <v>184176</v>
      </c>
      <c r="F100" s="10">
        <v>120000</v>
      </c>
      <c r="G100" s="10">
        <f t="shared" si="7"/>
        <v>64176</v>
      </c>
      <c r="U100" s="74">
        <v>3781.3</v>
      </c>
      <c r="AI100" s="80">
        <v>0.25600000000000001</v>
      </c>
      <c r="AJ100" s="10">
        <v>0.34208333333333324</v>
      </c>
      <c r="AK100" s="10">
        <v>1.6325000000000003</v>
      </c>
      <c r="AL100">
        <v>1196</v>
      </c>
      <c r="AM100" s="80">
        <v>6600</v>
      </c>
      <c r="AO100" s="80">
        <v>25</v>
      </c>
      <c r="AP100">
        <v>75733</v>
      </c>
      <c r="AQ100" s="10">
        <f t="shared" si="5"/>
        <v>186761.3</v>
      </c>
      <c r="AX100" s="10">
        <v>2.9710000000000001</v>
      </c>
      <c r="AZ100" s="10">
        <v>184</v>
      </c>
      <c r="BA100" s="10">
        <v>9.4960000000000004</v>
      </c>
      <c r="BB100">
        <v>2.9729999999999999</v>
      </c>
      <c r="BD100">
        <v>182</v>
      </c>
      <c r="BE100">
        <v>11.4</v>
      </c>
      <c r="BF100" s="10">
        <v>3.2530000000000001</v>
      </c>
      <c r="BH100" s="10">
        <v>164.857</v>
      </c>
      <c r="BI100" s="10">
        <v>12.097</v>
      </c>
      <c r="BJ100">
        <v>4.1120000000000001</v>
      </c>
      <c r="BM100">
        <v>445</v>
      </c>
      <c r="BN100">
        <v>8.2409999999999997</v>
      </c>
      <c r="BO100" s="10">
        <v>11.445</v>
      </c>
      <c r="BP100">
        <v>64176</v>
      </c>
      <c r="CB100">
        <v>0</v>
      </c>
      <c r="CC100">
        <v>15992</v>
      </c>
      <c r="CD100">
        <v>2258</v>
      </c>
      <c r="CE100">
        <v>3122.5</v>
      </c>
      <c r="CF100">
        <v>3208</v>
      </c>
      <c r="CG100">
        <v>3055</v>
      </c>
      <c r="CH100">
        <v>6160</v>
      </c>
      <c r="CI100">
        <v>15546</v>
      </c>
      <c r="CK100">
        <v>143</v>
      </c>
      <c r="CL100">
        <v>37000</v>
      </c>
      <c r="CM100">
        <v>0</v>
      </c>
      <c r="CN100">
        <v>34000</v>
      </c>
      <c r="CO100">
        <v>0</v>
      </c>
      <c r="CP100">
        <v>30000</v>
      </c>
      <c r="CQ100">
        <v>171</v>
      </c>
      <c r="CR100">
        <v>64000</v>
      </c>
      <c r="CS100" s="5">
        <v>0</v>
      </c>
      <c r="CU100" s="5">
        <v>0</v>
      </c>
      <c r="CW100" s="5">
        <v>0</v>
      </c>
      <c r="CY100">
        <v>0</v>
      </c>
      <c r="CZ100">
        <v>26.6</v>
      </c>
      <c r="DA100">
        <v>42</v>
      </c>
      <c r="DB100">
        <v>8071</v>
      </c>
      <c r="DC100">
        <v>63.137</v>
      </c>
      <c r="DD100">
        <v>39.985999999999997</v>
      </c>
      <c r="DE100">
        <v>4.0000000000000001E-3</v>
      </c>
      <c r="DF100">
        <v>8158.3130000000001</v>
      </c>
      <c r="DH100">
        <v>256.39999999999998</v>
      </c>
      <c r="DI100">
        <v>68660</v>
      </c>
      <c r="DJ100">
        <v>20.2</v>
      </c>
      <c r="DK100">
        <v>38</v>
      </c>
      <c r="DL100">
        <v>1</v>
      </c>
      <c r="DM100">
        <v>9300</v>
      </c>
      <c r="DN100" s="23"/>
      <c r="DO100">
        <v>0</v>
      </c>
      <c r="DP100" t="s">
        <v>286</v>
      </c>
    </row>
    <row r="101" spans="1:128" x14ac:dyDescent="0.3">
      <c r="A101" s="2">
        <v>41640</v>
      </c>
      <c r="B101" s="21">
        <f t="shared" si="6"/>
        <v>92</v>
      </c>
      <c r="C101" s="36"/>
      <c r="D101" s="71">
        <v>1.96</v>
      </c>
      <c r="E101" s="74">
        <v>193250</v>
      </c>
      <c r="F101" s="10">
        <v>120050</v>
      </c>
      <c r="G101" s="10">
        <f t="shared" si="7"/>
        <v>73200</v>
      </c>
      <c r="N101">
        <v>6729</v>
      </c>
      <c r="U101" s="74">
        <v>4070.4</v>
      </c>
      <c r="AI101" s="80">
        <v>0.76200000000000001</v>
      </c>
      <c r="AJ101" s="10">
        <v>0.30875000000000002</v>
      </c>
      <c r="AK101" s="10">
        <v>1.5229166666666669</v>
      </c>
      <c r="AL101">
        <v>1197</v>
      </c>
      <c r="AP101">
        <v>83467</v>
      </c>
      <c r="AQ101" s="10">
        <f t="shared" si="5"/>
        <v>196123.4</v>
      </c>
      <c r="AX101" s="10">
        <v>2.8380000000000001</v>
      </c>
      <c r="AZ101" s="10">
        <v>210</v>
      </c>
      <c r="BA101" s="10">
        <v>9.2829999999999995</v>
      </c>
      <c r="BB101">
        <v>2.863</v>
      </c>
      <c r="BD101">
        <v>220.22300000000001</v>
      </c>
      <c r="BE101">
        <v>11.112</v>
      </c>
      <c r="BF101" s="10">
        <v>3.012</v>
      </c>
      <c r="BH101" s="10">
        <v>184.143</v>
      </c>
      <c r="BI101" s="10">
        <v>11.577</v>
      </c>
      <c r="BJ101">
        <v>3.956</v>
      </c>
      <c r="BM101">
        <v>483</v>
      </c>
      <c r="BN101">
        <v>8.2279999999999998</v>
      </c>
      <c r="BO101" s="10">
        <v>11.965</v>
      </c>
      <c r="BP101">
        <v>73200</v>
      </c>
      <c r="CB101">
        <v>0</v>
      </c>
      <c r="CC101">
        <v>15303</v>
      </c>
      <c r="CD101">
        <v>2418</v>
      </c>
      <c r="CE101">
        <v>3486</v>
      </c>
      <c r="CF101">
        <v>3346</v>
      </c>
      <c r="CG101">
        <v>3363</v>
      </c>
      <c r="CH101">
        <v>7016</v>
      </c>
      <c r="CI101">
        <v>17211</v>
      </c>
      <c r="CK101">
        <v>0</v>
      </c>
      <c r="CL101">
        <v>30000</v>
      </c>
      <c r="CM101">
        <v>0</v>
      </c>
      <c r="CN101">
        <v>36000</v>
      </c>
      <c r="CO101">
        <v>0</v>
      </c>
      <c r="CP101">
        <v>27000</v>
      </c>
      <c r="CQ101">
        <v>105</v>
      </c>
      <c r="CR101">
        <v>65000</v>
      </c>
      <c r="CS101" s="5">
        <v>0</v>
      </c>
      <c r="CU101" s="5">
        <v>0</v>
      </c>
      <c r="CW101" s="5">
        <v>0</v>
      </c>
      <c r="CY101">
        <v>23.4</v>
      </c>
      <c r="CZ101">
        <v>7.6</v>
      </c>
      <c r="DA101">
        <v>42</v>
      </c>
      <c r="DB101">
        <v>10327</v>
      </c>
      <c r="DC101">
        <v>63.354999999999997</v>
      </c>
      <c r="DD101">
        <v>39.287999999999997</v>
      </c>
      <c r="DE101">
        <v>4.0000000000000001E-3</v>
      </c>
      <c r="DF101">
        <v>5885670</v>
      </c>
      <c r="DG101" t="s">
        <v>241</v>
      </c>
      <c r="DH101">
        <v>278</v>
      </c>
      <c r="DI101">
        <v>65580</v>
      </c>
      <c r="DJ101">
        <v>20.399999999999999</v>
      </c>
      <c r="DK101">
        <v>39</v>
      </c>
      <c r="DN101" s="23"/>
      <c r="DO101">
        <v>0</v>
      </c>
      <c r="DP101" t="s">
        <v>286</v>
      </c>
    </row>
    <row r="102" spans="1:128" x14ac:dyDescent="0.3">
      <c r="A102" s="2">
        <v>41641</v>
      </c>
      <c r="B102" s="21">
        <f t="shared" si="6"/>
        <v>93</v>
      </c>
      <c r="C102" s="36"/>
      <c r="D102" s="71">
        <v>2.69</v>
      </c>
      <c r="E102" s="74">
        <v>195024</v>
      </c>
      <c r="F102" s="10">
        <v>119800</v>
      </c>
      <c r="G102" s="10">
        <f t="shared" si="7"/>
        <v>75224</v>
      </c>
      <c r="H102" s="80">
        <v>374</v>
      </c>
      <c r="I102" s="80">
        <v>141</v>
      </c>
      <c r="J102" s="80">
        <v>45.1</v>
      </c>
      <c r="K102" s="80">
        <v>6.09</v>
      </c>
      <c r="L102" s="80">
        <v>208</v>
      </c>
      <c r="M102" s="10">
        <v>290844</v>
      </c>
      <c r="P102" s="80">
        <v>170</v>
      </c>
      <c r="Q102" s="80">
        <v>57</v>
      </c>
      <c r="R102" s="80">
        <v>19.3</v>
      </c>
      <c r="S102" s="80">
        <v>4.5</v>
      </c>
      <c r="T102" s="80">
        <v>84</v>
      </c>
      <c r="U102" s="74">
        <v>3698.2</v>
      </c>
      <c r="W102" s="80">
        <v>380</v>
      </c>
      <c r="X102" s="80">
        <v>110</v>
      </c>
      <c r="Y102" s="80">
        <v>205</v>
      </c>
      <c r="Z102" s="80">
        <v>0.34</v>
      </c>
      <c r="AA102" s="80">
        <v>3.9</v>
      </c>
      <c r="AB102" s="80">
        <v>21</v>
      </c>
      <c r="AD102" s="80">
        <v>190</v>
      </c>
      <c r="AF102" s="80">
        <v>3136</v>
      </c>
      <c r="AG102" s="80">
        <v>13.7</v>
      </c>
      <c r="AH102" s="80">
        <v>89</v>
      </c>
      <c r="AI102" s="80">
        <v>0.755</v>
      </c>
      <c r="AJ102" s="10">
        <v>0.34000000000000008</v>
      </c>
      <c r="AK102" s="10">
        <v>1.5229166666666669</v>
      </c>
      <c r="AL102">
        <v>1196</v>
      </c>
      <c r="AP102">
        <v>83133</v>
      </c>
      <c r="AQ102" s="10">
        <f t="shared" si="5"/>
        <v>197526.2</v>
      </c>
      <c r="AR102" s="80">
        <v>130</v>
      </c>
      <c r="AS102" s="80">
        <v>37</v>
      </c>
      <c r="AT102" s="80">
        <v>20.100000000000001</v>
      </c>
      <c r="AU102" s="80">
        <v>4.5999999999999996</v>
      </c>
      <c r="AV102" s="80">
        <v>55</v>
      </c>
      <c r="AW102" s="6">
        <v>0.52</v>
      </c>
      <c r="AX102" s="10">
        <v>2.92</v>
      </c>
      <c r="AY102" s="10">
        <v>19</v>
      </c>
      <c r="AZ102" s="10">
        <v>210</v>
      </c>
      <c r="BA102" s="10">
        <v>9.1319999999999997</v>
      </c>
      <c r="BB102">
        <v>2.92</v>
      </c>
      <c r="BC102">
        <v>18</v>
      </c>
      <c r="BD102">
        <v>220.25399999999999</v>
      </c>
      <c r="BE102">
        <v>10.185</v>
      </c>
      <c r="BF102" s="10">
        <v>3.23</v>
      </c>
      <c r="BG102" s="10">
        <v>18</v>
      </c>
      <c r="BH102" s="10">
        <v>190</v>
      </c>
      <c r="BI102" s="10">
        <v>10.803000000000001</v>
      </c>
      <c r="BJ102">
        <v>4.42</v>
      </c>
      <c r="BK102">
        <v>19</v>
      </c>
      <c r="BL102">
        <v>118</v>
      </c>
      <c r="BM102">
        <v>504</v>
      </c>
      <c r="BN102">
        <v>7.7759999999999998</v>
      </c>
      <c r="BO102" s="10">
        <v>12.119</v>
      </c>
      <c r="BP102">
        <v>75224</v>
      </c>
      <c r="BR102">
        <v>42</v>
      </c>
      <c r="BS102">
        <v>4</v>
      </c>
      <c r="BT102">
        <v>3.1</v>
      </c>
      <c r="BU102">
        <v>1.2</v>
      </c>
      <c r="BV102">
        <v>0.35</v>
      </c>
      <c r="BW102">
        <v>8.5</v>
      </c>
      <c r="BX102">
        <v>3.5</v>
      </c>
      <c r="BY102">
        <v>3.5</v>
      </c>
      <c r="BZ102">
        <v>6.2</v>
      </c>
      <c r="CA102">
        <v>0.52</v>
      </c>
      <c r="CB102">
        <v>0</v>
      </c>
      <c r="CC102">
        <v>14860</v>
      </c>
      <c r="CD102">
        <v>2447</v>
      </c>
      <c r="CE102">
        <v>3399.5</v>
      </c>
      <c r="CF102">
        <v>3342</v>
      </c>
      <c r="CG102">
        <v>3336</v>
      </c>
      <c r="CH102">
        <v>6944</v>
      </c>
      <c r="CI102">
        <v>17022</v>
      </c>
      <c r="CK102">
        <v>72</v>
      </c>
      <c r="CL102">
        <v>30000</v>
      </c>
      <c r="CM102">
        <v>0</v>
      </c>
      <c r="CN102">
        <v>36000</v>
      </c>
      <c r="CO102">
        <v>0</v>
      </c>
      <c r="CP102">
        <v>27000</v>
      </c>
      <c r="CQ102">
        <v>0</v>
      </c>
      <c r="CR102">
        <v>65000</v>
      </c>
      <c r="CS102" s="5">
        <v>0</v>
      </c>
      <c r="CU102" s="5">
        <v>0</v>
      </c>
      <c r="CW102" s="5">
        <v>0</v>
      </c>
      <c r="CY102">
        <v>27.3</v>
      </c>
      <c r="CZ102">
        <v>0</v>
      </c>
      <c r="DA102">
        <v>45.5</v>
      </c>
      <c r="DB102">
        <v>10124</v>
      </c>
      <c r="DC102">
        <v>61.825000000000003</v>
      </c>
      <c r="DD102">
        <v>39.956000000000003</v>
      </c>
      <c r="DE102">
        <v>4.0000000000000001E-3</v>
      </c>
      <c r="DF102">
        <v>0</v>
      </c>
      <c r="DG102" t="s">
        <v>241</v>
      </c>
      <c r="DH102">
        <v>203.9</v>
      </c>
      <c r="DI102">
        <v>0</v>
      </c>
      <c r="DJ102">
        <v>20.399999999999999</v>
      </c>
      <c r="DK102">
        <v>39</v>
      </c>
      <c r="DN102" s="23"/>
      <c r="DO102">
        <v>0</v>
      </c>
      <c r="DP102" t="s">
        <v>286</v>
      </c>
    </row>
    <row r="103" spans="1:128" x14ac:dyDescent="0.3">
      <c r="A103" s="2">
        <v>41642</v>
      </c>
      <c r="B103" s="21">
        <f t="shared" si="6"/>
        <v>94</v>
      </c>
      <c r="C103" s="36"/>
      <c r="D103" s="71">
        <v>2.42</v>
      </c>
      <c r="E103" s="74">
        <v>178600</v>
      </c>
      <c r="F103" s="10">
        <v>114650</v>
      </c>
      <c r="G103" s="10">
        <f t="shared" si="7"/>
        <v>63950</v>
      </c>
      <c r="U103" s="74">
        <v>3907.3</v>
      </c>
      <c r="AI103" s="80">
        <v>1.175</v>
      </c>
      <c r="AJ103" s="10">
        <v>0.41083333333333322</v>
      </c>
      <c r="AK103" s="10">
        <v>1.64</v>
      </c>
      <c r="AL103">
        <v>1196</v>
      </c>
      <c r="AP103">
        <v>70900</v>
      </c>
      <c r="AQ103" s="10">
        <f t="shared" si="5"/>
        <v>181311.3</v>
      </c>
      <c r="AX103" s="10">
        <v>3.0739999999999998</v>
      </c>
      <c r="AZ103" s="10">
        <v>201</v>
      </c>
      <c r="BA103" s="10">
        <v>7.7439999999999998</v>
      </c>
      <c r="BB103">
        <v>2.6440000000000001</v>
      </c>
      <c r="BD103">
        <v>231.268</v>
      </c>
      <c r="BE103">
        <v>10.569000000000001</v>
      </c>
      <c r="BF103" s="10">
        <v>2.7639999999999998</v>
      </c>
      <c r="BH103" s="10">
        <v>161</v>
      </c>
      <c r="BI103" s="10">
        <v>11.182</v>
      </c>
      <c r="BJ103">
        <v>3.9529999999999998</v>
      </c>
      <c r="BM103">
        <v>542</v>
      </c>
      <c r="BN103">
        <v>7.8090000000000002</v>
      </c>
      <c r="BO103" s="10">
        <v>12.304</v>
      </c>
      <c r="BP103">
        <v>63950</v>
      </c>
      <c r="CB103">
        <v>10</v>
      </c>
      <c r="CC103">
        <v>11541</v>
      </c>
      <c r="CD103">
        <v>2152</v>
      </c>
      <c r="CE103">
        <v>2277.5</v>
      </c>
      <c r="CF103">
        <v>3255</v>
      </c>
      <c r="CG103">
        <v>3170</v>
      </c>
      <c r="CH103">
        <v>5908</v>
      </c>
      <c r="CI103">
        <v>14611</v>
      </c>
      <c r="CK103">
        <v>143</v>
      </c>
      <c r="CL103">
        <v>30000</v>
      </c>
      <c r="CM103">
        <v>0</v>
      </c>
      <c r="CN103">
        <v>36000</v>
      </c>
      <c r="CO103">
        <v>0</v>
      </c>
      <c r="CP103">
        <v>27000</v>
      </c>
      <c r="CQ103">
        <v>138</v>
      </c>
      <c r="CR103">
        <v>65000</v>
      </c>
      <c r="CS103" s="5">
        <v>0</v>
      </c>
      <c r="CU103" s="5">
        <v>0</v>
      </c>
      <c r="CW103" s="5">
        <v>0</v>
      </c>
      <c r="CY103">
        <v>23.1</v>
      </c>
      <c r="CZ103">
        <v>0</v>
      </c>
      <c r="DA103">
        <v>50.4</v>
      </c>
      <c r="DB103">
        <v>9946</v>
      </c>
      <c r="DC103">
        <v>62.41</v>
      </c>
      <c r="DD103">
        <v>39.412999999999997</v>
      </c>
      <c r="DE103">
        <v>5.0000000000000001E-3</v>
      </c>
      <c r="DF103">
        <v>9080</v>
      </c>
      <c r="DH103">
        <v>246</v>
      </c>
      <c r="DI103">
        <v>100740</v>
      </c>
      <c r="DJ103">
        <v>20.399999999999999</v>
      </c>
      <c r="DK103">
        <v>39</v>
      </c>
      <c r="DN103" s="23"/>
      <c r="DO103">
        <v>0</v>
      </c>
      <c r="DP103" t="s">
        <v>286</v>
      </c>
    </row>
    <row r="104" spans="1:128" x14ac:dyDescent="0.3">
      <c r="A104" s="2">
        <v>41643</v>
      </c>
      <c r="B104" s="21">
        <f t="shared" si="6"/>
        <v>95</v>
      </c>
      <c r="C104" s="36"/>
      <c r="D104" s="71">
        <v>9.5299999999999994</v>
      </c>
      <c r="E104" s="74">
        <v>251800</v>
      </c>
      <c r="F104" s="10">
        <v>53850</v>
      </c>
      <c r="G104" s="10">
        <f t="shared" si="7"/>
        <v>197950</v>
      </c>
      <c r="U104" s="74">
        <v>3779.2</v>
      </c>
      <c r="AI104" s="80">
        <v>0.29499999999999998</v>
      </c>
      <c r="AJ104" s="10">
        <v>0.55750000000000011</v>
      </c>
      <c r="AK104" s="10">
        <v>1.5162499999999997</v>
      </c>
      <c r="AL104">
        <v>1196</v>
      </c>
      <c r="AP104">
        <v>75850</v>
      </c>
      <c r="AQ104" s="10">
        <f t="shared" si="5"/>
        <v>254383.2</v>
      </c>
      <c r="AX104" s="10">
        <v>2.5350000000000001</v>
      </c>
      <c r="AZ104" s="10">
        <v>200</v>
      </c>
      <c r="BA104" s="10">
        <v>9.3019999999999996</v>
      </c>
      <c r="BB104">
        <v>2.6819999999999999</v>
      </c>
      <c r="BD104">
        <v>201.23400000000001</v>
      </c>
      <c r="BE104">
        <v>8.3979999999999997</v>
      </c>
      <c r="BF104" s="10">
        <v>2.8540000000000001</v>
      </c>
      <c r="BH104" s="10">
        <v>151</v>
      </c>
      <c r="BI104" s="10">
        <v>8.81</v>
      </c>
      <c r="BJ104">
        <v>3.379</v>
      </c>
      <c r="BM104">
        <v>564</v>
      </c>
      <c r="BN104">
        <v>6.36</v>
      </c>
      <c r="BO104" s="10">
        <v>11.448</v>
      </c>
      <c r="BP104">
        <v>197950</v>
      </c>
      <c r="CB104">
        <v>18</v>
      </c>
      <c r="CC104">
        <v>18546</v>
      </c>
      <c r="CD104">
        <v>2240</v>
      </c>
      <c r="CE104">
        <v>3361</v>
      </c>
      <c r="CF104">
        <v>3987</v>
      </c>
      <c r="CG104">
        <v>4018</v>
      </c>
      <c r="CH104">
        <v>7974</v>
      </c>
      <c r="CI104">
        <v>19340</v>
      </c>
      <c r="CK104">
        <v>71</v>
      </c>
      <c r="CL104">
        <v>30000</v>
      </c>
      <c r="CM104">
        <v>0</v>
      </c>
      <c r="CN104">
        <v>36000</v>
      </c>
      <c r="CO104">
        <v>0</v>
      </c>
      <c r="CP104">
        <v>27000</v>
      </c>
      <c r="CQ104">
        <v>34</v>
      </c>
      <c r="CR104">
        <v>65000</v>
      </c>
      <c r="CS104" s="5">
        <v>0</v>
      </c>
      <c r="CU104" s="5">
        <v>0</v>
      </c>
      <c r="CW104" s="5">
        <v>0</v>
      </c>
      <c r="CY104">
        <v>23.1</v>
      </c>
      <c r="CZ104">
        <v>0</v>
      </c>
      <c r="DA104">
        <v>39.6</v>
      </c>
      <c r="DB104">
        <v>9699</v>
      </c>
      <c r="DC104">
        <v>62.654000000000003</v>
      </c>
      <c r="DD104">
        <v>39.268999999999998</v>
      </c>
      <c r="DE104">
        <v>5.0000000000000001E-3</v>
      </c>
      <c r="DF104">
        <v>9060</v>
      </c>
      <c r="DH104">
        <v>220.8</v>
      </c>
      <c r="DI104">
        <v>106120</v>
      </c>
      <c r="DJ104">
        <v>20.399999999999999</v>
      </c>
      <c r="DK104">
        <v>39</v>
      </c>
      <c r="DN104" s="23"/>
      <c r="DO104">
        <v>0</v>
      </c>
      <c r="DP104" t="s">
        <v>286</v>
      </c>
    </row>
    <row r="105" spans="1:128" x14ac:dyDescent="0.3">
      <c r="A105" s="2">
        <v>41644</v>
      </c>
      <c r="B105" s="21">
        <f t="shared" si="6"/>
        <v>96</v>
      </c>
      <c r="C105" s="36"/>
      <c r="D105" s="71">
        <v>0.28000000000000003</v>
      </c>
      <c r="E105" s="74">
        <v>204050</v>
      </c>
      <c r="F105" s="10">
        <v>119350</v>
      </c>
      <c r="G105" s="10">
        <f t="shared" si="7"/>
        <v>84700</v>
      </c>
      <c r="U105" s="74">
        <v>3683.4</v>
      </c>
      <c r="AI105" s="80">
        <v>0.46899999999999997</v>
      </c>
      <c r="AJ105" s="10">
        <v>0.79583333333333339</v>
      </c>
      <c r="AK105" s="10">
        <v>1.8112500000000002</v>
      </c>
      <c r="AL105">
        <v>1425</v>
      </c>
      <c r="AP105">
        <v>73450</v>
      </c>
      <c r="AQ105" s="10">
        <f t="shared" ref="AQ105:AQ136" si="8">E105+U105-AL105</f>
        <v>206308.4</v>
      </c>
      <c r="AX105" s="10">
        <v>2.4940000000000002</v>
      </c>
      <c r="AZ105" s="10">
        <v>200.22499999999999</v>
      </c>
      <c r="BA105" s="10">
        <v>10.034000000000001</v>
      </c>
      <c r="BB105">
        <v>3.2240000000000002</v>
      </c>
      <c r="BD105">
        <v>209.02099999999999</v>
      </c>
      <c r="BE105">
        <v>9.1449999999999996</v>
      </c>
      <c r="BF105" s="10">
        <v>2.9319999999999999</v>
      </c>
      <c r="BH105" s="10">
        <v>150</v>
      </c>
      <c r="BI105" s="10">
        <v>11.151999999999999</v>
      </c>
      <c r="BJ105">
        <v>3.7629999999999999</v>
      </c>
      <c r="BM105">
        <v>565</v>
      </c>
      <c r="BN105">
        <v>7.7640000000000002</v>
      </c>
      <c r="BO105" s="10">
        <v>10.744999999999999</v>
      </c>
      <c r="BP105">
        <v>84700</v>
      </c>
      <c r="CB105">
        <v>13</v>
      </c>
      <c r="CC105">
        <v>12986</v>
      </c>
      <c r="CD105">
        <v>2240</v>
      </c>
      <c r="CE105">
        <v>3349</v>
      </c>
      <c r="CF105">
        <v>2462.5</v>
      </c>
      <c r="CG105">
        <v>3416</v>
      </c>
      <c r="CH105">
        <v>6070</v>
      </c>
      <c r="CI105">
        <v>15298</v>
      </c>
      <c r="CK105">
        <v>0</v>
      </c>
      <c r="CL105">
        <v>30000</v>
      </c>
      <c r="CM105">
        <v>0</v>
      </c>
      <c r="CN105">
        <v>36000</v>
      </c>
      <c r="CO105">
        <v>0</v>
      </c>
      <c r="CP105">
        <v>27000</v>
      </c>
      <c r="CQ105">
        <v>0</v>
      </c>
      <c r="CR105">
        <v>65000</v>
      </c>
      <c r="CS105" s="5">
        <v>0</v>
      </c>
      <c r="CU105" s="5">
        <v>0</v>
      </c>
      <c r="CW105" s="5">
        <v>0</v>
      </c>
      <c r="CY105">
        <v>26.4</v>
      </c>
      <c r="CZ105">
        <v>0</v>
      </c>
      <c r="DA105">
        <v>43.2</v>
      </c>
      <c r="DB105">
        <v>9309</v>
      </c>
      <c r="DC105">
        <v>61.685000000000002</v>
      </c>
      <c r="DD105">
        <v>39.798999999999999</v>
      </c>
      <c r="DE105">
        <v>5.0000000000000001E-3</v>
      </c>
      <c r="DF105">
        <v>9155</v>
      </c>
      <c r="DH105">
        <v>180.6</v>
      </c>
      <c r="DI105">
        <v>104440</v>
      </c>
      <c r="DJ105">
        <v>20.399999999999999</v>
      </c>
      <c r="DK105">
        <v>39</v>
      </c>
      <c r="DN105" s="23"/>
      <c r="DO105">
        <v>0</v>
      </c>
      <c r="DP105" t="s">
        <v>286</v>
      </c>
    </row>
    <row r="106" spans="1:128" x14ac:dyDescent="0.3">
      <c r="A106" s="2">
        <v>41645</v>
      </c>
      <c r="B106" s="21">
        <f t="shared" si="6"/>
        <v>97</v>
      </c>
      <c r="C106" s="36"/>
      <c r="D106" s="71">
        <v>0.26</v>
      </c>
      <c r="E106" s="74">
        <v>181050</v>
      </c>
      <c r="F106" s="10">
        <v>120000</v>
      </c>
      <c r="G106" s="10">
        <f t="shared" si="7"/>
        <v>61050</v>
      </c>
      <c r="U106" s="74">
        <v>4202.8999999999996</v>
      </c>
      <c r="AF106" s="80">
        <v>3500</v>
      </c>
      <c r="AG106" s="80">
        <v>19.8</v>
      </c>
      <c r="AH106" s="80">
        <v>69</v>
      </c>
      <c r="AI106" s="80">
        <v>0.67100000000000004</v>
      </c>
      <c r="AJ106" s="10">
        <v>0.36041666666666661</v>
      </c>
      <c r="AK106" s="10">
        <v>1.5004166666666665</v>
      </c>
      <c r="AL106">
        <v>1665</v>
      </c>
      <c r="AP106">
        <v>78433</v>
      </c>
      <c r="AQ106" s="10">
        <f t="shared" si="8"/>
        <v>183587.9</v>
      </c>
      <c r="AX106" s="10">
        <v>2.4700000000000002</v>
      </c>
      <c r="AZ106" s="10">
        <v>200.255</v>
      </c>
      <c r="BA106" s="10">
        <v>8.9019999999999992</v>
      </c>
      <c r="BB106">
        <v>2.64</v>
      </c>
      <c r="BD106">
        <v>208</v>
      </c>
      <c r="BE106">
        <v>9.0709999999999997</v>
      </c>
      <c r="BF106" s="10">
        <v>2.91</v>
      </c>
      <c r="BH106" s="10">
        <v>151</v>
      </c>
      <c r="BI106" s="10">
        <v>12.192</v>
      </c>
      <c r="BJ106">
        <v>3.95</v>
      </c>
      <c r="BL106">
        <v>106</v>
      </c>
      <c r="BM106">
        <v>564</v>
      </c>
      <c r="BN106">
        <v>8.2390000000000008</v>
      </c>
      <c r="BO106" s="10">
        <v>11.57</v>
      </c>
      <c r="BP106">
        <v>61050</v>
      </c>
      <c r="CB106">
        <v>10</v>
      </c>
      <c r="CC106">
        <v>13565</v>
      </c>
      <c r="CD106">
        <v>2364</v>
      </c>
      <c r="CE106">
        <v>3406.5</v>
      </c>
      <c r="CF106">
        <v>2283.5</v>
      </c>
      <c r="CG106">
        <v>3452</v>
      </c>
      <c r="CH106">
        <v>6494</v>
      </c>
      <c r="CI106">
        <v>15636</v>
      </c>
      <c r="CK106">
        <v>0</v>
      </c>
      <c r="CL106">
        <v>30000</v>
      </c>
      <c r="CM106">
        <v>0</v>
      </c>
      <c r="CN106">
        <v>36000</v>
      </c>
      <c r="CO106">
        <v>72</v>
      </c>
      <c r="CP106">
        <v>27000</v>
      </c>
      <c r="CQ106">
        <v>0</v>
      </c>
      <c r="CR106">
        <v>65000</v>
      </c>
      <c r="CS106" s="5">
        <v>0</v>
      </c>
      <c r="CU106" s="5">
        <v>0</v>
      </c>
      <c r="CW106" s="5">
        <v>0</v>
      </c>
      <c r="CY106">
        <v>26.4</v>
      </c>
      <c r="CZ106">
        <v>6.6</v>
      </c>
      <c r="DA106">
        <v>50.4</v>
      </c>
      <c r="DB106">
        <v>8683</v>
      </c>
      <c r="DC106">
        <v>61.451999999999998</v>
      </c>
      <c r="DD106">
        <v>40.396999999999998</v>
      </c>
      <c r="DE106">
        <v>4.0000000000000001E-3</v>
      </c>
      <c r="DF106">
        <v>8920</v>
      </c>
      <c r="DH106">
        <v>215.7</v>
      </c>
      <c r="DI106">
        <v>0</v>
      </c>
      <c r="DJ106">
        <v>20.399999999999999</v>
      </c>
      <c r="DK106">
        <v>39</v>
      </c>
      <c r="DN106" s="23"/>
      <c r="DO106">
        <v>44</v>
      </c>
      <c r="DP106" t="s">
        <v>286</v>
      </c>
    </row>
    <row r="107" spans="1:128" x14ac:dyDescent="0.3">
      <c r="A107" s="2">
        <v>41646</v>
      </c>
      <c r="B107" s="21">
        <f t="shared" si="6"/>
        <v>98</v>
      </c>
      <c r="C107" s="36"/>
      <c r="D107" s="71">
        <v>2.42</v>
      </c>
      <c r="E107" s="74">
        <v>193216</v>
      </c>
      <c r="F107" s="10">
        <v>118100</v>
      </c>
      <c r="G107" s="10">
        <f t="shared" si="7"/>
        <v>75116</v>
      </c>
      <c r="N107">
        <v>4705</v>
      </c>
      <c r="U107" s="74">
        <v>4823.6000000000004</v>
      </c>
      <c r="AI107" s="80">
        <v>0.59599999999999997</v>
      </c>
      <c r="AJ107" s="10">
        <v>0.36291666666666678</v>
      </c>
      <c r="AK107" s="10">
        <v>1.3570833333333334</v>
      </c>
      <c r="AL107">
        <v>1841</v>
      </c>
      <c r="AP107">
        <v>86450.5</v>
      </c>
      <c r="AQ107" s="10">
        <f t="shared" si="8"/>
        <v>196198.6</v>
      </c>
      <c r="AX107" s="10">
        <v>2.379</v>
      </c>
      <c r="AZ107" s="10">
        <v>200.255</v>
      </c>
      <c r="BA107" s="10">
        <v>8.0589999999999993</v>
      </c>
      <c r="BB107">
        <v>2.78</v>
      </c>
      <c r="BD107">
        <v>200</v>
      </c>
      <c r="BE107">
        <v>9.4290000000000003</v>
      </c>
      <c r="BF107" s="10">
        <v>3.2719999999999998</v>
      </c>
      <c r="BH107" s="10">
        <v>151</v>
      </c>
      <c r="BI107" s="10">
        <v>11.048999999999999</v>
      </c>
      <c r="BJ107">
        <v>3.9950000000000001</v>
      </c>
      <c r="BM107">
        <v>583</v>
      </c>
      <c r="BN107">
        <v>7.8230000000000004</v>
      </c>
      <c r="BO107" s="10">
        <v>12.289</v>
      </c>
      <c r="BP107">
        <v>75116</v>
      </c>
      <c r="CB107">
        <v>11.932</v>
      </c>
      <c r="CC107">
        <v>15544</v>
      </c>
      <c r="CD107">
        <v>2523</v>
      </c>
      <c r="CE107">
        <v>3296.5</v>
      </c>
      <c r="CF107">
        <v>3408</v>
      </c>
      <c r="CG107">
        <v>3569</v>
      </c>
      <c r="CH107">
        <v>7190</v>
      </c>
      <c r="CI107">
        <v>17464</v>
      </c>
      <c r="CK107">
        <v>0</v>
      </c>
      <c r="CL107">
        <v>30000</v>
      </c>
      <c r="CM107">
        <v>0</v>
      </c>
      <c r="CN107">
        <v>36000</v>
      </c>
      <c r="CO107">
        <v>0</v>
      </c>
      <c r="CP107">
        <v>27000</v>
      </c>
      <c r="CQ107">
        <v>103</v>
      </c>
      <c r="CR107">
        <v>65000</v>
      </c>
      <c r="CS107" s="5">
        <v>0</v>
      </c>
      <c r="CU107" s="5">
        <v>0</v>
      </c>
      <c r="CW107" s="5">
        <v>0</v>
      </c>
      <c r="CY107">
        <v>19.2</v>
      </c>
      <c r="CZ107">
        <v>6.6</v>
      </c>
      <c r="DA107">
        <v>45.5</v>
      </c>
      <c r="DB107">
        <v>10899</v>
      </c>
      <c r="DC107">
        <v>61.627000000000002</v>
      </c>
      <c r="DD107">
        <v>39.954000000000001</v>
      </c>
      <c r="DE107">
        <v>7.0000000000000001E-3</v>
      </c>
      <c r="DF107">
        <v>9160</v>
      </c>
      <c r="DH107">
        <v>287.39999999999998</v>
      </c>
      <c r="DI107">
        <v>102760</v>
      </c>
      <c r="DJ107">
        <v>20.399999999999999</v>
      </c>
      <c r="DK107">
        <v>39</v>
      </c>
      <c r="DN107" s="23"/>
      <c r="DO107">
        <v>29</v>
      </c>
      <c r="DP107" t="s">
        <v>286</v>
      </c>
    </row>
    <row r="108" spans="1:128" x14ac:dyDescent="0.3">
      <c r="A108" s="2">
        <v>41647</v>
      </c>
      <c r="B108" s="21">
        <f t="shared" si="6"/>
        <v>99</v>
      </c>
      <c r="C108" s="36"/>
      <c r="D108" s="71">
        <v>4.28</v>
      </c>
      <c r="E108" s="74">
        <v>170010</v>
      </c>
      <c r="F108" s="10">
        <v>92476</v>
      </c>
      <c r="G108" s="10">
        <f t="shared" si="7"/>
        <v>77534</v>
      </c>
      <c r="H108" s="80">
        <v>414</v>
      </c>
      <c r="J108" s="80">
        <v>42.7</v>
      </c>
      <c r="K108" s="80">
        <v>6</v>
      </c>
      <c r="M108" s="10">
        <v>314899</v>
      </c>
      <c r="P108" s="80">
        <v>210</v>
      </c>
      <c r="R108" s="80">
        <v>20.9</v>
      </c>
      <c r="S108" s="80">
        <v>3.5</v>
      </c>
      <c r="U108" s="74">
        <v>5154.3999999999996</v>
      </c>
      <c r="AI108" s="80">
        <v>0.76300000000000001</v>
      </c>
      <c r="AJ108" s="10">
        <v>0.35499999999999998</v>
      </c>
      <c r="AK108" s="10">
        <v>1.5050000000000001</v>
      </c>
      <c r="AL108">
        <v>2364</v>
      </c>
      <c r="AN108" s="80">
        <v>9165</v>
      </c>
      <c r="AP108">
        <v>83341.5</v>
      </c>
      <c r="AQ108" s="10">
        <f t="shared" si="8"/>
        <v>172800.4</v>
      </c>
      <c r="AR108" s="80">
        <v>120</v>
      </c>
      <c r="AT108" s="80">
        <v>20.399999999999999</v>
      </c>
      <c r="AU108" s="80">
        <v>2.6</v>
      </c>
      <c r="AV108" s="80">
        <v>51</v>
      </c>
      <c r="AX108" s="10">
        <v>2.7269999999999999</v>
      </c>
      <c r="AZ108" s="10">
        <v>181.227</v>
      </c>
      <c r="BA108" s="10">
        <v>7.492</v>
      </c>
      <c r="BB108">
        <v>2.7679999999999998</v>
      </c>
      <c r="BD108">
        <v>181</v>
      </c>
      <c r="BE108">
        <v>9.7970000000000006</v>
      </c>
      <c r="BF108" s="10">
        <v>3.3740000000000001</v>
      </c>
      <c r="BH108" s="10">
        <v>150.227</v>
      </c>
      <c r="BI108" s="10">
        <v>11.173</v>
      </c>
      <c r="BJ108">
        <v>4.1740000000000004</v>
      </c>
      <c r="BM108">
        <v>603</v>
      </c>
      <c r="BN108">
        <v>7.79</v>
      </c>
      <c r="BO108" s="10">
        <v>12.574999999999999</v>
      </c>
      <c r="BP108">
        <v>77534</v>
      </c>
      <c r="BR108">
        <v>39</v>
      </c>
      <c r="BS108">
        <v>4</v>
      </c>
      <c r="BT108">
        <v>2.6</v>
      </c>
      <c r="BU108">
        <v>0.91</v>
      </c>
      <c r="BV108">
        <v>0.34</v>
      </c>
      <c r="BW108">
        <v>9.3000000000000007</v>
      </c>
      <c r="BX108">
        <v>1.2</v>
      </c>
      <c r="BY108">
        <v>1.4</v>
      </c>
      <c r="BZ108">
        <v>6.4</v>
      </c>
      <c r="CA108">
        <v>0.56000000000000005</v>
      </c>
      <c r="CB108">
        <v>10.068</v>
      </c>
      <c r="CC108">
        <v>12660</v>
      </c>
      <c r="CD108">
        <v>2463</v>
      </c>
      <c r="CE108">
        <v>3060</v>
      </c>
      <c r="CF108">
        <v>3194</v>
      </c>
      <c r="CG108">
        <v>3135</v>
      </c>
      <c r="CH108">
        <v>6196</v>
      </c>
      <c r="CI108">
        <v>15585</v>
      </c>
      <c r="CK108">
        <v>0</v>
      </c>
      <c r="CL108">
        <v>30000</v>
      </c>
      <c r="CM108">
        <v>0</v>
      </c>
      <c r="CN108">
        <v>36000</v>
      </c>
      <c r="CO108">
        <v>108</v>
      </c>
      <c r="CP108">
        <v>27000</v>
      </c>
      <c r="CQ108">
        <v>70</v>
      </c>
      <c r="CR108">
        <v>65000</v>
      </c>
      <c r="CS108" s="5">
        <v>0</v>
      </c>
      <c r="CU108" s="5">
        <v>0</v>
      </c>
      <c r="CW108" s="5">
        <v>0</v>
      </c>
      <c r="CY108">
        <v>16.8</v>
      </c>
      <c r="CZ108">
        <v>23.1</v>
      </c>
      <c r="DA108">
        <v>45.5</v>
      </c>
      <c r="DB108">
        <v>11665</v>
      </c>
      <c r="DC108">
        <v>61.944000000000003</v>
      </c>
      <c r="DD108">
        <v>40.122</v>
      </c>
      <c r="DE108">
        <v>6.0000000000000001E-3</v>
      </c>
      <c r="DF108">
        <v>9210</v>
      </c>
      <c r="DH108">
        <v>265.3</v>
      </c>
      <c r="DI108">
        <v>98560</v>
      </c>
      <c r="DJ108">
        <v>20.399999999999999</v>
      </c>
      <c r="DK108">
        <v>35</v>
      </c>
      <c r="DN108" s="23"/>
      <c r="DO108">
        <v>76</v>
      </c>
      <c r="DP108" t="s">
        <v>286</v>
      </c>
      <c r="DQ108" s="80">
        <v>450</v>
      </c>
      <c r="DR108" s="80">
        <v>475.5</v>
      </c>
      <c r="DS108" s="80">
        <v>480</v>
      </c>
      <c r="DT108" s="80">
        <v>8.6</v>
      </c>
      <c r="DU108" s="80">
        <v>0.27</v>
      </c>
      <c r="DV108" s="80">
        <v>44</v>
      </c>
      <c r="DW108" s="80">
        <v>52</v>
      </c>
      <c r="DX108" s="80">
        <v>66</v>
      </c>
    </row>
    <row r="109" spans="1:128" x14ac:dyDescent="0.3">
      <c r="A109" s="2">
        <v>41648</v>
      </c>
      <c r="B109" s="21">
        <f t="shared" si="6"/>
        <v>100</v>
      </c>
      <c r="C109" s="36"/>
      <c r="D109" s="71">
        <v>1.17</v>
      </c>
      <c r="E109" s="74">
        <v>185324</v>
      </c>
      <c r="F109" s="10">
        <v>108924</v>
      </c>
      <c r="G109" s="10">
        <f t="shared" si="7"/>
        <v>76400</v>
      </c>
      <c r="U109" s="74">
        <v>5377.85</v>
      </c>
      <c r="AF109" s="80">
        <v>2530</v>
      </c>
      <c r="AG109" s="80">
        <v>19.600000000000001</v>
      </c>
      <c r="AH109" s="80">
        <v>79</v>
      </c>
      <c r="AI109" s="80">
        <v>1.37</v>
      </c>
      <c r="AJ109" s="10">
        <v>0.38791666666666674</v>
      </c>
      <c r="AK109" s="10">
        <v>1.6033333333333335</v>
      </c>
      <c r="AL109">
        <v>2741</v>
      </c>
      <c r="AP109">
        <v>81308</v>
      </c>
      <c r="AQ109" s="10">
        <f t="shared" si="8"/>
        <v>187960.85</v>
      </c>
      <c r="AX109" s="10">
        <v>2.2000000000000002</v>
      </c>
      <c r="AZ109" s="10">
        <v>169.03899999999999</v>
      </c>
      <c r="BA109" s="10">
        <v>8.1300000000000008</v>
      </c>
      <c r="BB109">
        <v>2.56</v>
      </c>
      <c r="BD109">
        <v>160</v>
      </c>
      <c r="BE109">
        <v>9.91</v>
      </c>
      <c r="BF109" s="10">
        <v>2.68</v>
      </c>
      <c r="BH109" s="10">
        <v>171.19300000000001</v>
      </c>
      <c r="BI109" s="10">
        <v>11.25</v>
      </c>
      <c r="BJ109">
        <v>3.8</v>
      </c>
      <c r="BL109">
        <v>111</v>
      </c>
      <c r="BM109">
        <v>624</v>
      </c>
      <c r="BN109">
        <v>7.9050000000000002</v>
      </c>
      <c r="BO109" s="10">
        <v>12.468</v>
      </c>
      <c r="BP109">
        <v>76400</v>
      </c>
      <c r="CB109">
        <v>10.887</v>
      </c>
      <c r="CC109">
        <v>14051</v>
      </c>
      <c r="CD109">
        <v>2426</v>
      </c>
      <c r="CE109">
        <v>3268</v>
      </c>
      <c r="CF109">
        <v>3154</v>
      </c>
      <c r="CG109">
        <v>3190</v>
      </c>
      <c r="CH109">
        <v>6490</v>
      </c>
      <c r="CI109">
        <v>16102</v>
      </c>
      <c r="CK109">
        <v>0</v>
      </c>
      <c r="CL109">
        <v>30000</v>
      </c>
      <c r="CM109">
        <v>0</v>
      </c>
      <c r="CN109">
        <v>36000</v>
      </c>
      <c r="CO109">
        <v>36</v>
      </c>
      <c r="CP109">
        <v>27000</v>
      </c>
      <c r="CQ109">
        <v>137</v>
      </c>
      <c r="CR109">
        <v>65000</v>
      </c>
      <c r="CS109" s="5">
        <v>0</v>
      </c>
      <c r="CU109" s="5">
        <v>0</v>
      </c>
      <c r="CW109" s="5">
        <v>0</v>
      </c>
      <c r="CY109">
        <v>14.4</v>
      </c>
      <c r="CZ109">
        <v>23.1</v>
      </c>
      <c r="DA109">
        <v>42</v>
      </c>
      <c r="DB109">
        <v>11901</v>
      </c>
      <c r="DC109">
        <v>61.329000000000001</v>
      </c>
      <c r="DD109">
        <v>40.774000000000001</v>
      </c>
      <c r="DE109">
        <v>6.0000000000000001E-3</v>
      </c>
      <c r="DF109">
        <v>9320</v>
      </c>
      <c r="DH109">
        <v>250.8</v>
      </c>
      <c r="DI109">
        <v>142360</v>
      </c>
      <c r="DJ109">
        <v>20.399999999999999</v>
      </c>
      <c r="DK109">
        <v>35</v>
      </c>
      <c r="DN109" s="23"/>
      <c r="DO109">
        <v>11</v>
      </c>
      <c r="DP109" t="s">
        <v>286</v>
      </c>
    </row>
    <row r="110" spans="1:128" x14ac:dyDescent="0.3">
      <c r="A110" s="2">
        <v>41649</v>
      </c>
      <c r="B110" s="21">
        <f t="shared" si="6"/>
        <v>101</v>
      </c>
      <c r="C110" s="36"/>
      <c r="D110" s="71">
        <v>4.59</v>
      </c>
      <c r="E110" s="74">
        <v>176366</v>
      </c>
      <c r="F110" s="10">
        <v>83466</v>
      </c>
      <c r="G110" s="10">
        <f t="shared" si="7"/>
        <v>92900</v>
      </c>
      <c r="U110" s="74">
        <v>4651.6499999999996</v>
      </c>
      <c r="AI110" s="80">
        <v>1.3620000000000001</v>
      </c>
      <c r="AJ110" s="10">
        <v>0.45874999999999999</v>
      </c>
      <c r="AK110" s="10">
        <v>1.5900000000000005</v>
      </c>
      <c r="AL110">
        <v>2076</v>
      </c>
      <c r="AP110">
        <v>79034</v>
      </c>
      <c r="AQ110" s="10">
        <f t="shared" si="8"/>
        <v>178941.65</v>
      </c>
      <c r="AX110" s="10">
        <v>2.5209999999999999</v>
      </c>
      <c r="AZ110" s="10">
        <v>144</v>
      </c>
      <c r="BA110" s="10">
        <v>7.8410000000000002</v>
      </c>
      <c r="BB110">
        <v>2.6869999999999998</v>
      </c>
      <c r="BD110">
        <v>141</v>
      </c>
      <c r="BE110">
        <v>9.6340000000000003</v>
      </c>
      <c r="BF110" s="10">
        <v>3.01</v>
      </c>
      <c r="BH110" s="10">
        <v>161.215</v>
      </c>
      <c r="BI110" s="10">
        <v>10.597</v>
      </c>
      <c r="BJ110">
        <v>3.9590000000000001</v>
      </c>
      <c r="BM110">
        <v>643</v>
      </c>
      <c r="BN110">
        <v>7.5890000000000004</v>
      </c>
      <c r="BO110" s="10">
        <v>12.493</v>
      </c>
      <c r="BP110">
        <v>92900</v>
      </c>
      <c r="CB110">
        <v>12.113</v>
      </c>
      <c r="CC110">
        <v>18868</v>
      </c>
      <c r="CD110">
        <v>2370</v>
      </c>
      <c r="CE110">
        <v>3154</v>
      </c>
      <c r="CF110">
        <v>3180.5</v>
      </c>
      <c r="CG110">
        <v>3239</v>
      </c>
      <c r="CH110">
        <v>6286</v>
      </c>
      <c r="CI110">
        <v>15860</v>
      </c>
      <c r="CK110">
        <v>0</v>
      </c>
      <c r="CL110">
        <v>30000</v>
      </c>
      <c r="CM110">
        <v>0</v>
      </c>
      <c r="CN110">
        <v>36000</v>
      </c>
      <c r="CO110">
        <v>94</v>
      </c>
      <c r="CP110">
        <v>27000</v>
      </c>
      <c r="CQ110">
        <v>34</v>
      </c>
      <c r="CR110">
        <v>65000</v>
      </c>
      <c r="CS110" s="5">
        <v>0</v>
      </c>
      <c r="CU110" s="5">
        <v>0</v>
      </c>
      <c r="CW110" s="5">
        <v>0</v>
      </c>
      <c r="CY110">
        <v>26.6</v>
      </c>
      <c r="CZ110">
        <v>15.6</v>
      </c>
      <c r="DA110">
        <v>39.6</v>
      </c>
      <c r="DB110">
        <v>11485</v>
      </c>
      <c r="DC110">
        <v>61.076999999999998</v>
      </c>
      <c r="DD110">
        <v>40.64</v>
      </c>
      <c r="DE110">
        <v>5.0000000000000001E-3</v>
      </c>
      <c r="DF110">
        <v>6723.3130000000001</v>
      </c>
      <c r="DH110">
        <v>214.8</v>
      </c>
      <c r="DI110">
        <v>129300</v>
      </c>
      <c r="DJ110">
        <v>20.399999999999999</v>
      </c>
      <c r="DK110">
        <v>35</v>
      </c>
      <c r="DN110" s="23"/>
      <c r="DO110">
        <v>12</v>
      </c>
      <c r="DP110" t="s">
        <v>286</v>
      </c>
    </row>
    <row r="111" spans="1:128" x14ac:dyDescent="0.3">
      <c r="A111" s="2">
        <v>41650</v>
      </c>
      <c r="B111" s="21">
        <f t="shared" si="6"/>
        <v>102</v>
      </c>
      <c r="C111" s="36"/>
      <c r="D111" s="71">
        <v>0</v>
      </c>
      <c r="E111" s="74">
        <v>147510</v>
      </c>
      <c r="F111" s="10">
        <v>87934</v>
      </c>
      <c r="G111" s="10">
        <f t="shared" si="7"/>
        <v>59576</v>
      </c>
      <c r="U111" s="74">
        <v>5123.8500000000004</v>
      </c>
      <c r="AI111" s="80">
        <v>2.0150000000000001</v>
      </c>
      <c r="AJ111" s="10">
        <v>0.30458333333333337</v>
      </c>
      <c r="AK111" s="10">
        <v>1.4787499999999998</v>
      </c>
      <c r="AL111">
        <v>2284</v>
      </c>
      <c r="AP111">
        <v>74383</v>
      </c>
      <c r="AQ111" s="10">
        <f t="shared" si="8"/>
        <v>150349.85</v>
      </c>
      <c r="AX111" s="10">
        <v>2.6070000000000002</v>
      </c>
      <c r="AZ111" s="10">
        <v>121</v>
      </c>
      <c r="BA111" s="10">
        <v>7.3360000000000003</v>
      </c>
      <c r="BB111">
        <v>2.7440000000000002</v>
      </c>
      <c r="BD111">
        <v>131.16399999999999</v>
      </c>
      <c r="BE111">
        <v>9.2929999999999993</v>
      </c>
      <c r="BF111" s="10">
        <v>3.0950000000000002</v>
      </c>
      <c r="BH111" s="10">
        <v>150.25200000000001</v>
      </c>
      <c r="BI111" s="10">
        <v>9.8539999999999992</v>
      </c>
      <c r="BJ111">
        <v>4.0330000000000004</v>
      </c>
      <c r="BM111">
        <v>653</v>
      </c>
      <c r="BN111">
        <v>6.8250000000000002</v>
      </c>
      <c r="BO111" s="10">
        <v>12.297000000000001</v>
      </c>
      <c r="BP111">
        <v>59576</v>
      </c>
      <c r="CB111">
        <v>9</v>
      </c>
      <c r="CC111">
        <v>16707</v>
      </c>
      <c r="CD111">
        <v>2266</v>
      </c>
      <c r="CE111">
        <v>2971</v>
      </c>
      <c r="CF111">
        <v>3109.5</v>
      </c>
      <c r="CG111">
        <v>3043</v>
      </c>
      <c r="CH111">
        <v>5641</v>
      </c>
      <c r="CI111">
        <v>14765</v>
      </c>
      <c r="CK111">
        <v>0</v>
      </c>
      <c r="CL111">
        <v>30000</v>
      </c>
      <c r="CM111">
        <v>0</v>
      </c>
      <c r="CN111">
        <v>36000</v>
      </c>
      <c r="CO111">
        <v>13</v>
      </c>
      <c r="CP111">
        <v>27000</v>
      </c>
      <c r="CQ111">
        <v>0</v>
      </c>
      <c r="CR111">
        <v>65000</v>
      </c>
      <c r="CS111" s="5">
        <v>0</v>
      </c>
      <c r="CU111" s="5">
        <v>0</v>
      </c>
      <c r="CW111" s="5">
        <v>0</v>
      </c>
      <c r="CY111">
        <v>26.6</v>
      </c>
      <c r="CZ111">
        <v>23.4</v>
      </c>
      <c r="DA111">
        <v>39.6</v>
      </c>
      <c r="DB111">
        <v>12261</v>
      </c>
      <c r="DC111">
        <v>62.024000000000001</v>
      </c>
      <c r="DD111">
        <v>40.267000000000003</v>
      </c>
      <c r="DE111">
        <v>5.0000000000000001E-3</v>
      </c>
      <c r="DF111">
        <v>6841.6880000000001</v>
      </c>
      <c r="DH111">
        <v>286.8</v>
      </c>
      <c r="DI111">
        <v>101880</v>
      </c>
      <c r="DJ111">
        <v>20.399999999999999</v>
      </c>
      <c r="DK111">
        <v>35</v>
      </c>
      <c r="DN111" s="23"/>
      <c r="DO111">
        <v>161</v>
      </c>
      <c r="DP111" t="s">
        <v>286</v>
      </c>
    </row>
    <row r="112" spans="1:128" x14ac:dyDescent="0.3">
      <c r="A112" s="2">
        <v>41651</v>
      </c>
      <c r="B112" s="21">
        <f t="shared" si="6"/>
        <v>103</v>
      </c>
      <c r="C112" s="36"/>
      <c r="D112" s="71">
        <v>0.37</v>
      </c>
      <c r="E112" s="74">
        <v>173574</v>
      </c>
      <c r="F112" s="10">
        <v>113800</v>
      </c>
      <c r="G112" s="10">
        <f t="shared" si="7"/>
        <v>59774</v>
      </c>
      <c r="U112" s="74">
        <v>4660.6499999999996</v>
      </c>
      <c r="AI112" s="80">
        <v>3.746</v>
      </c>
      <c r="AJ112" s="10">
        <v>0.37125000000000002</v>
      </c>
      <c r="AK112" s="10">
        <v>1.6737500000000001</v>
      </c>
      <c r="AL112">
        <v>1969</v>
      </c>
      <c r="AP112">
        <v>72017</v>
      </c>
      <c r="AQ112" s="10">
        <f t="shared" si="8"/>
        <v>176265.65</v>
      </c>
      <c r="AX112" s="10">
        <v>2.4380000000000002</v>
      </c>
      <c r="AZ112" s="10">
        <v>121</v>
      </c>
      <c r="BA112" s="10">
        <v>7.5609999999999999</v>
      </c>
      <c r="BB112">
        <v>2.5950000000000002</v>
      </c>
      <c r="BD112">
        <v>131.19900000000001</v>
      </c>
      <c r="BE112">
        <v>9.4139999999999997</v>
      </c>
      <c r="BF112" s="10">
        <v>2.738</v>
      </c>
      <c r="BH112" s="10">
        <v>155.113</v>
      </c>
      <c r="BI112" s="10">
        <v>10.015000000000001</v>
      </c>
      <c r="BJ112">
        <v>3.7429999999999999</v>
      </c>
      <c r="BM112">
        <v>653</v>
      </c>
      <c r="BN112">
        <v>7.0149999999999997</v>
      </c>
      <c r="BO112" s="10">
        <v>12.362</v>
      </c>
      <c r="BP112">
        <v>59774</v>
      </c>
      <c r="CB112">
        <v>10</v>
      </c>
      <c r="CC112">
        <v>13521</v>
      </c>
      <c r="CD112">
        <v>2243</v>
      </c>
      <c r="CE112">
        <v>3045</v>
      </c>
      <c r="CF112">
        <v>2987</v>
      </c>
      <c r="CG112">
        <v>3068</v>
      </c>
      <c r="CH112">
        <v>6055</v>
      </c>
      <c r="CI112">
        <v>15155</v>
      </c>
      <c r="CK112">
        <v>0</v>
      </c>
      <c r="CL112">
        <v>30000</v>
      </c>
      <c r="CM112">
        <v>0</v>
      </c>
      <c r="CN112">
        <v>36000</v>
      </c>
      <c r="CO112">
        <v>0</v>
      </c>
      <c r="CP112">
        <v>27000</v>
      </c>
      <c r="CQ112">
        <v>0</v>
      </c>
      <c r="CR112">
        <v>65000</v>
      </c>
      <c r="CS112" s="5">
        <v>0</v>
      </c>
      <c r="CU112" s="5">
        <v>0</v>
      </c>
      <c r="CW112" s="5">
        <v>0</v>
      </c>
      <c r="CY112">
        <v>22.8</v>
      </c>
      <c r="CZ112">
        <v>19.5</v>
      </c>
      <c r="DA112">
        <v>36</v>
      </c>
      <c r="DB112">
        <v>12049</v>
      </c>
      <c r="DC112">
        <v>61.97</v>
      </c>
      <c r="DD112">
        <v>40.664999999999999</v>
      </c>
      <c r="DE112">
        <v>4.0000000000000001E-3</v>
      </c>
      <c r="DF112">
        <v>8880</v>
      </c>
      <c r="DH112">
        <v>222.8</v>
      </c>
      <c r="DI112">
        <v>69560</v>
      </c>
      <c r="DJ112">
        <v>20.399999999999999</v>
      </c>
      <c r="DK112">
        <v>35</v>
      </c>
      <c r="DN112" s="23"/>
      <c r="DO112">
        <v>182</v>
      </c>
      <c r="DP112" t="s">
        <v>286</v>
      </c>
    </row>
    <row r="113" spans="1:128" x14ac:dyDescent="0.3">
      <c r="A113" s="2">
        <v>41652</v>
      </c>
      <c r="B113" s="21">
        <f t="shared" si="6"/>
        <v>104</v>
      </c>
      <c r="C113" s="36"/>
      <c r="D113" s="71">
        <v>0</v>
      </c>
      <c r="E113" s="74">
        <v>142126</v>
      </c>
      <c r="F113" s="10">
        <v>85400</v>
      </c>
      <c r="G113" s="10">
        <f t="shared" si="7"/>
        <v>56726</v>
      </c>
      <c r="N113">
        <v>2919</v>
      </c>
      <c r="U113" s="74">
        <v>4570.5</v>
      </c>
      <c r="AF113" s="80">
        <v>2916</v>
      </c>
      <c r="AG113" s="80">
        <v>19.2</v>
      </c>
      <c r="AH113" s="80">
        <v>82</v>
      </c>
      <c r="AI113" s="80">
        <v>2.3540000000000001</v>
      </c>
      <c r="AJ113" s="10">
        <v>0.32916666666666666</v>
      </c>
      <c r="AK113" s="10">
        <v>1.8295833333333331</v>
      </c>
      <c r="AL113">
        <v>1918</v>
      </c>
      <c r="AP113">
        <v>79533</v>
      </c>
      <c r="AQ113" s="10">
        <f t="shared" si="8"/>
        <v>144778.5</v>
      </c>
      <c r="AX113" s="10">
        <v>2.77</v>
      </c>
      <c r="AZ113" s="10">
        <v>121</v>
      </c>
      <c r="BA113" s="10">
        <v>6.976</v>
      </c>
      <c r="BB113">
        <v>2.77</v>
      </c>
      <c r="BD113">
        <v>131.21899999999999</v>
      </c>
      <c r="BE113">
        <v>8.8219999999999992</v>
      </c>
      <c r="BF113" s="10">
        <v>3.21</v>
      </c>
      <c r="BH113" s="10">
        <v>157</v>
      </c>
      <c r="BI113" s="10">
        <v>9.1999999999999993</v>
      </c>
      <c r="BJ113">
        <v>4.01</v>
      </c>
      <c r="BL113">
        <v>108</v>
      </c>
      <c r="BM113">
        <v>653</v>
      </c>
      <c r="BN113">
        <v>6.117</v>
      </c>
      <c r="BO113" s="10">
        <v>12.31</v>
      </c>
      <c r="BP113">
        <v>56726</v>
      </c>
      <c r="CB113">
        <v>9</v>
      </c>
      <c r="CC113">
        <v>11152</v>
      </c>
      <c r="CD113">
        <v>2383</v>
      </c>
      <c r="CE113">
        <v>2940</v>
      </c>
      <c r="CF113">
        <v>3014</v>
      </c>
      <c r="CG113">
        <v>2924</v>
      </c>
      <c r="CH113">
        <v>5538</v>
      </c>
      <c r="CI113">
        <v>14416</v>
      </c>
      <c r="CK113">
        <v>0</v>
      </c>
      <c r="CL113">
        <v>30000</v>
      </c>
      <c r="CM113">
        <v>0</v>
      </c>
      <c r="CN113">
        <v>36000</v>
      </c>
      <c r="CO113">
        <v>0</v>
      </c>
      <c r="CP113">
        <v>27000</v>
      </c>
      <c r="CQ113">
        <v>35</v>
      </c>
      <c r="CR113">
        <v>65000</v>
      </c>
      <c r="CS113" s="5">
        <v>0</v>
      </c>
      <c r="CU113" s="5">
        <v>0</v>
      </c>
      <c r="CW113" s="5">
        <v>0</v>
      </c>
      <c r="CY113">
        <v>26.6</v>
      </c>
      <c r="CZ113">
        <v>15.6</v>
      </c>
      <c r="DA113">
        <v>32.4</v>
      </c>
      <c r="DB113">
        <v>10684</v>
      </c>
      <c r="DC113">
        <v>62.215000000000003</v>
      </c>
      <c r="DD113">
        <v>40.156999999999996</v>
      </c>
      <c r="DE113">
        <v>5.0000000000000001E-3</v>
      </c>
      <c r="DF113">
        <v>8815</v>
      </c>
      <c r="DH113">
        <v>209.6</v>
      </c>
      <c r="DI113">
        <v>0</v>
      </c>
      <c r="DJ113">
        <v>20.399999999999999</v>
      </c>
      <c r="DK113">
        <v>35</v>
      </c>
      <c r="DN113" s="23"/>
      <c r="DO113">
        <v>61</v>
      </c>
      <c r="DP113" t="s">
        <v>286</v>
      </c>
    </row>
    <row r="114" spans="1:128" x14ac:dyDescent="0.3">
      <c r="A114" s="2">
        <v>41653</v>
      </c>
      <c r="B114" s="21">
        <f t="shared" si="6"/>
        <v>105</v>
      </c>
      <c r="C114" s="36"/>
      <c r="D114" s="71">
        <v>0.08</v>
      </c>
      <c r="E114" s="74">
        <v>115190</v>
      </c>
      <c r="F114" s="10">
        <v>59266</v>
      </c>
      <c r="G114" s="10">
        <f t="shared" si="7"/>
        <v>55924</v>
      </c>
      <c r="H114" s="80">
        <v>456</v>
      </c>
      <c r="J114" s="80">
        <v>56</v>
      </c>
      <c r="K114" s="80">
        <v>7.57</v>
      </c>
      <c r="M114" s="10">
        <v>265565</v>
      </c>
      <c r="P114" s="80">
        <v>240</v>
      </c>
      <c r="R114" s="80">
        <v>28.7</v>
      </c>
      <c r="S114" s="80">
        <v>4.5</v>
      </c>
      <c r="U114" s="74">
        <v>4213.9250000000002</v>
      </c>
      <c r="AI114" s="80">
        <v>0.39200000000000002</v>
      </c>
      <c r="AJ114" s="10">
        <v>0.36208333333333348</v>
      </c>
      <c r="AK114" s="10">
        <v>1.5374999999999999</v>
      </c>
      <c r="AL114">
        <v>1919</v>
      </c>
      <c r="AP114">
        <v>82600</v>
      </c>
      <c r="AQ114" s="10">
        <f t="shared" si="8"/>
        <v>117484.925</v>
      </c>
      <c r="AR114" s="80">
        <v>120</v>
      </c>
      <c r="AT114" s="80">
        <v>25.6</v>
      </c>
      <c r="AU114" s="80">
        <v>2.8</v>
      </c>
      <c r="AV114" s="80">
        <v>49</v>
      </c>
      <c r="AX114" s="10">
        <v>2.641</v>
      </c>
      <c r="AY114" s="10">
        <v>22</v>
      </c>
      <c r="AZ114" s="10">
        <v>80</v>
      </c>
      <c r="BA114" s="10">
        <v>6.0910000000000002</v>
      </c>
      <c r="BB114">
        <v>2.7770000000000001</v>
      </c>
      <c r="BC114">
        <v>21</v>
      </c>
      <c r="BD114">
        <v>90.251999999999995</v>
      </c>
      <c r="BE114">
        <v>8.2110000000000003</v>
      </c>
      <c r="BF114" s="10">
        <v>2.9289999999999998</v>
      </c>
      <c r="BG114" s="10">
        <v>21</v>
      </c>
      <c r="BH114" s="10">
        <v>121</v>
      </c>
      <c r="BI114" s="10">
        <v>8.5220000000000002</v>
      </c>
      <c r="BJ114">
        <v>3.8260000000000001</v>
      </c>
      <c r="BK114">
        <v>22</v>
      </c>
      <c r="BM114">
        <v>684</v>
      </c>
      <c r="BN114">
        <v>5.383</v>
      </c>
      <c r="BO114" s="10">
        <v>12.343</v>
      </c>
      <c r="BP114">
        <v>55924</v>
      </c>
      <c r="BR114">
        <v>36</v>
      </c>
      <c r="BS114">
        <v>3</v>
      </c>
      <c r="BT114">
        <v>2.9</v>
      </c>
      <c r="BU114">
        <v>0.91</v>
      </c>
      <c r="BV114">
        <v>0.52</v>
      </c>
      <c r="BW114">
        <v>11</v>
      </c>
      <c r="BX114">
        <v>1.5</v>
      </c>
      <c r="BY114">
        <v>1.6</v>
      </c>
      <c r="BZ114">
        <v>4.4000000000000004</v>
      </c>
      <c r="CA114">
        <v>0.55000000000000004</v>
      </c>
      <c r="CB114">
        <v>9</v>
      </c>
      <c r="CC114">
        <v>7106</v>
      </c>
      <c r="CD114">
        <v>2419</v>
      </c>
      <c r="CE114">
        <v>2407.5</v>
      </c>
      <c r="CF114">
        <v>2637</v>
      </c>
      <c r="CG114">
        <v>2482</v>
      </c>
      <c r="CH114">
        <v>4676</v>
      </c>
      <c r="CI114">
        <v>12203</v>
      </c>
      <c r="CK114">
        <v>0</v>
      </c>
      <c r="CL114">
        <v>30000</v>
      </c>
      <c r="CM114">
        <v>0</v>
      </c>
      <c r="CN114">
        <v>36000</v>
      </c>
      <c r="CO114">
        <v>0</v>
      </c>
      <c r="CP114">
        <v>27000</v>
      </c>
      <c r="CQ114">
        <v>104</v>
      </c>
      <c r="CR114">
        <v>65000</v>
      </c>
      <c r="CS114" s="5">
        <v>0</v>
      </c>
      <c r="CU114" s="5">
        <v>0</v>
      </c>
      <c r="CW114" s="5">
        <v>0</v>
      </c>
      <c r="CY114">
        <v>25.9</v>
      </c>
      <c r="CZ114">
        <v>11.4</v>
      </c>
      <c r="DA114">
        <v>28.8</v>
      </c>
      <c r="DB114">
        <v>9550</v>
      </c>
      <c r="DC114">
        <v>61.792000000000002</v>
      </c>
      <c r="DD114">
        <v>39.951000000000001</v>
      </c>
      <c r="DE114">
        <v>5.0000000000000001E-3</v>
      </c>
      <c r="DF114">
        <v>9315</v>
      </c>
      <c r="DH114">
        <v>171.5</v>
      </c>
      <c r="DI114">
        <v>136240</v>
      </c>
      <c r="DJ114">
        <v>20.399999999999999</v>
      </c>
      <c r="DK114">
        <v>35</v>
      </c>
      <c r="DN114" s="23"/>
      <c r="DO114">
        <v>92</v>
      </c>
      <c r="DP114" t="s">
        <v>286</v>
      </c>
      <c r="DQ114" s="80">
        <v>580</v>
      </c>
      <c r="DR114" s="80">
        <v>276</v>
      </c>
      <c r="DS114" s="80">
        <v>230</v>
      </c>
      <c r="DT114" s="80">
        <v>4.8</v>
      </c>
      <c r="DU114" s="80">
        <v>4.7</v>
      </c>
      <c r="DV114" s="80">
        <v>36</v>
      </c>
      <c r="DW114" s="80">
        <v>53</v>
      </c>
      <c r="DX114" s="80">
        <v>350</v>
      </c>
    </row>
    <row r="115" spans="1:128" x14ac:dyDescent="0.3">
      <c r="A115" s="2">
        <v>41654</v>
      </c>
      <c r="B115" s="21">
        <f t="shared" si="6"/>
        <v>106</v>
      </c>
      <c r="C115" s="36"/>
      <c r="D115" s="71">
        <v>1.78</v>
      </c>
      <c r="E115" s="74">
        <v>137650</v>
      </c>
      <c r="F115" s="10">
        <v>68384</v>
      </c>
      <c r="G115" s="10">
        <f t="shared" si="7"/>
        <v>69266</v>
      </c>
      <c r="U115" s="74">
        <v>4514.4750000000004</v>
      </c>
      <c r="AI115" s="80">
        <v>0.27100000000000002</v>
      </c>
      <c r="AJ115" s="10">
        <v>0.32124999999999998</v>
      </c>
      <c r="AK115" s="10">
        <v>1.8904166666666666</v>
      </c>
      <c r="AL115">
        <v>2161</v>
      </c>
      <c r="AN115" s="80">
        <v>9638</v>
      </c>
      <c r="AP115">
        <v>83300</v>
      </c>
      <c r="AQ115" s="10">
        <f t="shared" si="8"/>
        <v>140003.47500000001</v>
      </c>
      <c r="AX115" s="10">
        <v>2.6360000000000001</v>
      </c>
      <c r="AZ115" s="10">
        <v>61</v>
      </c>
      <c r="BA115" s="10">
        <v>6.5460000000000003</v>
      </c>
      <c r="BB115">
        <v>2.7370000000000001</v>
      </c>
      <c r="BD115">
        <v>81.665999999999997</v>
      </c>
      <c r="BE115">
        <v>8.7240000000000002</v>
      </c>
      <c r="BF115" s="10">
        <v>2.895</v>
      </c>
      <c r="BH115" s="10">
        <v>110</v>
      </c>
      <c r="BI115" s="10">
        <v>8.6620000000000008</v>
      </c>
      <c r="BJ115">
        <v>3.6560000000000001</v>
      </c>
      <c r="BM115">
        <v>694</v>
      </c>
      <c r="BN115">
        <v>5.6120000000000001</v>
      </c>
      <c r="BO115" s="10">
        <v>12.256</v>
      </c>
      <c r="BP115">
        <v>69266</v>
      </c>
      <c r="CB115">
        <v>10</v>
      </c>
      <c r="CC115">
        <v>11631</v>
      </c>
      <c r="CD115">
        <v>2178</v>
      </c>
      <c r="CE115">
        <v>2706.5</v>
      </c>
      <c r="CF115">
        <v>2883</v>
      </c>
      <c r="CG115">
        <v>2913.5</v>
      </c>
      <c r="CH115">
        <v>5382</v>
      </c>
      <c r="CI115">
        <v>13885</v>
      </c>
      <c r="CK115">
        <v>0</v>
      </c>
      <c r="CL115">
        <v>30000</v>
      </c>
      <c r="CM115">
        <v>0</v>
      </c>
      <c r="CN115">
        <v>36000</v>
      </c>
      <c r="CO115">
        <v>0</v>
      </c>
      <c r="CP115">
        <v>27000</v>
      </c>
      <c r="CQ115">
        <v>35</v>
      </c>
      <c r="CR115">
        <v>65000</v>
      </c>
      <c r="CS115" s="5">
        <v>0</v>
      </c>
      <c r="CU115" s="5">
        <v>0</v>
      </c>
      <c r="CW115" s="5">
        <v>0</v>
      </c>
      <c r="CY115">
        <v>25.9</v>
      </c>
      <c r="CZ115">
        <v>15.2</v>
      </c>
      <c r="DA115">
        <v>32.4</v>
      </c>
      <c r="DB115">
        <v>9948</v>
      </c>
      <c r="DC115">
        <v>61.902999999999999</v>
      </c>
      <c r="DD115">
        <v>39.798000000000002</v>
      </c>
      <c r="DE115">
        <v>4.0000000000000001E-3</v>
      </c>
      <c r="DF115">
        <v>8565</v>
      </c>
      <c r="DH115">
        <v>175.6</v>
      </c>
      <c r="DI115">
        <v>103900</v>
      </c>
      <c r="DJ115">
        <v>20.8</v>
      </c>
      <c r="DK115">
        <v>36</v>
      </c>
      <c r="DN115" s="23"/>
      <c r="DO115">
        <v>71</v>
      </c>
      <c r="DP115" t="s">
        <v>286</v>
      </c>
    </row>
    <row r="116" spans="1:128" x14ac:dyDescent="0.3">
      <c r="A116" s="2">
        <v>41655</v>
      </c>
      <c r="B116" s="21">
        <f t="shared" si="6"/>
        <v>107</v>
      </c>
      <c r="C116" s="36"/>
      <c r="D116" s="71">
        <v>4.7699999999999996</v>
      </c>
      <c r="E116" s="74">
        <v>152684</v>
      </c>
      <c r="F116" s="10">
        <v>55050</v>
      </c>
      <c r="G116" s="10">
        <f t="shared" si="7"/>
        <v>97634</v>
      </c>
      <c r="U116" s="74">
        <v>4891.55</v>
      </c>
      <c r="AI116" s="80">
        <v>0.35</v>
      </c>
      <c r="AJ116" s="10">
        <v>0.48</v>
      </c>
      <c r="AK116" s="10">
        <v>1.5133333333333334</v>
      </c>
      <c r="AL116">
        <v>2579</v>
      </c>
      <c r="AP116">
        <v>82075</v>
      </c>
      <c r="AQ116" s="10">
        <f t="shared" si="8"/>
        <v>154996.54999999999</v>
      </c>
      <c r="AX116" s="10">
        <v>2.6469999999999998</v>
      </c>
      <c r="AZ116" s="10">
        <v>37</v>
      </c>
      <c r="BA116" s="10">
        <v>6.8230000000000004</v>
      </c>
      <c r="BB116">
        <v>2.7490000000000001</v>
      </c>
      <c r="BD116">
        <v>58.5</v>
      </c>
      <c r="BE116">
        <v>9.2590000000000003</v>
      </c>
      <c r="BF116" s="10">
        <v>2.8180000000000001</v>
      </c>
      <c r="BH116" s="10">
        <v>91</v>
      </c>
      <c r="BI116" s="10">
        <v>9.0429999999999993</v>
      </c>
      <c r="BJ116">
        <v>3.8940000000000001</v>
      </c>
      <c r="BM116">
        <v>647</v>
      </c>
      <c r="BN116">
        <v>6.1820000000000004</v>
      </c>
      <c r="BO116" s="10">
        <v>11.896000000000001</v>
      </c>
      <c r="BP116">
        <v>97634</v>
      </c>
      <c r="CB116">
        <v>13</v>
      </c>
      <c r="CC116">
        <v>15319</v>
      </c>
      <c r="CD116">
        <v>2454</v>
      </c>
      <c r="CE116">
        <v>3082</v>
      </c>
      <c r="CF116">
        <v>3251</v>
      </c>
      <c r="CG116">
        <v>3213.5</v>
      </c>
      <c r="CH116">
        <v>6150</v>
      </c>
      <c r="CI116">
        <v>15697</v>
      </c>
      <c r="CK116">
        <v>108</v>
      </c>
      <c r="CL116">
        <v>30000</v>
      </c>
      <c r="CM116">
        <v>0</v>
      </c>
      <c r="CN116">
        <v>36000</v>
      </c>
      <c r="CO116">
        <v>0</v>
      </c>
      <c r="CP116">
        <v>27000</v>
      </c>
      <c r="CQ116">
        <v>0</v>
      </c>
      <c r="CR116">
        <v>65000</v>
      </c>
      <c r="CS116" s="5">
        <v>0</v>
      </c>
      <c r="CU116" s="5">
        <v>0</v>
      </c>
      <c r="CW116" s="5">
        <v>0</v>
      </c>
      <c r="CY116">
        <v>25.9</v>
      </c>
      <c r="CZ116">
        <v>26.6</v>
      </c>
      <c r="DA116">
        <v>39.6</v>
      </c>
      <c r="DB116">
        <v>9639</v>
      </c>
      <c r="DC116">
        <v>61.499000000000002</v>
      </c>
      <c r="DD116">
        <v>39.826000000000001</v>
      </c>
      <c r="DE116">
        <v>4.0000000000000001E-3</v>
      </c>
      <c r="DF116">
        <v>7870</v>
      </c>
      <c r="DH116">
        <v>207.8</v>
      </c>
      <c r="DI116">
        <v>66160</v>
      </c>
      <c r="DJ116">
        <v>20.8</v>
      </c>
      <c r="DK116">
        <v>36</v>
      </c>
      <c r="DN116" s="23"/>
      <c r="DO116">
        <v>61</v>
      </c>
      <c r="DP116" t="s">
        <v>286</v>
      </c>
    </row>
    <row r="117" spans="1:128" x14ac:dyDescent="0.3">
      <c r="A117" s="2">
        <v>41656</v>
      </c>
      <c r="B117" s="21">
        <f t="shared" si="6"/>
        <v>108</v>
      </c>
      <c r="C117" s="36"/>
      <c r="D117" s="71">
        <v>2.99</v>
      </c>
      <c r="E117" s="74">
        <v>91200</v>
      </c>
      <c r="F117" s="10">
        <v>5700</v>
      </c>
      <c r="G117" s="10">
        <f t="shared" si="7"/>
        <v>85500</v>
      </c>
      <c r="U117" s="74">
        <v>4465.25</v>
      </c>
      <c r="AF117" s="80">
        <v>2970</v>
      </c>
      <c r="AG117" s="80">
        <v>21.1</v>
      </c>
      <c r="AH117" s="80">
        <v>81</v>
      </c>
      <c r="AI117" s="80">
        <v>2.5000000000000001E-2</v>
      </c>
      <c r="AJ117" s="10">
        <v>1.556666666666666</v>
      </c>
      <c r="AK117" s="10">
        <v>3.6220833333333329</v>
      </c>
      <c r="AL117">
        <v>2200</v>
      </c>
      <c r="AP117">
        <v>107958</v>
      </c>
      <c r="AQ117" s="10">
        <f t="shared" si="8"/>
        <v>93465.25</v>
      </c>
      <c r="AX117" s="10">
        <v>3.69</v>
      </c>
      <c r="AZ117" s="10">
        <v>29</v>
      </c>
      <c r="BA117" s="10">
        <v>6.7770000000000001</v>
      </c>
      <c r="BB117">
        <v>3.47</v>
      </c>
      <c r="BD117">
        <v>44</v>
      </c>
      <c r="BE117">
        <v>9.593</v>
      </c>
      <c r="BF117" s="10">
        <v>4.04</v>
      </c>
      <c r="BH117" s="10">
        <v>82</v>
      </c>
      <c r="BI117" s="10">
        <v>9.077</v>
      </c>
      <c r="BJ117">
        <v>4.05</v>
      </c>
      <c r="BL117">
        <v>111</v>
      </c>
      <c r="BM117">
        <v>499</v>
      </c>
      <c r="BN117">
        <v>3.9159999999999999</v>
      </c>
      <c r="BO117" s="10">
        <v>11.144</v>
      </c>
      <c r="BP117">
        <v>85500</v>
      </c>
      <c r="CB117">
        <v>12.916</v>
      </c>
      <c r="CC117">
        <v>9231</v>
      </c>
      <c r="CD117">
        <v>2069</v>
      </c>
      <c r="CE117">
        <v>2834</v>
      </c>
      <c r="CF117">
        <v>3024</v>
      </c>
      <c r="CG117">
        <v>2925</v>
      </c>
      <c r="CH117">
        <v>5398</v>
      </c>
      <c r="CI117">
        <v>14181</v>
      </c>
      <c r="CK117">
        <v>0</v>
      </c>
      <c r="CL117">
        <v>30000</v>
      </c>
      <c r="CM117">
        <v>181</v>
      </c>
      <c r="CN117">
        <v>36000</v>
      </c>
      <c r="CO117">
        <v>0</v>
      </c>
      <c r="CP117">
        <v>27000</v>
      </c>
      <c r="CQ117">
        <v>82</v>
      </c>
      <c r="CR117">
        <v>65000</v>
      </c>
      <c r="CS117" s="5">
        <v>0</v>
      </c>
      <c r="CU117" s="5">
        <v>0</v>
      </c>
      <c r="CW117" s="5">
        <v>0</v>
      </c>
      <c r="CY117">
        <v>24</v>
      </c>
      <c r="CZ117">
        <v>18</v>
      </c>
      <c r="DA117">
        <v>23.8</v>
      </c>
      <c r="DB117">
        <v>10419</v>
      </c>
      <c r="DC117">
        <v>60.764000000000003</v>
      </c>
      <c r="DD117">
        <v>40.064999999999998</v>
      </c>
      <c r="DE117">
        <v>4.0000000000000001E-3</v>
      </c>
      <c r="DF117">
        <v>9960</v>
      </c>
      <c r="DH117">
        <v>230.4</v>
      </c>
      <c r="DI117">
        <v>62240</v>
      </c>
      <c r="DJ117">
        <v>20.8</v>
      </c>
      <c r="DK117">
        <v>36</v>
      </c>
      <c r="DN117" s="23"/>
      <c r="DO117">
        <v>55</v>
      </c>
      <c r="DP117" t="s">
        <v>286</v>
      </c>
    </row>
    <row r="118" spans="1:128" x14ac:dyDescent="0.3">
      <c r="A118" s="2">
        <v>41657</v>
      </c>
      <c r="B118" s="21">
        <f t="shared" si="6"/>
        <v>109</v>
      </c>
      <c r="C118" s="36"/>
      <c r="D118" s="71">
        <v>8</v>
      </c>
      <c r="E118" s="74">
        <v>195650</v>
      </c>
      <c r="F118" s="10">
        <v>55900</v>
      </c>
      <c r="G118" s="10">
        <f t="shared" si="7"/>
        <v>139750</v>
      </c>
      <c r="U118" s="74">
        <v>4882</v>
      </c>
      <c r="AI118" s="80">
        <v>1.5129999999999999</v>
      </c>
      <c r="AJ118" s="10">
        <v>0.63458333333333317</v>
      </c>
      <c r="AK118" s="10">
        <v>1.7416666666666665</v>
      </c>
      <c r="AL118">
        <v>2626</v>
      </c>
      <c r="AP118">
        <v>73600</v>
      </c>
      <c r="AQ118" s="10">
        <f t="shared" si="8"/>
        <v>197906</v>
      </c>
      <c r="AX118" s="10">
        <v>2.8140000000000001</v>
      </c>
      <c r="AZ118" s="10">
        <v>41</v>
      </c>
      <c r="BA118" s="10">
        <v>7.9530000000000003</v>
      </c>
      <c r="BB118">
        <v>3.016</v>
      </c>
      <c r="BD118">
        <v>60</v>
      </c>
      <c r="BE118">
        <v>9.2119999999999997</v>
      </c>
      <c r="BF118" s="10">
        <v>3.1890000000000001</v>
      </c>
      <c r="BH118" s="10">
        <v>100.119</v>
      </c>
      <c r="BI118" s="10">
        <v>9.0549999999999997</v>
      </c>
      <c r="BJ118">
        <v>2.9870000000000001</v>
      </c>
      <c r="BM118">
        <v>693</v>
      </c>
      <c r="BN118">
        <v>5.3840000000000003</v>
      </c>
      <c r="BO118" s="10">
        <v>11.632999999999999</v>
      </c>
      <c r="BP118">
        <v>139750</v>
      </c>
      <c r="CB118">
        <v>13.656000000000001</v>
      </c>
      <c r="CC118">
        <v>15221</v>
      </c>
      <c r="CD118">
        <v>2291</v>
      </c>
      <c r="CE118">
        <v>3694</v>
      </c>
      <c r="CF118">
        <v>3784</v>
      </c>
      <c r="CG118">
        <v>3788</v>
      </c>
      <c r="CH118">
        <v>6752</v>
      </c>
      <c r="CI118">
        <v>18018</v>
      </c>
      <c r="CK118">
        <v>0</v>
      </c>
      <c r="CL118">
        <v>30000</v>
      </c>
      <c r="CM118">
        <v>71</v>
      </c>
      <c r="CN118">
        <v>36000</v>
      </c>
      <c r="CO118">
        <v>0</v>
      </c>
      <c r="CP118">
        <v>27000</v>
      </c>
      <c r="CQ118">
        <v>54</v>
      </c>
      <c r="CR118">
        <v>65000</v>
      </c>
      <c r="CS118" s="5">
        <v>0</v>
      </c>
      <c r="CU118" s="5">
        <v>0</v>
      </c>
      <c r="CW118" s="5">
        <v>0</v>
      </c>
      <c r="CY118">
        <v>28</v>
      </c>
      <c r="CZ118">
        <v>21.6</v>
      </c>
      <c r="DA118">
        <v>30.6</v>
      </c>
      <c r="DB118">
        <v>10635</v>
      </c>
      <c r="DC118">
        <v>60.835999999999999</v>
      </c>
      <c r="DD118">
        <v>40.097999999999999</v>
      </c>
      <c r="DE118">
        <v>4.0000000000000001E-3</v>
      </c>
      <c r="DF118">
        <v>9710</v>
      </c>
      <c r="DH118">
        <v>188.4</v>
      </c>
      <c r="DI118">
        <v>102280</v>
      </c>
      <c r="DJ118">
        <v>20.8</v>
      </c>
      <c r="DK118">
        <v>36</v>
      </c>
      <c r="DN118" s="23"/>
      <c r="DO118">
        <v>74</v>
      </c>
      <c r="DP118" t="s">
        <v>286</v>
      </c>
    </row>
    <row r="119" spans="1:128" x14ac:dyDescent="0.3">
      <c r="A119" s="2">
        <v>41658</v>
      </c>
      <c r="B119" s="21">
        <f t="shared" si="6"/>
        <v>110</v>
      </c>
      <c r="C119" s="36"/>
      <c r="D119" s="71">
        <v>0.43</v>
      </c>
      <c r="E119" s="74">
        <v>151516</v>
      </c>
      <c r="F119" s="10">
        <v>86066</v>
      </c>
      <c r="G119" s="10">
        <f t="shared" si="7"/>
        <v>65450</v>
      </c>
      <c r="N119">
        <v>3333</v>
      </c>
      <c r="U119" s="74">
        <v>5078.8999999999996</v>
      </c>
      <c r="AI119" s="80">
        <v>1.633</v>
      </c>
      <c r="AJ119" s="10">
        <v>0.76458333333333328</v>
      </c>
      <c r="AK119" s="10">
        <v>2.2008333333333336</v>
      </c>
      <c r="AL119">
        <v>2626</v>
      </c>
      <c r="AP119">
        <v>65492</v>
      </c>
      <c r="AQ119" s="10">
        <f t="shared" si="8"/>
        <v>153968.9</v>
      </c>
      <c r="AX119" s="10">
        <v>3.0150000000000001</v>
      </c>
      <c r="AZ119" s="10">
        <v>42</v>
      </c>
      <c r="BA119" s="10">
        <v>8.4670000000000005</v>
      </c>
      <c r="BB119">
        <v>3.1640000000000001</v>
      </c>
      <c r="BD119">
        <v>61</v>
      </c>
      <c r="BE119">
        <v>10.728</v>
      </c>
      <c r="BF119" s="10">
        <v>3.3370000000000002</v>
      </c>
      <c r="BH119" s="10">
        <v>100.203</v>
      </c>
      <c r="BI119" s="10">
        <v>10.731</v>
      </c>
      <c r="BJ119">
        <v>2.8</v>
      </c>
      <c r="BM119">
        <v>675</v>
      </c>
      <c r="BN119">
        <v>6.0410000000000004</v>
      </c>
      <c r="BO119" s="10">
        <v>11.221</v>
      </c>
      <c r="BP119">
        <v>65450</v>
      </c>
      <c r="CB119">
        <v>9.4280000000000008</v>
      </c>
      <c r="CC119">
        <v>7146</v>
      </c>
      <c r="CD119">
        <v>2060</v>
      </c>
      <c r="CE119">
        <v>2598</v>
      </c>
      <c r="CF119">
        <v>2690</v>
      </c>
      <c r="CG119">
        <v>2688</v>
      </c>
      <c r="CH119">
        <v>4226</v>
      </c>
      <c r="CI119">
        <v>12202</v>
      </c>
      <c r="CK119">
        <v>0</v>
      </c>
      <c r="CL119">
        <v>30000</v>
      </c>
      <c r="CM119">
        <v>0</v>
      </c>
      <c r="CN119">
        <v>36000</v>
      </c>
      <c r="CO119">
        <v>0</v>
      </c>
      <c r="CP119">
        <v>27000</v>
      </c>
      <c r="CQ119">
        <v>0</v>
      </c>
      <c r="CR119">
        <v>65000</v>
      </c>
      <c r="CS119" s="5">
        <v>0</v>
      </c>
      <c r="CU119" s="5">
        <v>0</v>
      </c>
      <c r="CW119" s="5">
        <v>0</v>
      </c>
      <c r="CY119">
        <v>24</v>
      </c>
      <c r="CZ119">
        <v>25.2</v>
      </c>
      <c r="DA119">
        <v>40.799999999999997</v>
      </c>
      <c r="DB119">
        <v>10505</v>
      </c>
      <c r="DC119">
        <v>59.84</v>
      </c>
      <c r="DD119">
        <v>40.899000000000001</v>
      </c>
      <c r="DE119">
        <v>5.0000000000000001E-3</v>
      </c>
      <c r="DF119">
        <v>10220</v>
      </c>
      <c r="DH119">
        <v>203.6</v>
      </c>
      <c r="DI119">
        <v>34900</v>
      </c>
      <c r="DJ119">
        <v>20.8</v>
      </c>
      <c r="DK119">
        <v>36</v>
      </c>
      <c r="DN119" s="23"/>
      <c r="DO119">
        <v>78</v>
      </c>
      <c r="DP119" t="s">
        <v>286</v>
      </c>
    </row>
    <row r="120" spans="1:128" x14ac:dyDescent="0.3">
      <c r="A120" s="2">
        <v>41659</v>
      </c>
      <c r="B120" s="21">
        <f t="shared" si="6"/>
        <v>111</v>
      </c>
      <c r="C120" s="36"/>
      <c r="D120" s="71">
        <v>0.85</v>
      </c>
      <c r="E120" s="74">
        <v>130410</v>
      </c>
      <c r="F120" s="10">
        <v>72634</v>
      </c>
      <c r="G120" s="10">
        <f t="shared" si="7"/>
        <v>57776</v>
      </c>
      <c r="H120" s="80">
        <v>409</v>
      </c>
      <c r="J120" s="80">
        <v>51.8</v>
      </c>
      <c r="K120" s="80">
        <v>6.56</v>
      </c>
      <c r="M120" s="10">
        <v>248608</v>
      </c>
      <c r="P120" s="80">
        <v>200</v>
      </c>
      <c r="R120" s="80">
        <v>24.4</v>
      </c>
      <c r="S120" s="80">
        <v>3.3</v>
      </c>
      <c r="U120" s="74">
        <v>5004.95</v>
      </c>
      <c r="AF120" s="80">
        <v>1830</v>
      </c>
      <c r="AG120" s="80">
        <v>19.2</v>
      </c>
      <c r="AH120" s="80">
        <v>93</v>
      </c>
      <c r="AI120" s="80">
        <v>1.3839999999999999</v>
      </c>
      <c r="AJ120" s="10">
        <v>0.50541666666666674</v>
      </c>
      <c r="AK120" s="10">
        <v>2.0637500000000006</v>
      </c>
      <c r="AL120">
        <v>2628</v>
      </c>
      <c r="AP120">
        <v>68050</v>
      </c>
      <c r="AQ120" s="10">
        <f t="shared" si="8"/>
        <v>132786.95000000001</v>
      </c>
      <c r="AR120" s="80">
        <v>94</v>
      </c>
      <c r="AT120" s="80">
        <v>23.2</v>
      </c>
      <c r="AU120" s="80">
        <v>1.8</v>
      </c>
      <c r="AV120" s="80">
        <v>42</v>
      </c>
      <c r="AX120" s="10">
        <v>2.75</v>
      </c>
      <c r="AZ120" s="10">
        <v>43</v>
      </c>
      <c r="BA120" s="10">
        <v>7.8979999999999997</v>
      </c>
      <c r="BB120">
        <v>3.12</v>
      </c>
      <c r="BD120">
        <v>60</v>
      </c>
      <c r="BE120">
        <v>9.9350000000000005</v>
      </c>
      <c r="BF120" s="10">
        <v>3.03</v>
      </c>
      <c r="BH120" s="10">
        <v>121.19499999999999</v>
      </c>
      <c r="BI120" s="10">
        <v>9.5259999999999998</v>
      </c>
      <c r="BJ120">
        <v>2.7</v>
      </c>
      <c r="BL120">
        <v>100</v>
      </c>
      <c r="BM120">
        <v>603</v>
      </c>
      <c r="BN120">
        <v>5.1479999999999997</v>
      </c>
      <c r="BO120" s="10">
        <v>11.831</v>
      </c>
      <c r="BP120">
        <v>57776</v>
      </c>
      <c r="BR120">
        <v>34</v>
      </c>
      <c r="BS120">
        <v>4</v>
      </c>
      <c r="BT120">
        <v>2.6</v>
      </c>
      <c r="BU120">
        <v>1.2</v>
      </c>
      <c r="BV120">
        <v>0.59</v>
      </c>
      <c r="BW120">
        <v>8.1999999999999993</v>
      </c>
      <c r="BX120">
        <v>0.65</v>
      </c>
      <c r="BY120">
        <v>0.71</v>
      </c>
      <c r="BZ120">
        <v>6.1</v>
      </c>
      <c r="CA120">
        <v>0.64</v>
      </c>
      <c r="CB120">
        <v>9</v>
      </c>
      <c r="CC120">
        <v>6445.5</v>
      </c>
      <c r="CD120">
        <v>2123</v>
      </c>
      <c r="CE120">
        <v>2766.5</v>
      </c>
      <c r="CF120">
        <v>2810</v>
      </c>
      <c r="CG120">
        <v>2687.5</v>
      </c>
      <c r="CH120">
        <v>4742</v>
      </c>
      <c r="CI120">
        <v>13006</v>
      </c>
      <c r="CK120">
        <v>0</v>
      </c>
      <c r="CL120">
        <v>30000</v>
      </c>
      <c r="CM120">
        <v>0</v>
      </c>
      <c r="CN120">
        <v>36000</v>
      </c>
      <c r="CO120">
        <v>0</v>
      </c>
      <c r="CP120">
        <v>27000</v>
      </c>
      <c r="CQ120">
        <v>0</v>
      </c>
      <c r="CR120">
        <v>65000</v>
      </c>
      <c r="CS120" s="5">
        <v>0</v>
      </c>
      <c r="CU120" s="5">
        <v>0</v>
      </c>
      <c r="CW120" s="5">
        <v>0</v>
      </c>
      <c r="CY120">
        <v>28</v>
      </c>
      <c r="CZ120">
        <v>25.2</v>
      </c>
      <c r="DA120">
        <v>34</v>
      </c>
      <c r="DB120">
        <v>11226</v>
      </c>
      <c r="DC120">
        <v>60.204999999999998</v>
      </c>
      <c r="DD120">
        <v>40.728000000000002</v>
      </c>
      <c r="DE120">
        <v>6.0000000000000001E-3</v>
      </c>
      <c r="DF120">
        <v>10180</v>
      </c>
      <c r="DH120">
        <v>223.5</v>
      </c>
      <c r="DI120">
        <v>0</v>
      </c>
      <c r="DJ120">
        <v>20.8</v>
      </c>
      <c r="DK120">
        <v>36</v>
      </c>
      <c r="DN120" s="23"/>
      <c r="DO120">
        <v>100</v>
      </c>
      <c r="DP120" t="s">
        <v>286</v>
      </c>
      <c r="DQ120" s="80">
        <v>730</v>
      </c>
      <c r="DR120" s="80">
        <v>269</v>
      </c>
      <c r="DS120" s="80">
        <v>130</v>
      </c>
      <c r="DT120" s="80">
        <v>7.7</v>
      </c>
      <c r="DU120" s="80">
        <v>15</v>
      </c>
      <c r="DV120" s="80">
        <v>25</v>
      </c>
      <c r="DW120" s="80">
        <v>74</v>
      </c>
      <c r="DX120" s="80">
        <v>530</v>
      </c>
    </row>
    <row r="121" spans="1:128" x14ac:dyDescent="0.3">
      <c r="A121" s="2">
        <v>41660</v>
      </c>
      <c r="B121" s="21">
        <f t="shared" si="6"/>
        <v>112</v>
      </c>
      <c r="C121" s="36"/>
      <c r="D121" s="71">
        <v>3.04</v>
      </c>
      <c r="E121" s="74">
        <v>174524</v>
      </c>
      <c r="F121" s="10">
        <v>47500</v>
      </c>
      <c r="G121" s="10">
        <f t="shared" si="7"/>
        <v>127024</v>
      </c>
      <c r="U121" s="74">
        <v>4902.3999999999996</v>
      </c>
      <c r="AI121" s="80">
        <v>0.754</v>
      </c>
      <c r="AJ121" s="10">
        <v>0.59624999999999995</v>
      </c>
      <c r="AK121" s="10">
        <v>1.7300000000000002</v>
      </c>
      <c r="AL121">
        <v>2636</v>
      </c>
      <c r="AP121">
        <v>76525</v>
      </c>
      <c r="AQ121" s="10">
        <f t="shared" si="8"/>
        <v>176790.39999999999</v>
      </c>
      <c r="AX121" s="10">
        <v>2.9620000000000002</v>
      </c>
      <c r="AZ121" s="10">
        <v>41</v>
      </c>
      <c r="BA121" s="10">
        <v>8.6989999999999998</v>
      </c>
      <c r="BB121">
        <v>3.1720000000000002</v>
      </c>
      <c r="BD121">
        <v>71</v>
      </c>
      <c r="BE121">
        <v>12.141</v>
      </c>
      <c r="BF121" s="10">
        <v>2.274</v>
      </c>
      <c r="BH121" s="10">
        <v>141.18600000000001</v>
      </c>
      <c r="BI121" s="10">
        <v>6.1749999999999998</v>
      </c>
      <c r="BJ121">
        <v>3.11</v>
      </c>
      <c r="BM121">
        <v>602</v>
      </c>
      <c r="BN121">
        <v>5.617</v>
      </c>
      <c r="BO121" s="10">
        <v>11.89</v>
      </c>
      <c r="BP121">
        <v>127024</v>
      </c>
      <c r="CB121">
        <v>14</v>
      </c>
      <c r="CC121">
        <v>11305.5</v>
      </c>
      <c r="CD121">
        <v>2321</v>
      </c>
      <c r="CE121">
        <v>3618.5</v>
      </c>
      <c r="CF121">
        <v>3606</v>
      </c>
      <c r="CG121">
        <v>2995.5</v>
      </c>
      <c r="CH121">
        <v>6980</v>
      </c>
      <c r="CI121">
        <v>17200</v>
      </c>
      <c r="CK121">
        <v>108</v>
      </c>
      <c r="CL121">
        <v>30000</v>
      </c>
      <c r="CM121">
        <v>0</v>
      </c>
      <c r="CN121">
        <v>36000</v>
      </c>
      <c r="CO121">
        <v>0</v>
      </c>
      <c r="CP121">
        <v>27000</v>
      </c>
      <c r="CQ121">
        <v>101</v>
      </c>
      <c r="CR121">
        <v>65000</v>
      </c>
      <c r="CS121" s="5">
        <v>0</v>
      </c>
      <c r="CU121" s="5">
        <v>0</v>
      </c>
      <c r="CW121" s="5">
        <v>0</v>
      </c>
      <c r="CY121">
        <v>25.9</v>
      </c>
      <c r="CZ121">
        <v>25.9</v>
      </c>
      <c r="DA121">
        <v>25.2</v>
      </c>
      <c r="DB121">
        <v>12352</v>
      </c>
      <c r="DC121">
        <v>60.366999999999997</v>
      </c>
      <c r="DD121">
        <v>41.103999999999999</v>
      </c>
      <c r="DE121">
        <v>4.0000000000000001E-3</v>
      </c>
      <c r="DF121">
        <v>11040</v>
      </c>
      <c r="DH121">
        <v>188.4</v>
      </c>
      <c r="DI121">
        <v>95240</v>
      </c>
      <c r="DJ121">
        <v>20.8</v>
      </c>
      <c r="DK121">
        <v>36</v>
      </c>
      <c r="DN121" s="23"/>
      <c r="DO121">
        <v>118</v>
      </c>
      <c r="DP121" t="s">
        <v>286</v>
      </c>
    </row>
    <row r="122" spans="1:128" x14ac:dyDescent="0.3">
      <c r="A122" s="2">
        <v>41661</v>
      </c>
      <c r="B122" s="21">
        <f t="shared" si="6"/>
        <v>113</v>
      </c>
      <c r="C122" s="36"/>
      <c r="D122" s="71">
        <v>0</v>
      </c>
      <c r="E122" s="74">
        <v>119800</v>
      </c>
      <c r="F122" s="10">
        <v>54600</v>
      </c>
      <c r="G122" s="10">
        <f t="shared" si="7"/>
        <v>65200</v>
      </c>
      <c r="U122" s="74">
        <v>4651.8500000000004</v>
      </c>
      <c r="AI122" s="80">
        <v>0.878</v>
      </c>
      <c r="AJ122" s="10">
        <v>0.65416666666666667</v>
      </c>
      <c r="AK122" s="10">
        <v>2.4987499999999998</v>
      </c>
      <c r="AL122">
        <v>2192</v>
      </c>
      <c r="AN122" s="80">
        <v>9172</v>
      </c>
      <c r="AP122">
        <v>62475</v>
      </c>
      <c r="AQ122" s="10">
        <f t="shared" si="8"/>
        <v>122259.85</v>
      </c>
      <c r="AX122" s="10">
        <v>3.3250000000000002</v>
      </c>
      <c r="AZ122" s="10">
        <v>41</v>
      </c>
      <c r="BA122" s="10">
        <v>8.173</v>
      </c>
      <c r="BB122">
        <v>3.4529999999999998</v>
      </c>
      <c r="BD122">
        <v>70</v>
      </c>
      <c r="BE122">
        <v>15.321999999999999</v>
      </c>
      <c r="BF122" s="10">
        <v>3.4849999999999999</v>
      </c>
      <c r="BH122" s="10">
        <v>140.279</v>
      </c>
      <c r="BI122" s="10">
        <v>7.5910000000000002</v>
      </c>
      <c r="BJ122">
        <v>3.6970000000000001</v>
      </c>
      <c r="BM122">
        <v>564</v>
      </c>
      <c r="BN122">
        <v>5.2679999999999998</v>
      </c>
      <c r="BO122" s="10">
        <v>11.461</v>
      </c>
      <c r="BP122">
        <v>65200</v>
      </c>
      <c r="CB122">
        <v>9</v>
      </c>
      <c r="CC122">
        <v>5682</v>
      </c>
      <c r="CD122">
        <v>2005</v>
      </c>
      <c r="CE122">
        <v>2583</v>
      </c>
      <c r="CF122">
        <v>2476</v>
      </c>
      <c r="CG122">
        <v>2799</v>
      </c>
      <c r="CH122">
        <v>4352</v>
      </c>
      <c r="CI122">
        <v>12210</v>
      </c>
      <c r="CK122">
        <v>72</v>
      </c>
      <c r="CL122">
        <v>30000</v>
      </c>
      <c r="CM122">
        <v>0</v>
      </c>
      <c r="CN122">
        <v>36000</v>
      </c>
      <c r="CO122">
        <v>0</v>
      </c>
      <c r="CP122">
        <v>27000</v>
      </c>
      <c r="CQ122">
        <v>35</v>
      </c>
      <c r="CR122">
        <v>65000</v>
      </c>
      <c r="CS122" s="5">
        <v>0</v>
      </c>
      <c r="CU122" s="5">
        <v>0</v>
      </c>
      <c r="CW122" s="5">
        <v>0</v>
      </c>
      <c r="CY122">
        <v>29.6</v>
      </c>
      <c r="CZ122">
        <v>25.9</v>
      </c>
      <c r="DA122">
        <v>21.6</v>
      </c>
      <c r="DB122">
        <v>12344</v>
      </c>
      <c r="DC122">
        <v>60.186</v>
      </c>
      <c r="DD122">
        <v>41.454000000000001</v>
      </c>
      <c r="DE122">
        <v>4.0000000000000001E-3</v>
      </c>
      <c r="DF122">
        <v>10303.313</v>
      </c>
      <c r="DH122">
        <v>203.6</v>
      </c>
      <c r="DI122">
        <v>95740</v>
      </c>
      <c r="DJ122">
        <v>21.3</v>
      </c>
      <c r="DK122">
        <v>36</v>
      </c>
      <c r="DN122" s="23"/>
      <c r="DO122">
        <v>149</v>
      </c>
      <c r="DP122" t="s">
        <v>286</v>
      </c>
    </row>
    <row r="123" spans="1:128" x14ac:dyDescent="0.3">
      <c r="A123" s="2">
        <v>41662</v>
      </c>
      <c r="B123" s="21">
        <f t="shared" si="6"/>
        <v>114</v>
      </c>
      <c r="C123" s="36"/>
      <c r="D123" s="71">
        <v>1.41</v>
      </c>
      <c r="E123" s="74">
        <v>129400</v>
      </c>
      <c r="F123" s="10">
        <v>70300</v>
      </c>
      <c r="G123" s="10">
        <f t="shared" si="7"/>
        <v>59100</v>
      </c>
      <c r="U123" s="74">
        <v>3591.15</v>
      </c>
      <c r="AF123" s="80">
        <v>2200</v>
      </c>
      <c r="AG123" s="80">
        <v>16.2</v>
      </c>
      <c r="AH123" s="80">
        <v>73</v>
      </c>
      <c r="AI123" s="80">
        <v>0.32100000000000001</v>
      </c>
      <c r="AJ123" s="10">
        <v>0.27666666666666667</v>
      </c>
      <c r="AK123" s="10">
        <v>1.8545833333333333</v>
      </c>
      <c r="AL123">
        <v>1306</v>
      </c>
      <c r="AP123">
        <v>68825</v>
      </c>
      <c r="AQ123" s="10">
        <f t="shared" si="8"/>
        <v>131685.15</v>
      </c>
      <c r="AX123" s="10">
        <v>2.75</v>
      </c>
      <c r="AZ123" s="10">
        <v>60</v>
      </c>
      <c r="BA123" s="10">
        <v>8.1630000000000003</v>
      </c>
      <c r="BB123">
        <v>3.09</v>
      </c>
      <c r="BD123">
        <v>90.533000000000001</v>
      </c>
      <c r="BE123">
        <v>11.526</v>
      </c>
      <c r="BF123" s="10">
        <v>2.71</v>
      </c>
      <c r="BH123" s="10">
        <v>159.518</v>
      </c>
      <c r="BI123" s="10">
        <v>9.2040000000000006</v>
      </c>
      <c r="BJ123">
        <v>3.49</v>
      </c>
      <c r="BL123">
        <v>103</v>
      </c>
      <c r="BM123">
        <v>564</v>
      </c>
      <c r="BN123">
        <v>4.9820000000000002</v>
      </c>
      <c r="BO123" s="10">
        <v>11.622999999999999</v>
      </c>
      <c r="BP123">
        <v>59100</v>
      </c>
      <c r="CB123">
        <v>9</v>
      </c>
      <c r="CC123">
        <v>7282</v>
      </c>
      <c r="CD123">
        <v>2145</v>
      </c>
      <c r="CE123">
        <v>2649.5</v>
      </c>
      <c r="CF123">
        <v>2566</v>
      </c>
      <c r="CG123">
        <v>2406.5</v>
      </c>
      <c r="CH123">
        <v>4611</v>
      </c>
      <c r="CI123">
        <v>12233</v>
      </c>
      <c r="CK123">
        <v>143</v>
      </c>
      <c r="CL123">
        <v>30000</v>
      </c>
      <c r="CM123">
        <v>0</v>
      </c>
      <c r="CN123">
        <v>36000</v>
      </c>
      <c r="CO123">
        <v>0</v>
      </c>
      <c r="CP123">
        <v>27000</v>
      </c>
      <c r="CQ123">
        <v>35</v>
      </c>
      <c r="CR123">
        <v>65000</v>
      </c>
      <c r="CS123" s="5">
        <v>0</v>
      </c>
      <c r="CU123" s="5">
        <v>0</v>
      </c>
      <c r="CW123" s="5">
        <v>0</v>
      </c>
      <c r="CY123">
        <v>18.5</v>
      </c>
      <c r="CZ123">
        <v>7.4</v>
      </c>
      <c r="DA123">
        <v>36</v>
      </c>
      <c r="DB123">
        <v>10488</v>
      </c>
      <c r="DC123">
        <v>60.28</v>
      </c>
      <c r="DD123">
        <v>41.37</v>
      </c>
      <c r="DE123">
        <v>4.0000000000000001E-3</v>
      </c>
      <c r="DF123">
        <v>9876.6880000000001</v>
      </c>
      <c r="DH123">
        <v>189.3</v>
      </c>
      <c r="DI123">
        <v>102120</v>
      </c>
      <c r="DJ123">
        <v>21.3</v>
      </c>
      <c r="DK123">
        <v>36</v>
      </c>
      <c r="DN123" s="23"/>
      <c r="DO123">
        <v>191</v>
      </c>
      <c r="DP123" t="s">
        <v>286</v>
      </c>
    </row>
    <row r="124" spans="1:128" x14ac:dyDescent="0.3">
      <c r="A124" s="2">
        <v>41663</v>
      </c>
      <c r="B124" s="21">
        <f t="shared" si="6"/>
        <v>115</v>
      </c>
      <c r="C124" s="36"/>
      <c r="D124" s="71">
        <v>7.65</v>
      </c>
      <c r="E124" s="74">
        <v>198184</v>
      </c>
      <c r="F124" s="10">
        <v>44734</v>
      </c>
      <c r="G124" s="10">
        <f t="shared" si="7"/>
        <v>153450</v>
      </c>
      <c r="U124" s="74">
        <v>3635</v>
      </c>
      <c r="AI124" s="80">
        <v>0.27400000000000002</v>
      </c>
      <c r="AJ124" s="10">
        <v>0.77916666666666667</v>
      </c>
      <c r="AK124" s="10">
        <v>1.79</v>
      </c>
      <c r="AL124">
        <v>1217</v>
      </c>
      <c r="AP124">
        <v>69850</v>
      </c>
      <c r="AQ124" s="10">
        <f t="shared" si="8"/>
        <v>200602</v>
      </c>
      <c r="AX124" s="10">
        <v>2.8959999999999999</v>
      </c>
      <c r="AZ124" s="10">
        <v>61</v>
      </c>
      <c r="BA124" s="10">
        <v>9.1809999999999992</v>
      </c>
      <c r="BB124">
        <v>3.1829999999999998</v>
      </c>
      <c r="BD124">
        <v>91.183999999999997</v>
      </c>
      <c r="BE124">
        <v>10.345000000000001</v>
      </c>
      <c r="BF124" s="10">
        <v>2.87</v>
      </c>
      <c r="BH124" s="10">
        <v>185.5</v>
      </c>
      <c r="BI124" s="10">
        <v>8.6890000000000001</v>
      </c>
      <c r="BJ124">
        <v>3.1760000000000002</v>
      </c>
      <c r="BM124">
        <v>533</v>
      </c>
      <c r="BN124">
        <v>5.2350000000000003</v>
      </c>
      <c r="BO124" s="10">
        <v>11.191000000000001</v>
      </c>
      <c r="BP124">
        <v>153450</v>
      </c>
      <c r="CB124">
        <v>15</v>
      </c>
      <c r="CC124">
        <v>15598</v>
      </c>
      <c r="CD124">
        <v>2187</v>
      </c>
      <c r="CE124">
        <v>3301.5</v>
      </c>
      <c r="CF124">
        <v>3366</v>
      </c>
      <c r="CG124">
        <v>3300.5</v>
      </c>
      <c r="CH124">
        <v>6393</v>
      </c>
      <c r="CI124">
        <v>16361</v>
      </c>
      <c r="CK124">
        <v>71</v>
      </c>
      <c r="CL124">
        <v>30000</v>
      </c>
      <c r="CM124">
        <v>0</v>
      </c>
      <c r="CN124">
        <v>36000</v>
      </c>
      <c r="CO124">
        <v>0</v>
      </c>
      <c r="CP124">
        <v>27000</v>
      </c>
      <c r="CQ124">
        <v>105</v>
      </c>
      <c r="CR124">
        <v>65000</v>
      </c>
      <c r="CS124" s="5">
        <v>0</v>
      </c>
      <c r="CU124" s="5">
        <v>0</v>
      </c>
      <c r="CW124" s="5">
        <v>0</v>
      </c>
      <c r="CY124">
        <v>21</v>
      </c>
      <c r="CZ124">
        <v>0</v>
      </c>
      <c r="DA124">
        <v>28.8</v>
      </c>
      <c r="DB124">
        <v>8945</v>
      </c>
      <c r="DC124">
        <v>61.021999999999998</v>
      </c>
      <c r="DD124">
        <v>40.637</v>
      </c>
      <c r="DE124">
        <v>4.0000000000000001E-3</v>
      </c>
      <c r="DF124">
        <v>8733.3130000000001</v>
      </c>
      <c r="DH124">
        <v>202.8</v>
      </c>
      <c r="DI124">
        <v>28460</v>
      </c>
      <c r="DJ124">
        <v>21.3</v>
      </c>
      <c r="DK124">
        <v>36</v>
      </c>
      <c r="DN124" s="23"/>
      <c r="DO124">
        <v>208</v>
      </c>
      <c r="DP124" t="s">
        <v>286</v>
      </c>
    </row>
    <row r="125" spans="1:128" x14ac:dyDescent="0.3">
      <c r="A125" s="2">
        <v>41664</v>
      </c>
      <c r="B125" s="21">
        <f t="shared" si="6"/>
        <v>116</v>
      </c>
      <c r="C125" s="36"/>
      <c r="D125" s="71">
        <v>0.09</v>
      </c>
      <c r="E125" s="74">
        <v>134316</v>
      </c>
      <c r="F125" s="10">
        <v>65466</v>
      </c>
      <c r="G125" s="10">
        <f t="shared" si="7"/>
        <v>68850</v>
      </c>
      <c r="N125">
        <v>2712</v>
      </c>
      <c r="U125" s="74">
        <v>4428.05</v>
      </c>
      <c r="AI125" s="80">
        <v>0.4</v>
      </c>
      <c r="AJ125" s="10">
        <v>0.67208333333333348</v>
      </c>
      <c r="AK125" s="10">
        <v>2.1629166666666673</v>
      </c>
      <c r="AL125">
        <v>1991.25</v>
      </c>
      <c r="AP125">
        <v>77716</v>
      </c>
      <c r="AQ125" s="10">
        <f t="shared" si="8"/>
        <v>136752.79999999999</v>
      </c>
      <c r="AX125" s="10">
        <v>3.4129999999999998</v>
      </c>
      <c r="AZ125" s="10">
        <v>50</v>
      </c>
      <c r="BA125" s="10">
        <v>8.9849999999999994</v>
      </c>
      <c r="BB125">
        <v>3.4860000000000002</v>
      </c>
      <c r="BD125">
        <v>90.231999999999999</v>
      </c>
      <c r="BE125">
        <v>11.037000000000001</v>
      </c>
      <c r="BF125" s="10">
        <v>3.0859999999999999</v>
      </c>
      <c r="BH125" s="10">
        <v>161</v>
      </c>
      <c r="BI125" s="10">
        <v>9.7260000000000009</v>
      </c>
      <c r="BJ125">
        <v>3.6760000000000002</v>
      </c>
      <c r="BM125">
        <v>504</v>
      </c>
      <c r="BN125">
        <v>5.6719999999999997</v>
      </c>
      <c r="BO125" s="10">
        <v>10.448</v>
      </c>
      <c r="BP125">
        <v>68850</v>
      </c>
      <c r="CB125">
        <v>9</v>
      </c>
      <c r="CC125">
        <v>9751</v>
      </c>
      <c r="CD125">
        <v>2124</v>
      </c>
      <c r="CE125">
        <v>2571</v>
      </c>
      <c r="CF125">
        <v>2710</v>
      </c>
      <c r="CG125">
        <v>2491.5</v>
      </c>
      <c r="CH125">
        <v>4640</v>
      </c>
      <c r="CI125">
        <v>12413</v>
      </c>
      <c r="CK125">
        <v>0</v>
      </c>
      <c r="CL125">
        <v>30000</v>
      </c>
      <c r="CM125">
        <v>0</v>
      </c>
      <c r="CN125">
        <v>36000</v>
      </c>
      <c r="CO125">
        <v>0</v>
      </c>
      <c r="CP125">
        <v>27000</v>
      </c>
      <c r="CQ125">
        <v>106</v>
      </c>
      <c r="CR125">
        <v>65000</v>
      </c>
      <c r="CS125" s="5">
        <v>0</v>
      </c>
      <c r="CU125" s="5">
        <v>0</v>
      </c>
      <c r="CW125" s="5">
        <v>0</v>
      </c>
      <c r="CY125">
        <v>31.5</v>
      </c>
      <c r="CZ125">
        <v>19</v>
      </c>
      <c r="DA125">
        <v>28.8</v>
      </c>
      <c r="DB125">
        <v>9560</v>
      </c>
      <c r="DC125">
        <v>62.338999999999999</v>
      </c>
      <c r="DD125">
        <v>39.798999999999999</v>
      </c>
      <c r="DE125">
        <v>4.0000000000000001E-3</v>
      </c>
      <c r="DF125">
        <v>8831.6880000000001</v>
      </c>
      <c r="DH125">
        <v>268.39999999999998</v>
      </c>
      <c r="DI125">
        <v>94380</v>
      </c>
      <c r="DJ125">
        <v>21.3</v>
      </c>
      <c r="DK125">
        <v>36</v>
      </c>
      <c r="DL125">
        <v>1</v>
      </c>
      <c r="DM125">
        <v>10220</v>
      </c>
      <c r="DN125" s="23"/>
      <c r="DO125">
        <v>248</v>
      </c>
      <c r="DP125" t="s">
        <v>286</v>
      </c>
    </row>
    <row r="126" spans="1:128" x14ac:dyDescent="0.3">
      <c r="A126" s="2">
        <v>41665</v>
      </c>
      <c r="B126" s="21">
        <f t="shared" si="6"/>
        <v>117</v>
      </c>
      <c r="C126" s="36"/>
      <c r="D126" s="71">
        <v>8.1199999999999992</v>
      </c>
      <c r="E126" s="74">
        <v>192000</v>
      </c>
      <c r="F126" s="10">
        <v>44300</v>
      </c>
      <c r="G126" s="10">
        <f t="shared" si="7"/>
        <v>147700</v>
      </c>
      <c r="H126" s="80">
        <v>366</v>
      </c>
      <c r="J126" s="80">
        <v>26</v>
      </c>
      <c r="K126" s="80">
        <v>4.26</v>
      </c>
      <c r="M126" s="10">
        <v>477131</v>
      </c>
      <c r="P126" s="80">
        <v>290</v>
      </c>
      <c r="R126" s="80">
        <v>21.2</v>
      </c>
      <c r="S126" s="80">
        <v>3.5</v>
      </c>
      <c r="U126" s="74">
        <v>4396.8500000000004</v>
      </c>
      <c r="AI126" s="80">
        <v>0.443</v>
      </c>
      <c r="AJ126" s="10">
        <v>0.84458333333333346</v>
      </c>
      <c r="AK126" s="10">
        <v>1.9675</v>
      </c>
      <c r="AL126">
        <v>1908.75</v>
      </c>
      <c r="AP126">
        <v>78368</v>
      </c>
      <c r="AQ126" s="10">
        <f t="shared" si="8"/>
        <v>194488.1</v>
      </c>
      <c r="AR126" s="80">
        <v>140</v>
      </c>
      <c r="AT126" s="80">
        <v>21.4</v>
      </c>
      <c r="AU126" s="80">
        <v>2.5</v>
      </c>
      <c r="AV126" s="80">
        <v>70</v>
      </c>
      <c r="AX126" s="10">
        <v>3.206</v>
      </c>
      <c r="AY126" s="10">
        <v>23</v>
      </c>
      <c r="AZ126" s="10">
        <v>51</v>
      </c>
      <c r="BA126" s="10">
        <v>8.6020000000000003</v>
      </c>
      <c r="BB126">
        <v>3.3479999999999999</v>
      </c>
      <c r="BC126">
        <v>23</v>
      </c>
      <c r="BD126">
        <v>97.051000000000002</v>
      </c>
      <c r="BE126">
        <v>10.286</v>
      </c>
      <c r="BF126" s="10">
        <v>2.7709999999999999</v>
      </c>
      <c r="BG126" s="10">
        <v>22</v>
      </c>
      <c r="BH126" s="10">
        <v>160</v>
      </c>
      <c r="BI126" s="10">
        <v>8.4329999999999998</v>
      </c>
      <c r="BJ126">
        <v>3.371</v>
      </c>
      <c r="BK126">
        <v>23</v>
      </c>
      <c r="BM126">
        <v>504</v>
      </c>
      <c r="BN126">
        <v>5.3460000000000001</v>
      </c>
      <c r="BO126" s="10">
        <v>10.807</v>
      </c>
      <c r="BP126">
        <v>147700</v>
      </c>
      <c r="BR126">
        <v>37</v>
      </c>
      <c r="BS126">
        <v>5</v>
      </c>
      <c r="BT126">
        <v>5.3</v>
      </c>
      <c r="BU126">
        <v>3.4</v>
      </c>
      <c r="BV126">
        <v>0.77</v>
      </c>
      <c r="BW126">
        <v>8.9</v>
      </c>
      <c r="BX126">
        <v>0.86</v>
      </c>
      <c r="BY126">
        <v>0.98</v>
      </c>
      <c r="BZ126">
        <v>9.1999999999999993</v>
      </c>
      <c r="CA126">
        <v>0.47</v>
      </c>
      <c r="CB126">
        <v>13</v>
      </c>
      <c r="CC126">
        <v>11533</v>
      </c>
      <c r="CD126">
        <v>2350</v>
      </c>
      <c r="CE126">
        <v>3037</v>
      </c>
      <c r="CF126">
        <v>3480</v>
      </c>
      <c r="CG126">
        <v>3225.5</v>
      </c>
      <c r="CH126">
        <v>6516</v>
      </c>
      <c r="CI126">
        <v>16259</v>
      </c>
      <c r="CK126">
        <v>0</v>
      </c>
      <c r="CL126">
        <v>30000</v>
      </c>
      <c r="CM126">
        <v>0</v>
      </c>
      <c r="CN126">
        <v>36000</v>
      </c>
      <c r="CO126">
        <v>0</v>
      </c>
      <c r="CP126">
        <v>27000</v>
      </c>
      <c r="CQ126">
        <v>0</v>
      </c>
      <c r="CR126">
        <v>65000</v>
      </c>
      <c r="CS126" s="5">
        <v>0</v>
      </c>
      <c r="CU126" s="5">
        <v>0</v>
      </c>
      <c r="CW126" s="5">
        <v>0</v>
      </c>
      <c r="CY126">
        <v>21</v>
      </c>
      <c r="CZ126">
        <v>19</v>
      </c>
      <c r="DA126">
        <v>25.2</v>
      </c>
      <c r="DB126">
        <v>11158</v>
      </c>
      <c r="DC126">
        <v>60.612000000000002</v>
      </c>
      <c r="DD126">
        <v>41.040999999999997</v>
      </c>
      <c r="DE126">
        <v>4.0000000000000001E-3</v>
      </c>
      <c r="DF126">
        <v>11040</v>
      </c>
      <c r="DH126">
        <v>244.5</v>
      </c>
      <c r="DI126">
        <v>0</v>
      </c>
      <c r="DJ126">
        <v>21.3</v>
      </c>
      <c r="DK126">
        <v>36</v>
      </c>
      <c r="DN126" s="23"/>
      <c r="DO126">
        <v>277</v>
      </c>
      <c r="DP126" t="s">
        <v>286</v>
      </c>
      <c r="DQ126" s="80">
        <v>1495</v>
      </c>
      <c r="DR126" s="80">
        <v>312</v>
      </c>
      <c r="DS126" s="80">
        <v>210</v>
      </c>
      <c r="DT126" s="80">
        <v>9.9</v>
      </c>
      <c r="DU126" s="80">
        <v>39</v>
      </c>
      <c r="DV126" s="80">
        <v>59</v>
      </c>
      <c r="DW126" s="80">
        <v>120</v>
      </c>
      <c r="DX126" s="80">
        <v>1300</v>
      </c>
    </row>
    <row r="127" spans="1:128" x14ac:dyDescent="0.3">
      <c r="A127" s="2">
        <v>41666</v>
      </c>
      <c r="B127" s="21">
        <f t="shared" si="6"/>
        <v>118</v>
      </c>
      <c r="C127" s="36"/>
      <c r="D127" s="71">
        <v>8.23</v>
      </c>
      <c r="E127" s="74">
        <v>209100</v>
      </c>
      <c r="F127" s="10">
        <v>18900</v>
      </c>
      <c r="G127" s="10">
        <f t="shared" si="7"/>
        <v>190200</v>
      </c>
      <c r="U127" s="74">
        <v>4139.25</v>
      </c>
      <c r="AF127" s="80">
        <v>3393</v>
      </c>
      <c r="AG127" s="80">
        <v>21.6</v>
      </c>
      <c r="AH127" s="80">
        <v>65</v>
      </c>
      <c r="AI127" s="80">
        <v>0.45</v>
      </c>
      <c r="AJ127" s="10">
        <v>1.67</v>
      </c>
      <c r="AK127" s="10">
        <v>2.6295833333333332</v>
      </c>
      <c r="AL127">
        <v>2060</v>
      </c>
      <c r="AP127">
        <v>67932</v>
      </c>
      <c r="AQ127" s="10">
        <f t="shared" si="8"/>
        <v>211179.25</v>
      </c>
      <c r="AX127" s="10">
        <v>3.23</v>
      </c>
      <c r="AZ127" s="10">
        <v>60</v>
      </c>
      <c r="BA127" s="10">
        <v>9.9440000000000008</v>
      </c>
      <c r="BB127">
        <v>3.41</v>
      </c>
      <c r="BD127">
        <v>101</v>
      </c>
      <c r="BE127">
        <v>9.9819999999999993</v>
      </c>
      <c r="BF127" s="10">
        <v>3.08</v>
      </c>
      <c r="BH127" s="10">
        <v>151</v>
      </c>
      <c r="BI127" s="10">
        <v>8.5879999999999992</v>
      </c>
      <c r="BJ127">
        <v>3.07</v>
      </c>
      <c r="BL127">
        <v>127</v>
      </c>
      <c r="BM127">
        <v>495</v>
      </c>
      <c r="BN127">
        <v>5.9969999999999999</v>
      </c>
      <c r="BO127" s="10">
        <v>9.5359999999999996</v>
      </c>
      <c r="BP127">
        <v>190200</v>
      </c>
      <c r="CB127">
        <v>17</v>
      </c>
      <c r="CC127">
        <v>11664</v>
      </c>
      <c r="CD127">
        <v>2118</v>
      </c>
      <c r="CE127">
        <v>2917</v>
      </c>
      <c r="CF127">
        <v>3124.5</v>
      </c>
      <c r="CG127">
        <v>3050</v>
      </c>
      <c r="CH127">
        <v>5608</v>
      </c>
      <c r="CI127">
        <v>14700</v>
      </c>
      <c r="CK127">
        <v>0</v>
      </c>
      <c r="CL127">
        <v>30000</v>
      </c>
      <c r="CM127">
        <v>0</v>
      </c>
      <c r="CN127">
        <v>36000</v>
      </c>
      <c r="CO127">
        <v>0</v>
      </c>
      <c r="CP127">
        <v>27000</v>
      </c>
      <c r="CQ127">
        <v>0</v>
      </c>
      <c r="CR127">
        <v>65000</v>
      </c>
      <c r="CS127" s="5">
        <v>0</v>
      </c>
      <c r="CU127" s="5">
        <v>0</v>
      </c>
      <c r="CW127" s="5">
        <v>0</v>
      </c>
      <c r="CY127">
        <v>24.5</v>
      </c>
      <c r="CZ127">
        <v>19</v>
      </c>
      <c r="DA127">
        <v>25.2</v>
      </c>
      <c r="DB127">
        <v>10972</v>
      </c>
      <c r="DC127">
        <v>58.408999999999999</v>
      </c>
      <c r="DD127">
        <v>42.088000000000001</v>
      </c>
      <c r="DE127">
        <v>4.0000000000000001E-3</v>
      </c>
      <c r="DF127">
        <v>10490</v>
      </c>
      <c r="DH127">
        <v>172</v>
      </c>
      <c r="DI127">
        <v>0</v>
      </c>
      <c r="DJ127">
        <v>21.3</v>
      </c>
      <c r="DK127">
        <v>36</v>
      </c>
      <c r="DN127" s="23"/>
      <c r="DO127">
        <v>235</v>
      </c>
      <c r="DP127" t="s">
        <v>286</v>
      </c>
    </row>
    <row r="128" spans="1:128" x14ac:dyDescent="0.3">
      <c r="A128" s="2">
        <v>41667</v>
      </c>
      <c r="B128" s="21">
        <f t="shared" si="6"/>
        <v>119</v>
      </c>
      <c r="C128" s="36"/>
      <c r="D128" s="71">
        <v>0.32</v>
      </c>
      <c r="E128" s="74">
        <v>139700</v>
      </c>
      <c r="F128" s="10">
        <v>54176</v>
      </c>
      <c r="G128" s="10">
        <f t="shared" si="7"/>
        <v>85524</v>
      </c>
      <c r="U128" s="74">
        <v>4455.6000000000004</v>
      </c>
      <c r="AI128" s="80">
        <v>0.81299999999999994</v>
      </c>
      <c r="AJ128" s="10">
        <v>0.73624999999999996</v>
      </c>
      <c r="AK128" s="10">
        <v>4.7095833333333328</v>
      </c>
      <c r="AL128">
        <v>2157</v>
      </c>
      <c r="AP128">
        <v>125934</v>
      </c>
      <c r="AQ128" s="10">
        <f t="shared" si="8"/>
        <v>141998.6</v>
      </c>
      <c r="AX128" s="10">
        <v>3.536</v>
      </c>
      <c r="AZ128" s="10">
        <v>51</v>
      </c>
      <c r="BA128" s="10">
        <v>9.7170000000000005</v>
      </c>
      <c r="BB128">
        <v>3.5859999999999999</v>
      </c>
      <c r="BD128">
        <v>100</v>
      </c>
      <c r="BE128">
        <v>11.571999999999999</v>
      </c>
      <c r="BF128" s="10">
        <v>3.1259999999999999</v>
      </c>
      <c r="BH128" s="10">
        <v>131</v>
      </c>
      <c r="BI128" s="10">
        <v>10.128</v>
      </c>
      <c r="BJ128">
        <v>3.8730000000000002</v>
      </c>
      <c r="BM128">
        <v>473</v>
      </c>
      <c r="BN128">
        <v>6.2610000000000001</v>
      </c>
      <c r="BO128" s="10">
        <v>9.7289999999999992</v>
      </c>
      <c r="BP128">
        <v>85524</v>
      </c>
      <c r="CB128">
        <v>11</v>
      </c>
      <c r="CC128">
        <v>10621</v>
      </c>
      <c r="CD128">
        <v>1064.6880000000001</v>
      </c>
      <c r="CE128">
        <v>2452</v>
      </c>
      <c r="CF128">
        <v>2647.5</v>
      </c>
      <c r="CG128">
        <v>2368</v>
      </c>
      <c r="CH128">
        <v>4388</v>
      </c>
      <c r="CI128">
        <v>11856</v>
      </c>
      <c r="CK128">
        <v>0</v>
      </c>
      <c r="CL128">
        <v>30000</v>
      </c>
      <c r="CM128">
        <v>0</v>
      </c>
      <c r="CN128">
        <v>36000</v>
      </c>
      <c r="CO128">
        <v>0</v>
      </c>
      <c r="CP128">
        <v>27000</v>
      </c>
      <c r="CQ128">
        <v>177</v>
      </c>
      <c r="CR128">
        <v>65000</v>
      </c>
      <c r="CS128" s="5">
        <v>0</v>
      </c>
      <c r="CU128" s="5">
        <v>0</v>
      </c>
      <c r="CW128" s="5">
        <v>0</v>
      </c>
      <c r="CY128">
        <v>31.2</v>
      </c>
      <c r="CZ128">
        <v>19.5</v>
      </c>
      <c r="DA128">
        <v>28</v>
      </c>
      <c r="DB128">
        <v>10939</v>
      </c>
      <c r="DC128">
        <v>58.978999999999999</v>
      </c>
      <c r="DD128">
        <v>41.286999999999999</v>
      </c>
      <c r="DE128">
        <v>4.0000000000000001E-3</v>
      </c>
      <c r="DF128">
        <v>9195</v>
      </c>
      <c r="DH128">
        <v>237.2</v>
      </c>
      <c r="DI128">
        <v>130940</v>
      </c>
      <c r="DJ128">
        <v>21.3</v>
      </c>
      <c r="DK128">
        <v>36</v>
      </c>
      <c r="DN128" s="23"/>
      <c r="DO128">
        <v>346</v>
      </c>
      <c r="DP128" t="s">
        <v>286</v>
      </c>
    </row>
    <row r="129" spans="1:128" x14ac:dyDescent="0.3">
      <c r="A129" s="2">
        <v>41668</v>
      </c>
      <c r="B129" s="21">
        <f t="shared" si="6"/>
        <v>120</v>
      </c>
      <c r="C129" s="36"/>
      <c r="D129" s="71">
        <v>0.44</v>
      </c>
      <c r="E129" s="74">
        <v>131776</v>
      </c>
      <c r="F129" s="10">
        <v>64724</v>
      </c>
      <c r="G129" s="10">
        <f t="shared" si="7"/>
        <v>67052</v>
      </c>
      <c r="U129" s="74">
        <v>4451.3500000000004</v>
      </c>
      <c r="AI129" s="80">
        <v>0.75700000000000001</v>
      </c>
      <c r="AJ129" s="10">
        <v>0.38375000000000004</v>
      </c>
      <c r="AK129" s="10">
        <v>2.2441666666666671</v>
      </c>
      <c r="AL129">
        <v>2158</v>
      </c>
      <c r="AP129">
        <v>66000</v>
      </c>
      <c r="AQ129" s="10">
        <f t="shared" si="8"/>
        <v>134069.35</v>
      </c>
      <c r="AX129" s="10">
        <v>3.6269999999999998</v>
      </c>
      <c r="AZ129" s="10">
        <v>70</v>
      </c>
      <c r="BA129" s="10">
        <v>8.9280000000000008</v>
      </c>
      <c r="BB129">
        <v>3.64</v>
      </c>
      <c r="BD129">
        <v>121</v>
      </c>
      <c r="BE129">
        <v>11.196999999999999</v>
      </c>
      <c r="BF129" s="10">
        <v>3.0539999999999998</v>
      </c>
      <c r="BH129" s="10">
        <v>131.21899999999999</v>
      </c>
      <c r="BI129" s="10">
        <v>9.4740000000000002</v>
      </c>
      <c r="BJ129">
        <v>3.8370000000000002</v>
      </c>
      <c r="BM129">
        <v>504</v>
      </c>
      <c r="BN129">
        <v>5.7939999999999996</v>
      </c>
      <c r="BO129" s="10">
        <v>10.452999999999999</v>
      </c>
      <c r="BP129">
        <v>67052</v>
      </c>
      <c r="CB129">
        <v>10</v>
      </c>
      <c r="CC129">
        <v>7354</v>
      </c>
      <c r="CD129">
        <v>2045.3130000000001</v>
      </c>
      <c r="CE129">
        <v>2608.5</v>
      </c>
      <c r="CF129">
        <v>2738</v>
      </c>
      <c r="CG129">
        <v>2530</v>
      </c>
      <c r="CH129">
        <v>4840</v>
      </c>
      <c r="CI129">
        <v>12717</v>
      </c>
      <c r="CK129">
        <v>0</v>
      </c>
      <c r="CL129">
        <v>30000</v>
      </c>
      <c r="CM129">
        <v>0</v>
      </c>
      <c r="CN129">
        <v>36000</v>
      </c>
      <c r="CO129">
        <v>72</v>
      </c>
      <c r="CP129">
        <v>27000</v>
      </c>
      <c r="CQ129">
        <v>70</v>
      </c>
      <c r="CR129">
        <v>65000</v>
      </c>
      <c r="CS129" s="5">
        <v>0</v>
      </c>
      <c r="CU129" s="5">
        <v>0</v>
      </c>
      <c r="CW129" s="5">
        <v>0</v>
      </c>
      <c r="CY129">
        <v>27.3</v>
      </c>
      <c r="CZ129">
        <v>19.5</v>
      </c>
      <c r="DA129">
        <v>28</v>
      </c>
      <c r="DB129">
        <v>11594</v>
      </c>
      <c r="DC129">
        <v>59.972000000000001</v>
      </c>
      <c r="DD129">
        <v>40.530999999999999</v>
      </c>
      <c r="DE129">
        <v>4.0000000000000001E-3</v>
      </c>
      <c r="DF129">
        <v>10220</v>
      </c>
      <c r="DH129">
        <v>229.6</v>
      </c>
      <c r="DI129">
        <v>63100</v>
      </c>
      <c r="DJ129">
        <v>21.5</v>
      </c>
      <c r="DK129">
        <v>37</v>
      </c>
      <c r="DN129" s="23"/>
      <c r="DO129">
        <v>355</v>
      </c>
      <c r="DP129" t="s">
        <v>286</v>
      </c>
    </row>
    <row r="130" spans="1:128" x14ac:dyDescent="0.3">
      <c r="A130" s="2">
        <v>41669</v>
      </c>
      <c r="B130" s="21">
        <f t="shared" si="6"/>
        <v>121</v>
      </c>
      <c r="C130" s="36"/>
      <c r="D130" s="71">
        <v>0.01</v>
      </c>
      <c r="E130" s="74">
        <v>129282</v>
      </c>
      <c r="F130" s="10">
        <v>67934</v>
      </c>
      <c r="G130" s="10">
        <f t="shared" si="7"/>
        <v>61348</v>
      </c>
      <c r="U130" s="74">
        <v>4281.75</v>
      </c>
      <c r="AF130" s="80">
        <v>2282</v>
      </c>
      <c r="AG130" s="80">
        <v>20.5</v>
      </c>
      <c r="AH130" s="80">
        <v>79</v>
      </c>
      <c r="AI130" s="80">
        <v>0.59599999999999997</v>
      </c>
      <c r="AJ130" s="10">
        <v>0.32208333333333339</v>
      </c>
      <c r="AK130" s="10">
        <v>1.6704166666666664</v>
      </c>
      <c r="AL130">
        <v>1990</v>
      </c>
      <c r="AP130">
        <v>66566</v>
      </c>
      <c r="AQ130" s="10">
        <f t="shared" si="8"/>
        <v>131573.75</v>
      </c>
      <c r="AX130" s="10">
        <v>3.69</v>
      </c>
      <c r="AZ130" s="10">
        <v>91</v>
      </c>
      <c r="BA130" s="10">
        <v>8.5579999999999998</v>
      </c>
      <c r="BB130">
        <v>3.69</v>
      </c>
      <c r="BD130">
        <v>131</v>
      </c>
      <c r="BE130">
        <v>10.721</v>
      </c>
      <c r="BF130" s="10">
        <v>3.14</v>
      </c>
      <c r="BH130" s="10">
        <v>121.238</v>
      </c>
      <c r="BI130" s="10">
        <v>8.9359999999999999</v>
      </c>
      <c r="BJ130">
        <v>3.85</v>
      </c>
      <c r="BL130">
        <v>109</v>
      </c>
      <c r="BM130">
        <v>504</v>
      </c>
      <c r="BN130">
        <v>5.4749999999999996</v>
      </c>
      <c r="BO130" s="10">
        <v>10.662000000000001</v>
      </c>
      <c r="BP130">
        <v>61348</v>
      </c>
      <c r="CB130">
        <v>10</v>
      </c>
      <c r="CC130">
        <v>6191</v>
      </c>
      <c r="CD130">
        <v>2060</v>
      </c>
      <c r="CE130">
        <v>2585.5</v>
      </c>
      <c r="CF130">
        <v>2730</v>
      </c>
      <c r="CG130">
        <v>2482</v>
      </c>
      <c r="CH130">
        <v>4816</v>
      </c>
      <c r="CI130">
        <v>12614</v>
      </c>
      <c r="CK130">
        <v>0</v>
      </c>
      <c r="CL130">
        <v>30000</v>
      </c>
      <c r="CM130">
        <v>0</v>
      </c>
      <c r="CN130">
        <v>36000</v>
      </c>
      <c r="CO130">
        <v>72</v>
      </c>
      <c r="CP130">
        <v>27000</v>
      </c>
      <c r="CQ130">
        <v>70</v>
      </c>
      <c r="CR130">
        <v>65000</v>
      </c>
      <c r="CS130" s="5">
        <v>0</v>
      </c>
      <c r="CU130" s="5">
        <v>0</v>
      </c>
      <c r="CW130" s="5">
        <v>0</v>
      </c>
      <c r="CY130">
        <v>27.3</v>
      </c>
      <c r="CZ130">
        <v>15.6</v>
      </c>
      <c r="DA130">
        <v>31.5</v>
      </c>
      <c r="DB130">
        <v>12400</v>
      </c>
      <c r="DC130">
        <v>58.423999999999999</v>
      </c>
      <c r="DD130">
        <v>42.292000000000002</v>
      </c>
      <c r="DE130">
        <v>4.0000000000000001E-3</v>
      </c>
      <c r="DF130">
        <v>11150</v>
      </c>
      <c r="DH130">
        <v>206.8</v>
      </c>
      <c r="DI130">
        <v>63680</v>
      </c>
      <c r="DJ130">
        <v>21.5</v>
      </c>
      <c r="DK130">
        <v>37</v>
      </c>
      <c r="DN130" s="23"/>
      <c r="DO130">
        <v>397</v>
      </c>
      <c r="DP130" t="s">
        <v>286</v>
      </c>
    </row>
    <row r="131" spans="1:128" x14ac:dyDescent="0.3">
      <c r="A131" s="2">
        <v>41670</v>
      </c>
      <c r="B131" s="21">
        <f t="shared" si="6"/>
        <v>122</v>
      </c>
      <c r="C131" s="36"/>
      <c r="D131" s="71">
        <v>0</v>
      </c>
      <c r="E131" s="74">
        <v>129342</v>
      </c>
      <c r="F131" s="10">
        <v>72466</v>
      </c>
      <c r="G131" s="10">
        <f t="shared" si="7"/>
        <v>56876</v>
      </c>
      <c r="N131">
        <v>3599</v>
      </c>
      <c r="U131" s="74">
        <v>4100.8999999999996</v>
      </c>
      <c r="AI131" s="80">
        <v>0.27200000000000002</v>
      </c>
      <c r="AJ131" s="10">
        <v>0.29333333333333328</v>
      </c>
      <c r="AK131" s="10">
        <v>1.5241666666666669</v>
      </c>
      <c r="AL131">
        <v>1784</v>
      </c>
      <c r="AM131" s="80">
        <v>8100</v>
      </c>
      <c r="AO131" s="80">
        <v>21</v>
      </c>
      <c r="AP131">
        <v>69384</v>
      </c>
      <c r="AQ131" s="10">
        <f t="shared" si="8"/>
        <v>131658.9</v>
      </c>
      <c r="AX131" s="10">
        <v>3.476</v>
      </c>
      <c r="AZ131" s="10">
        <v>108.5</v>
      </c>
      <c r="BA131" s="10">
        <v>8.4149999999999991</v>
      </c>
      <c r="BB131">
        <v>3.484</v>
      </c>
      <c r="BD131">
        <v>141</v>
      </c>
      <c r="BE131">
        <v>10.51</v>
      </c>
      <c r="BF131" s="10">
        <v>2.8340000000000001</v>
      </c>
      <c r="BH131" s="10">
        <v>100.254</v>
      </c>
      <c r="BI131" s="10">
        <v>8.6270000000000007</v>
      </c>
      <c r="BJ131">
        <v>3.6230000000000002</v>
      </c>
      <c r="BM131">
        <v>524</v>
      </c>
      <c r="BN131">
        <v>5.2450000000000001</v>
      </c>
      <c r="BO131" s="10">
        <v>10.952</v>
      </c>
      <c r="BP131">
        <v>56876</v>
      </c>
      <c r="CB131">
        <v>9</v>
      </c>
      <c r="CC131">
        <v>7867.5</v>
      </c>
      <c r="CD131">
        <v>2129</v>
      </c>
      <c r="CE131">
        <v>2622.5</v>
      </c>
      <c r="CF131">
        <v>2668</v>
      </c>
      <c r="CG131">
        <v>2406</v>
      </c>
      <c r="CH131">
        <v>4684</v>
      </c>
      <c r="CI131">
        <v>12381</v>
      </c>
      <c r="CK131">
        <v>0</v>
      </c>
      <c r="CL131">
        <v>30000</v>
      </c>
      <c r="CM131">
        <v>0</v>
      </c>
      <c r="CN131">
        <v>36000</v>
      </c>
      <c r="CO131">
        <v>72</v>
      </c>
      <c r="CP131">
        <v>27000</v>
      </c>
      <c r="CQ131">
        <v>71</v>
      </c>
      <c r="CR131">
        <v>65000</v>
      </c>
      <c r="CS131" s="5">
        <v>0</v>
      </c>
      <c r="CU131" s="5">
        <v>0</v>
      </c>
      <c r="CW131" s="5">
        <v>0</v>
      </c>
      <c r="CY131">
        <v>29.6</v>
      </c>
      <c r="CZ131">
        <v>10.5</v>
      </c>
      <c r="DA131">
        <v>28.8</v>
      </c>
      <c r="DB131">
        <v>11162</v>
      </c>
      <c r="DC131">
        <v>59.222000000000001</v>
      </c>
      <c r="DD131">
        <v>41.804000000000002</v>
      </c>
      <c r="DE131">
        <v>4.0000000000000001E-3</v>
      </c>
      <c r="DF131">
        <v>10700</v>
      </c>
      <c r="DH131">
        <v>218.7</v>
      </c>
      <c r="DI131">
        <v>107080</v>
      </c>
      <c r="DJ131">
        <v>21.5</v>
      </c>
      <c r="DK131">
        <v>37</v>
      </c>
      <c r="DN131" s="23"/>
      <c r="DO131">
        <v>411</v>
      </c>
      <c r="DP131" t="s">
        <v>286</v>
      </c>
    </row>
    <row r="132" spans="1:128" x14ac:dyDescent="0.3">
      <c r="A132" s="2">
        <v>41671</v>
      </c>
      <c r="B132" s="21">
        <f t="shared" si="6"/>
        <v>123</v>
      </c>
      <c r="C132" s="36"/>
      <c r="D132" s="71">
        <v>10.86</v>
      </c>
      <c r="E132" s="74">
        <v>154800</v>
      </c>
      <c r="F132" s="10">
        <v>69600</v>
      </c>
      <c r="G132" s="10">
        <f t="shared" si="7"/>
        <v>85200</v>
      </c>
      <c r="H132" s="80">
        <v>460</v>
      </c>
      <c r="J132" s="80">
        <v>46.2</v>
      </c>
      <c r="K132" s="80">
        <v>6.73</v>
      </c>
      <c r="M132" s="10">
        <v>381042</v>
      </c>
      <c r="P132" s="80">
        <v>270</v>
      </c>
      <c r="R132" s="80">
        <v>26.8</v>
      </c>
      <c r="S132" s="80">
        <v>4.2</v>
      </c>
      <c r="U132" s="74">
        <v>3543.65</v>
      </c>
      <c r="AI132" s="80">
        <v>0.23100000000000001</v>
      </c>
      <c r="AJ132" s="10">
        <v>0.27166666666666667</v>
      </c>
      <c r="AK132" s="10">
        <v>1.4237500000000001</v>
      </c>
      <c r="AL132">
        <v>1353</v>
      </c>
      <c r="AP132">
        <v>78250</v>
      </c>
      <c r="AQ132" s="10">
        <f t="shared" si="8"/>
        <v>156990.65</v>
      </c>
      <c r="AR132" s="80">
        <v>130</v>
      </c>
      <c r="AT132" s="80">
        <v>23.2</v>
      </c>
      <c r="AU132" s="80">
        <v>2.7</v>
      </c>
      <c r="AV132" s="80">
        <v>41</v>
      </c>
      <c r="AX132" s="10">
        <v>3.2709999999999999</v>
      </c>
      <c r="AZ132" s="10">
        <v>111.5</v>
      </c>
      <c r="BA132" s="10">
        <v>8.6539999999999999</v>
      </c>
      <c r="BB132">
        <v>3.34</v>
      </c>
      <c r="BD132">
        <v>151</v>
      </c>
      <c r="BE132">
        <v>10.718</v>
      </c>
      <c r="BF132" s="10">
        <v>2.7229999999999999</v>
      </c>
      <c r="BH132" s="10">
        <v>79.289000000000001</v>
      </c>
      <c r="BI132" s="10">
        <v>9.0350000000000001</v>
      </c>
      <c r="BJ132">
        <v>3.4780000000000002</v>
      </c>
      <c r="BM132">
        <v>504</v>
      </c>
      <c r="BN132">
        <v>5.4640000000000004</v>
      </c>
      <c r="BO132" s="10">
        <v>11.206</v>
      </c>
      <c r="BP132">
        <v>85200</v>
      </c>
      <c r="BR132">
        <v>38</v>
      </c>
      <c r="BS132">
        <v>4</v>
      </c>
      <c r="BT132">
        <v>3</v>
      </c>
      <c r="BU132">
        <v>1</v>
      </c>
      <c r="BV132">
        <v>0.68</v>
      </c>
      <c r="BW132">
        <v>7.9</v>
      </c>
      <c r="BX132">
        <v>1</v>
      </c>
      <c r="BY132">
        <v>1.1000000000000001</v>
      </c>
      <c r="BZ132">
        <v>5.9</v>
      </c>
      <c r="CA132">
        <v>0.49</v>
      </c>
      <c r="CB132">
        <v>11.461</v>
      </c>
      <c r="CC132">
        <v>11520.5</v>
      </c>
      <c r="CD132">
        <v>2341</v>
      </c>
      <c r="CE132">
        <v>2803.5</v>
      </c>
      <c r="CF132">
        <v>3036</v>
      </c>
      <c r="CG132">
        <v>2830</v>
      </c>
      <c r="CH132">
        <v>5436</v>
      </c>
      <c r="CI132">
        <v>14106</v>
      </c>
      <c r="CK132">
        <v>0</v>
      </c>
      <c r="CL132">
        <v>27000</v>
      </c>
      <c r="CM132">
        <v>0</v>
      </c>
      <c r="CN132">
        <v>34000</v>
      </c>
      <c r="CO132">
        <v>72</v>
      </c>
      <c r="CP132">
        <v>29000</v>
      </c>
      <c r="CQ132">
        <v>141</v>
      </c>
      <c r="CR132">
        <v>51000</v>
      </c>
      <c r="CS132" s="5">
        <v>0</v>
      </c>
      <c r="CU132" s="5">
        <v>0</v>
      </c>
      <c r="CW132" s="5">
        <v>0</v>
      </c>
      <c r="CY132">
        <v>22.2</v>
      </c>
      <c r="CZ132">
        <v>3.5</v>
      </c>
      <c r="DA132">
        <v>32.4</v>
      </c>
      <c r="DB132">
        <v>10121</v>
      </c>
      <c r="DC132">
        <v>60.234999999999999</v>
      </c>
      <c r="DD132">
        <v>40.533999999999999</v>
      </c>
      <c r="DE132">
        <v>4.0000000000000001E-3</v>
      </c>
      <c r="DF132">
        <v>9095</v>
      </c>
      <c r="DH132">
        <v>195.4</v>
      </c>
      <c r="DI132">
        <v>129040</v>
      </c>
      <c r="DJ132">
        <v>21.5</v>
      </c>
      <c r="DK132">
        <v>37</v>
      </c>
      <c r="DN132" s="23"/>
      <c r="DO132">
        <v>216</v>
      </c>
      <c r="DP132" t="s">
        <v>286</v>
      </c>
      <c r="DQ132" s="80">
        <v>460</v>
      </c>
      <c r="DR132" s="80">
        <v>220</v>
      </c>
      <c r="DS132" s="80">
        <v>160</v>
      </c>
      <c r="DT132" s="80">
        <v>6.4</v>
      </c>
      <c r="DU132" s="80">
        <v>51</v>
      </c>
      <c r="DV132" s="80">
        <v>52</v>
      </c>
      <c r="DW132" s="80">
        <v>73</v>
      </c>
      <c r="DX132" s="80">
        <v>570</v>
      </c>
    </row>
    <row r="133" spans="1:128" x14ac:dyDescent="0.3">
      <c r="A133" s="2">
        <v>41672</v>
      </c>
      <c r="B133" s="21">
        <f t="shared" si="6"/>
        <v>124</v>
      </c>
      <c r="C133" s="36"/>
      <c r="D133" s="71">
        <v>0.41</v>
      </c>
      <c r="E133" s="74">
        <v>204000</v>
      </c>
      <c r="F133" s="10">
        <v>38900</v>
      </c>
      <c r="G133" s="10">
        <f t="shared" si="7"/>
        <v>165100</v>
      </c>
      <c r="U133" s="74">
        <v>2580.5</v>
      </c>
      <c r="AI133" s="80">
        <v>0.255</v>
      </c>
      <c r="AJ133" s="10">
        <v>1.4158333333333335</v>
      </c>
      <c r="AK133" s="10">
        <v>2.3062499999999999</v>
      </c>
      <c r="AL133">
        <v>1206</v>
      </c>
      <c r="AP133">
        <v>69300</v>
      </c>
      <c r="AQ133" s="10">
        <f t="shared" si="8"/>
        <v>205374.5</v>
      </c>
      <c r="AX133" s="10">
        <v>3.1160000000000001</v>
      </c>
      <c r="AZ133" s="10">
        <v>110</v>
      </c>
      <c r="BA133" s="10">
        <v>9.3010000000000002</v>
      </c>
      <c r="BB133">
        <v>3.2080000000000002</v>
      </c>
      <c r="BD133">
        <v>149.83000000000001</v>
      </c>
      <c r="BE133">
        <v>9.7159999999999993</v>
      </c>
      <c r="BF133" s="10">
        <v>2.827</v>
      </c>
      <c r="BH133" s="10">
        <v>66</v>
      </c>
      <c r="BI133" s="10">
        <v>9.3360000000000003</v>
      </c>
      <c r="BJ133">
        <v>3.3540000000000001</v>
      </c>
      <c r="BM133">
        <v>482</v>
      </c>
      <c r="BN133">
        <v>5.8319999999999999</v>
      </c>
      <c r="BO133" s="10">
        <v>9.9529999999999994</v>
      </c>
      <c r="BP133">
        <v>165100</v>
      </c>
      <c r="CB133">
        <v>14.539</v>
      </c>
      <c r="CC133">
        <v>14337</v>
      </c>
      <c r="CD133">
        <v>2165</v>
      </c>
      <c r="CE133">
        <v>3148</v>
      </c>
      <c r="CF133">
        <v>3120</v>
      </c>
      <c r="CG133">
        <v>3082</v>
      </c>
      <c r="CH133">
        <v>5752</v>
      </c>
      <c r="CI133">
        <v>15102</v>
      </c>
      <c r="CK133">
        <v>0</v>
      </c>
      <c r="CL133">
        <v>27000</v>
      </c>
      <c r="CM133">
        <v>0</v>
      </c>
      <c r="CN133">
        <v>34000</v>
      </c>
      <c r="CO133">
        <v>0</v>
      </c>
      <c r="CP133">
        <v>29000</v>
      </c>
      <c r="CQ133">
        <v>0</v>
      </c>
      <c r="CR133">
        <v>51000</v>
      </c>
      <c r="CS133" s="5">
        <v>0</v>
      </c>
      <c r="CU133" s="5">
        <v>0</v>
      </c>
      <c r="CW133" s="5">
        <v>0</v>
      </c>
      <c r="CY133">
        <v>22.2</v>
      </c>
      <c r="CZ133">
        <v>0</v>
      </c>
      <c r="DA133">
        <v>28.8</v>
      </c>
      <c r="DB133">
        <v>9714</v>
      </c>
      <c r="DC133">
        <v>60.537999999999997</v>
      </c>
      <c r="DD133">
        <v>40.179000000000002</v>
      </c>
      <c r="DE133">
        <v>4.0000000000000001E-3</v>
      </c>
      <c r="DF133">
        <v>8475</v>
      </c>
      <c r="DH133">
        <v>48.1</v>
      </c>
      <c r="DI133">
        <v>34260</v>
      </c>
      <c r="DJ133">
        <v>21.5</v>
      </c>
      <c r="DK133">
        <v>37</v>
      </c>
      <c r="DN133" s="23"/>
      <c r="DO133">
        <v>178</v>
      </c>
      <c r="DP133" t="s">
        <v>286</v>
      </c>
    </row>
    <row r="134" spans="1:128" x14ac:dyDescent="0.3">
      <c r="A134" s="2">
        <v>41673</v>
      </c>
      <c r="B134" s="21">
        <f t="shared" si="6"/>
        <v>125</v>
      </c>
      <c r="C134" s="36"/>
      <c r="D134" s="71">
        <v>0</v>
      </c>
      <c r="E134" s="74">
        <v>135100</v>
      </c>
      <c r="F134" s="10">
        <v>73500</v>
      </c>
      <c r="G134" s="10">
        <f t="shared" si="7"/>
        <v>61600</v>
      </c>
      <c r="U134" s="74">
        <v>3589.05</v>
      </c>
      <c r="AF134" s="80">
        <v>2506</v>
      </c>
      <c r="AG134" s="80">
        <v>19.100000000000001</v>
      </c>
      <c r="AH134" s="80">
        <v>76</v>
      </c>
      <c r="AI134" s="80">
        <v>6.6000000000000003E-2</v>
      </c>
      <c r="AJ134" s="10">
        <v>0.29458333333333336</v>
      </c>
      <c r="AK134" s="10">
        <v>1.6508333333333336</v>
      </c>
      <c r="AL134">
        <v>1499</v>
      </c>
      <c r="AP134">
        <v>79234</v>
      </c>
      <c r="AQ134" s="10">
        <f t="shared" si="8"/>
        <v>137190.04999999999</v>
      </c>
      <c r="AX134" s="10">
        <v>3.82</v>
      </c>
      <c r="AZ134" s="10">
        <v>110</v>
      </c>
      <c r="BA134" s="10">
        <v>9.1259999999999994</v>
      </c>
      <c r="BB134">
        <v>3.54</v>
      </c>
      <c r="BD134">
        <v>151.244</v>
      </c>
      <c r="BE134">
        <v>10.811</v>
      </c>
      <c r="BF134" s="10">
        <v>3.23</v>
      </c>
      <c r="BH134" s="10">
        <v>61</v>
      </c>
      <c r="BI134" s="10">
        <v>10.552</v>
      </c>
      <c r="BJ134">
        <v>3.78</v>
      </c>
      <c r="BL134">
        <v>63</v>
      </c>
      <c r="BM134">
        <v>483</v>
      </c>
      <c r="BN134">
        <v>5.7190000000000003</v>
      </c>
      <c r="BO134" s="10">
        <v>10.311999999999999</v>
      </c>
      <c r="BP134">
        <v>61600</v>
      </c>
      <c r="CB134">
        <v>10</v>
      </c>
      <c r="CC134">
        <v>11744</v>
      </c>
      <c r="CD134">
        <v>2392</v>
      </c>
      <c r="CE134">
        <v>2728</v>
      </c>
      <c r="CF134">
        <v>2765</v>
      </c>
      <c r="CG134">
        <v>2548</v>
      </c>
      <c r="CH134">
        <v>4866</v>
      </c>
      <c r="CI134">
        <v>12907</v>
      </c>
      <c r="CK134">
        <v>36</v>
      </c>
      <c r="CL134">
        <v>27000</v>
      </c>
      <c r="CM134">
        <v>0</v>
      </c>
      <c r="CN134">
        <v>34000</v>
      </c>
      <c r="CO134">
        <v>0</v>
      </c>
      <c r="CP134">
        <v>29000</v>
      </c>
      <c r="CQ134">
        <v>0</v>
      </c>
      <c r="CR134">
        <v>51000</v>
      </c>
      <c r="CS134" s="5">
        <v>0</v>
      </c>
      <c r="CU134" s="5">
        <v>0</v>
      </c>
      <c r="CW134" s="5">
        <v>0</v>
      </c>
      <c r="CY134">
        <v>25.9</v>
      </c>
      <c r="CZ134">
        <v>3.5</v>
      </c>
      <c r="DA134">
        <v>28.8</v>
      </c>
      <c r="DB134">
        <v>9825</v>
      </c>
      <c r="DC134">
        <v>61.274000000000001</v>
      </c>
      <c r="DD134">
        <v>40.258000000000003</v>
      </c>
      <c r="DE134">
        <v>4.0000000000000001E-3</v>
      </c>
      <c r="DF134">
        <v>8140</v>
      </c>
      <c r="DH134">
        <v>201.7</v>
      </c>
      <c r="DI134">
        <v>0</v>
      </c>
      <c r="DJ134">
        <v>21.5</v>
      </c>
      <c r="DK134">
        <v>37</v>
      </c>
      <c r="DN134" s="23"/>
      <c r="DO134">
        <v>153</v>
      </c>
      <c r="DP134" t="s">
        <v>286</v>
      </c>
    </row>
    <row r="135" spans="1:128" x14ac:dyDescent="0.3">
      <c r="A135" s="2">
        <v>41674</v>
      </c>
      <c r="B135" s="21">
        <f t="shared" si="6"/>
        <v>126</v>
      </c>
      <c r="C135" s="36"/>
      <c r="D135" s="71">
        <v>0.01</v>
      </c>
      <c r="E135" s="74">
        <v>148124</v>
      </c>
      <c r="F135" s="10">
        <v>85900</v>
      </c>
      <c r="G135" s="10">
        <f t="shared" si="7"/>
        <v>62224</v>
      </c>
      <c r="U135" s="74">
        <v>3687.65</v>
      </c>
      <c r="AI135" s="80">
        <v>0.223</v>
      </c>
      <c r="AJ135" s="10">
        <v>0.31250000000000006</v>
      </c>
      <c r="AK135" s="10">
        <v>1.5450000000000002</v>
      </c>
      <c r="AL135">
        <v>1557</v>
      </c>
      <c r="AP135">
        <v>83032</v>
      </c>
      <c r="AQ135" s="10">
        <f t="shared" si="8"/>
        <v>150254.65</v>
      </c>
      <c r="AX135" s="10">
        <v>3.3519999999999999</v>
      </c>
      <c r="AZ135" s="10">
        <v>121</v>
      </c>
      <c r="BA135" s="10">
        <v>9.4380000000000006</v>
      </c>
      <c r="BB135">
        <v>3.6110000000000002</v>
      </c>
      <c r="BD135">
        <v>161.24199999999999</v>
      </c>
      <c r="BE135">
        <v>9.43</v>
      </c>
      <c r="BF135" s="10">
        <v>3.0249999999999999</v>
      </c>
      <c r="BH135" s="10">
        <v>60</v>
      </c>
      <c r="BI135" s="10">
        <v>11.061</v>
      </c>
      <c r="BJ135">
        <v>3.6240000000000001</v>
      </c>
      <c r="BM135">
        <v>494</v>
      </c>
      <c r="BN135">
        <v>5.9169999999999998</v>
      </c>
      <c r="BO135" s="10">
        <v>10.878</v>
      </c>
      <c r="BP135">
        <v>62224</v>
      </c>
      <c r="CB135">
        <v>9</v>
      </c>
      <c r="CC135">
        <v>11146</v>
      </c>
      <c r="CD135">
        <v>2441</v>
      </c>
      <c r="CE135">
        <v>3175</v>
      </c>
      <c r="CF135">
        <v>2365.5</v>
      </c>
      <c r="CG135">
        <v>3200</v>
      </c>
      <c r="CH135">
        <v>5546</v>
      </c>
      <c r="CI135">
        <v>14287</v>
      </c>
      <c r="CK135">
        <v>118</v>
      </c>
      <c r="CL135">
        <v>27000</v>
      </c>
      <c r="CM135">
        <v>0</v>
      </c>
      <c r="CN135">
        <v>34000</v>
      </c>
      <c r="CO135">
        <v>0</v>
      </c>
      <c r="CP135">
        <v>29000</v>
      </c>
      <c r="CQ135">
        <v>107</v>
      </c>
      <c r="CR135">
        <v>51000</v>
      </c>
      <c r="CS135" s="5">
        <v>0</v>
      </c>
      <c r="CU135" s="5">
        <v>0</v>
      </c>
      <c r="CW135" s="5">
        <v>0</v>
      </c>
      <c r="CY135">
        <v>27.3</v>
      </c>
      <c r="CZ135">
        <v>3.8</v>
      </c>
      <c r="DA135">
        <v>32.4</v>
      </c>
      <c r="DB135">
        <v>10002</v>
      </c>
      <c r="DC135">
        <v>59.631</v>
      </c>
      <c r="DD135">
        <v>41.308</v>
      </c>
      <c r="DE135">
        <v>5.0000000000000001E-3</v>
      </c>
      <c r="DF135">
        <v>9270</v>
      </c>
      <c r="DH135">
        <v>216</v>
      </c>
      <c r="DI135">
        <v>67300</v>
      </c>
      <c r="DJ135">
        <v>21.5</v>
      </c>
      <c r="DK135">
        <v>37</v>
      </c>
      <c r="DN135" s="23"/>
      <c r="DO135">
        <v>319</v>
      </c>
      <c r="DP135" t="s">
        <v>286</v>
      </c>
    </row>
    <row r="136" spans="1:128" x14ac:dyDescent="0.3">
      <c r="A136" s="2">
        <v>41675</v>
      </c>
      <c r="B136" s="21">
        <f t="shared" si="6"/>
        <v>127</v>
      </c>
      <c r="C136" s="36"/>
      <c r="D136" s="71">
        <v>0.94</v>
      </c>
      <c r="E136" s="74">
        <v>145676</v>
      </c>
      <c r="F136" s="10">
        <v>88500</v>
      </c>
      <c r="G136" s="10">
        <f t="shared" si="7"/>
        <v>57176</v>
      </c>
      <c r="U136" s="74">
        <v>4093.45</v>
      </c>
      <c r="AI136" s="80">
        <v>0.14199999999999999</v>
      </c>
      <c r="AJ136" s="10">
        <v>0.30541666666666673</v>
      </c>
      <c r="AK136" s="10">
        <v>1.5108333333333335</v>
      </c>
      <c r="AL136">
        <v>1799</v>
      </c>
      <c r="AN136" s="80">
        <v>8365</v>
      </c>
      <c r="AP136">
        <v>77300</v>
      </c>
      <c r="AQ136" s="10">
        <f t="shared" si="8"/>
        <v>147970.45000000001</v>
      </c>
      <c r="AX136" s="10">
        <v>3.4580000000000002</v>
      </c>
      <c r="AZ136" s="10">
        <v>131</v>
      </c>
      <c r="BA136" s="10">
        <v>9.1120000000000001</v>
      </c>
      <c r="BB136">
        <v>3.351</v>
      </c>
      <c r="BD136">
        <v>176.59800000000001</v>
      </c>
      <c r="BE136">
        <v>10.055</v>
      </c>
      <c r="BF136" s="10">
        <v>3.1469999999999998</v>
      </c>
      <c r="BH136" s="10">
        <v>51</v>
      </c>
      <c r="BI136" s="10">
        <v>10.605</v>
      </c>
      <c r="BJ136">
        <v>3.6120000000000001</v>
      </c>
      <c r="BM136">
        <v>494</v>
      </c>
      <c r="BN136">
        <v>5.7450000000000001</v>
      </c>
      <c r="BO136" s="10">
        <v>11.098000000000001</v>
      </c>
      <c r="BP136">
        <v>57176</v>
      </c>
      <c r="CB136">
        <v>9</v>
      </c>
      <c r="CC136">
        <v>10013</v>
      </c>
      <c r="CD136">
        <v>2334</v>
      </c>
      <c r="CE136">
        <v>2831</v>
      </c>
      <c r="CF136">
        <v>2679.5</v>
      </c>
      <c r="CG136">
        <v>2716</v>
      </c>
      <c r="CH136">
        <v>4976</v>
      </c>
      <c r="CI136">
        <v>13203</v>
      </c>
      <c r="CK136">
        <v>63</v>
      </c>
      <c r="CL136">
        <v>27000</v>
      </c>
      <c r="CM136">
        <v>0</v>
      </c>
      <c r="CN136">
        <v>34000</v>
      </c>
      <c r="CO136">
        <v>0</v>
      </c>
      <c r="CP136">
        <v>29000</v>
      </c>
      <c r="CQ136">
        <v>107</v>
      </c>
      <c r="CR136">
        <v>51000</v>
      </c>
      <c r="CS136" s="5">
        <v>0</v>
      </c>
      <c r="CU136" s="5">
        <v>0</v>
      </c>
      <c r="CW136" s="5">
        <v>0</v>
      </c>
      <c r="CY136">
        <v>27.3</v>
      </c>
      <c r="CZ136">
        <v>11.4</v>
      </c>
      <c r="DA136">
        <v>36</v>
      </c>
      <c r="DB136">
        <v>11334</v>
      </c>
      <c r="DC136">
        <v>59.293999999999997</v>
      </c>
      <c r="DD136">
        <v>41.311</v>
      </c>
      <c r="DE136">
        <v>4.0000000000000001E-3</v>
      </c>
      <c r="DF136">
        <v>9665</v>
      </c>
      <c r="DH136">
        <v>230.4</v>
      </c>
      <c r="DI136">
        <v>68960</v>
      </c>
      <c r="DJ136">
        <v>20.399999999999999</v>
      </c>
      <c r="DK136">
        <v>37</v>
      </c>
      <c r="DN136" s="23"/>
      <c r="DO136">
        <v>458</v>
      </c>
      <c r="DP136" t="s">
        <v>286</v>
      </c>
    </row>
    <row r="137" spans="1:128" x14ac:dyDescent="0.3">
      <c r="A137" s="2">
        <v>41676</v>
      </c>
      <c r="B137" s="21">
        <f t="shared" si="6"/>
        <v>128</v>
      </c>
      <c r="C137" s="36"/>
      <c r="D137" s="71">
        <v>0.65</v>
      </c>
      <c r="E137" s="74">
        <v>152400</v>
      </c>
      <c r="F137" s="10">
        <v>88800</v>
      </c>
      <c r="G137" s="10">
        <f t="shared" si="7"/>
        <v>63600</v>
      </c>
      <c r="N137">
        <v>2593</v>
      </c>
      <c r="U137" s="74">
        <v>4509.55</v>
      </c>
      <c r="AF137" s="80">
        <v>2422</v>
      </c>
      <c r="AG137" s="80">
        <v>18</v>
      </c>
      <c r="AH137" s="80">
        <v>83</v>
      </c>
      <c r="AI137" s="80">
        <v>8.8999999999999996E-2</v>
      </c>
      <c r="AJ137" s="10">
        <v>0.36166666666666664</v>
      </c>
      <c r="AK137" s="10">
        <v>1.5754166666666671</v>
      </c>
      <c r="AL137">
        <v>1920</v>
      </c>
      <c r="AP137">
        <v>78434</v>
      </c>
      <c r="AQ137" s="10">
        <f t="shared" ref="AQ137:AQ159" si="9">E137+U137-AL137</f>
        <v>154989.54999999999</v>
      </c>
      <c r="AX137" s="10">
        <v>3.5</v>
      </c>
      <c r="AZ137" s="10">
        <v>140</v>
      </c>
      <c r="BA137" s="10">
        <v>9.1910000000000007</v>
      </c>
      <c r="BB137">
        <v>3.17</v>
      </c>
      <c r="BD137">
        <v>189.5</v>
      </c>
      <c r="BE137">
        <v>10.32</v>
      </c>
      <c r="BF137" s="10">
        <v>3.26</v>
      </c>
      <c r="BH137" s="10">
        <v>40</v>
      </c>
      <c r="BI137" s="10">
        <v>10.853999999999999</v>
      </c>
      <c r="BJ137">
        <v>3.55</v>
      </c>
      <c r="BL137">
        <v>101</v>
      </c>
      <c r="BM137">
        <v>481.97699999999998</v>
      </c>
      <c r="BN137">
        <v>5.8479999999999999</v>
      </c>
      <c r="BO137" s="10">
        <v>11.256</v>
      </c>
      <c r="BP137">
        <v>63600</v>
      </c>
      <c r="CB137">
        <v>10</v>
      </c>
      <c r="CC137">
        <v>10347</v>
      </c>
      <c r="CD137">
        <v>2333</v>
      </c>
      <c r="CE137">
        <v>3014</v>
      </c>
      <c r="CF137">
        <v>3013.5</v>
      </c>
      <c r="CG137">
        <v>2916</v>
      </c>
      <c r="CH137">
        <v>5340</v>
      </c>
      <c r="CI137">
        <v>14284</v>
      </c>
      <c r="CK137">
        <v>72</v>
      </c>
      <c r="CL137">
        <v>27000</v>
      </c>
      <c r="CM137">
        <v>0</v>
      </c>
      <c r="CN137">
        <v>34000</v>
      </c>
      <c r="CO137">
        <v>0</v>
      </c>
      <c r="CP137">
        <v>29000</v>
      </c>
      <c r="CQ137">
        <v>71</v>
      </c>
      <c r="CR137">
        <v>51000</v>
      </c>
      <c r="CS137" s="5">
        <v>0</v>
      </c>
      <c r="CU137" s="5">
        <v>0</v>
      </c>
      <c r="CW137" s="5">
        <v>0</v>
      </c>
      <c r="CY137">
        <v>23.4</v>
      </c>
      <c r="CZ137">
        <v>11.4</v>
      </c>
      <c r="DA137">
        <v>32.4</v>
      </c>
      <c r="DB137">
        <v>13201</v>
      </c>
      <c r="DC137">
        <v>59.401000000000003</v>
      </c>
      <c r="DD137">
        <v>40.677</v>
      </c>
      <c r="DE137">
        <v>4.0000000000000001E-3</v>
      </c>
      <c r="DF137">
        <v>10025</v>
      </c>
      <c r="DH137">
        <v>323.39999999999998</v>
      </c>
      <c r="DI137">
        <v>66840</v>
      </c>
      <c r="DJ137">
        <v>20.399999999999999</v>
      </c>
      <c r="DK137">
        <v>37</v>
      </c>
      <c r="DN137" s="23"/>
      <c r="DO137">
        <v>440</v>
      </c>
      <c r="DP137" t="s">
        <v>286</v>
      </c>
    </row>
    <row r="138" spans="1:128" x14ac:dyDescent="0.3">
      <c r="A138" s="2">
        <v>41677</v>
      </c>
      <c r="B138" s="21">
        <f t="shared" ref="B138:B201" si="10">A138-$A$9</f>
        <v>129</v>
      </c>
      <c r="C138" s="36"/>
      <c r="D138" s="71">
        <v>9.35</v>
      </c>
      <c r="E138" s="74">
        <v>178280</v>
      </c>
      <c r="F138" s="10">
        <v>40200</v>
      </c>
      <c r="G138" s="10">
        <f t="shared" si="7"/>
        <v>138080</v>
      </c>
      <c r="H138" s="80">
        <v>350</v>
      </c>
      <c r="I138" s="80">
        <v>141</v>
      </c>
      <c r="J138" s="80">
        <v>28</v>
      </c>
      <c r="K138" s="80">
        <v>5.33</v>
      </c>
      <c r="L138" s="80">
        <v>243</v>
      </c>
      <c r="M138" s="10">
        <v>440428</v>
      </c>
      <c r="P138" s="80">
        <v>280</v>
      </c>
      <c r="Q138" s="80">
        <v>110</v>
      </c>
      <c r="R138" s="80">
        <v>23</v>
      </c>
      <c r="S138" s="80">
        <v>4.4000000000000004</v>
      </c>
      <c r="T138" s="80">
        <v>190</v>
      </c>
      <c r="U138" s="74">
        <v>1951.15</v>
      </c>
      <c r="W138" s="80">
        <v>510</v>
      </c>
      <c r="X138" s="80">
        <v>72</v>
      </c>
      <c r="Y138" s="80">
        <v>36.200000000000003</v>
      </c>
      <c r="Z138" s="80">
        <v>0.95</v>
      </c>
      <c r="AA138" s="80">
        <v>8.4</v>
      </c>
      <c r="AB138" s="80">
        <v>15</v>
      </c>
      <c r="AD138" s="80">
        <v>690</v>
      </c>
      <c r="AI138" s="80">
        <v>0.155</v>
      </c>
      <c r="AJ138" s="10">
        <v>0.62541666666666662</v>
      </c>
      <c r="AK138" s="10">
        <v>1.665416666666667</v>
      </c>
      <c r="AL138">
        <v>976</v>
      </c>
      <c r="AP138">
        <v>28700</v>
      </c>
      <c r="AQ138" s="10">
        <f t="shared" si="9"/>
        <v>179255.15</v>
      </c>
      <c r="AR138" s="80">
        <v>140</v>
      </c>
      <c r="AS138" s="80">
        <v>51</v>
      </c>
      <c r="AT138" s="80">
        <v>21.2</v>
      </c>
      <c r="AU138" s="80">
        <v>2.8</v>
      </c>
      <c r="AV138" s="80">
        <v>80</v>
      </c>
      <c r="AW138" s="6">
        <v>0.04</v>
      </c>
      <c r="AX138" s="10">
        <v>3.2890000000000001</v>
      </c>
      <c r="AY138" s="10">
        <v>23</v>
      </c>
      <c r="AZ138" s="10">
        <v>68.891000000000005</v>
      </c>
      <c r="BA138" s="10">
        <v>10.763</v>
      </c>
      <c r="BB138">
        <v>3.0750000000000002</v>
      </c>
      <c r="BC138">
        <v>23</v>
      </c>
      <c r="BD138">
        <v>82</v>
      </c>
      <c r="BE138">
        <v>12.226000000000001</v>
      </c>
      <c r="BF138" s="10">
        <v>3.145</v>
      </c>
      <c r="BG138" s="10">
        <v>22</v>
      </c>
      <c r="BH138" s="10">
        <v>19</v>
      </c>
      <c r="BI138" s="10">
        <v>9.4670000000000005</v>
      </c>
      <c r="BJ138">
        <v>3.468</v>
      </c>
      <c r="BK138">
        <v>23</v>
      </c>
      <c r="BM138">
        <v>209.977</v>
      </c>
      <c r="BN138">
        <v>5.5540000000000003</v>
      </c>
      <c r="BO138" s="10">
        <v>11.413</v>
      </c>
      <c r="BP138">
        <v>138080</v>
      </c>
      <c r="BR138">
        <v>38</v>
      </c>
      <c r="BS138">
        <v>4</v>
      </c>
      <c r="BT138">
        <v>5.8</v>
      </c>
      <c r="BU138">
        <v>3.9</v>
      </c>
      <c r="BV138">
        <v>0.84</v>
      </c>
      <c r="BW138">
        <v>8.3000000000000007</v>
      </c>
      <c r="BX138">
        <v>1.1000000000000001</v>
      </c>
      <c r="BY138">
        <v>1.2</v>
      </c>
      <c r="BZ138">
        <v>8.5</v>
      </c>
      <c r="CA138">
        <v>0.16</v>
      </c>
      <c r="CB138">
        <v>4</v>
      </c>
      <c r="CC138">
        <v>2747</v>
      </c>
      <c r="CD138">
        <v>925</v>
      </c>
      <c r="CE138">
        <v>1070</v>
      </c>
      <c r="CF138">
        <v>1036.5</v>
      </c>
      <c r="CG138">
        <v>1034</v>
      </c>
      <c r="CH138">
        <v>1916</v>
      </c>
      <c r="CI138">
        <v>5057</v>
      </c>
      <c r="CK138">
        <v>107</v>
      </c>
      <c r="CL138">
        <v>27000</v>
      </c>
      <c r="CM138">
        <v>0</v>
      </c>
      <c r="CN138">
        <v>34000</v>
      </c>
      <c r="CO138">
        <v>0</v>
      </c>
      <c r="CP138">
        <v>29000</v>
      </c>
      <c r="CQ138">
        <v>71</v>
      </c>
      <c r="CR138">
        <v>51000</v>
      </c>
      <c r="CS138" s="5">
        <v>0</v>
      </c>
      <c r="CU138" s="5">
        <v>0</v>
      </c>
      <c r="CW138" s="5">
        <v>0</v>
      </c>
      <c r="CY138">
        <v>11.1</v>
      </c>
      <c r="CZ138">
        <v>11.1</v>
      </c>
      <c r="DA138">
        <v>18</v>
      </c>
      <c r="DB138">
        <v>5037</v>
      </c>
      <c r="DC138">
        <v>59.872999999999998</v>
      </c>
      <c r="DD138">
        <v>40.447000000000003</v>
      </c>
      <c r="DE138">
        <v>4.0000000000000001E-3</v>
      </c>
      <c r="DF138">
        <v>4780</v>
      </c>
      <c r="DH138">
        <v>96</v>
      </c>
      <c r="DI138">
        <v>99220</v>
      </c>
      <c r="DJ138">
        <v>20.399999999999999</v>
      </c>
      <c r="DK138">
        <v>37</v>
      </c>
      <c r="DN138" s="23"/>
      <c r="DO138">
        <v>429</v>
      </c>
      <c r="DP138" t="s">
        <v>286</v>
      </c>
      <c r="DQ138" s="80">
        <v>1030</v>
      </c>
      <c r="DR138" s="80">
        <v>204</v>
      </c>
      <c r="DS138" s="80">
        <v>160</v>
      </c>
      <c r="DT138" s="80">
        <v>8.4</v>
      </c>
      <c r="DU138" s="80">
        <v>59</v>
      </c>
      <c r="DV138" s="80">
        <v>48</v>
      </c>
      <c r="DW138" s="80">
        <v>77</v>
      </c>
      <c r="DX138" s="80">
        <v>680</v>
      </c>
    </row>
    <row r="139" spans="1:128" x14ac:dyDescent="0.3">
      <c r="A139" s="2">
        <v>41678</v>
      </c>
      <c r="B139" s="21">
        <f t="shared" si="10"/>
        <v>130</v>
      </c>
      <c r="C139" s="36"/>
      <c r="D139" s="71">
        <v>10.01</v>
      </c>
      <c r="E139" s="74">
        <v>222784</v>
      </c>
      <c r="F139" s="10">
        <v>43600</v>
      </c>
      <c r="G139" s="10">
        <f t="shared" si="7"/>
        <v>179184</v>
      </c>
      <c r="U139" s="74">
        <v>3937.1</v>
      </c>
      <c r="AI139" s="80">
        <v>0.16600000000000001</v>
      </c>
      <c r="AJ139" s="10">
        <v>1.2841666666666667</v>
      </c>
      <c r="AK139" s="10">
        <v>2.0304166666666665</v>
      </c>
      <c r="AL139">
        <v>1794</v>
      </c>
      <c r="AP139">
        <v>65434</v>
      </c>
      <c r="AQ139" s="10">
        <f t="shared" si="9"/>
        <v>224927.1</v>
      </c>
      <c r="AX139" s="10">
        <v>2.911</v>
      </c>
      <c r="AZ139" s="10">
        <v>137</v>
      </c>
      <c r="BA139" s="10">
        <v>9.0220000000000002</v>
      </c>
      <c r="BB139">
        <v>3.01</v>
      </c>
      <c r="BD139">
        <v>139</v>
      </c>
      <c r="BE139">
        <v>9.8529999999999998</v>
      </c>
      <c r="BF139" s="10">
        <v>3.2090000000000001</v>
      </c>
      <c r="BH139" s="10">
        <v>37</v>
      </c>
      <c r="BI139" s="10">
        <v>11.561999999999999</v>
      </c>
      <c r="BJ139">
        <v>3.355</v>
      </c>
      <c r="BM139">
        <v>423</v>
      </c>
      <c r="BN139">
        <v>6.4180000000000001</v>
      </c>
      <c r="BO139" s="10">
        <v>10.368</v>
      </c>
      <c r="BP139">
        <v>179184</v>
      </c>
      <c r="CB139">
        <v>16</v>
      </c>
      <c r="CC139">
        <v>16114</v>
      </c>
      <c r="CD139">
        <v>2085</v>
      </c>
      <c r="CE139">
        <v>3228</v>
      </c>
      <c r="CF139">
        <v>3101</v>
      </c>
      <c r="CG139">
        <v>3196</v>
      </c>
      <c r="CH139">
        <v>5831</v>
      </c>
      <c r="CI139">
        <v>15356</v>
      </c>
      <c r="CK139">
        <v>143</v>
      </c>
      <c r="CL139">
        <v>27000</v>
      </c>
      <c r="CM139">
        <v>0</v>
      </c>
      <c r="CN139">
        <v>34000</v>
      </c>
      <c r="CO139">
        <v>0</v>
      </c>
      <c r="CP139">
        <v>29000</v>
      </c>
      <c r="CQ139">
        <v>70</v>
      </c>
      <c r="CR139">
        <v>51000</v>
      </c>
      <c r="CS139" s="5">
        <v>0</v>
      </c>
      <c r="CU139" s="5">
        <v>0</v>
      </c>
      <c r="CW139" s="5">
        <v>0</v>
      </c>
      <c r="CY139">
        <v>18.5</v>
      </c>
      <c r="CZ139">
        <v>14.8</v>
      </c>
      <c r="DA139">
        <v>25.2</v>
      </c>
      <c r="DB139">
        <v>10321</v>
      </c>
      <c r="DC139">
        <v>59.847999999999999</v>
      </c>
      <c r="DD139">
        <v>40.076000000000001</v>
      </c>
      <c r="DE139">
        <v>4.0000000000000001E-3</v>
      </c>
      <c r="DF139">
        <v>8845</v>
      </c>
      <c r="DH139">
        <v>281.39999999999998</v>
      </c>
      <c r="DI139">
        <v>103140</v>
      </c>
      <c r="DJ139">
        <v>20.399999999999999</v>
      </c>
      <c r="DK139">
        <v>37</v>
      </c>
      <c r="DL139">
        <v>1</v>
      </c>
      <c r="DM139">
        <v>10600</v>
      </c>
      <c r="DN139" s="23"/>
      <c r="DO139">
        <v>421</v>
      </c>
      <c r="DP139" t="s">
        <v>286</v>
      </c>
    </row>
    <row r="140" spans="1:128" x14ac:dyDescent="0.3">
      <c r="A140" s="2">
        <v>41679</v>
      </c>
      <c r="B140" s="21">
        <f t="shared" si="10"/>
        <v>131</v>
      </c>
      <c r="C140" s="36"/>
      <c r="D140" s="71">
        <v>4.04</v>
      </c>
      <c r="E140" s="74">
        <v>208966</v>
      </c>
      <c r="F140" s="10">
        <v>54600</v>
      </c>
      <c r="G140" s="10">
        <f t="shared" si="7"/>
        <v>154366</v>
      </c>
      <c r="U140" s="74">
        <v>4642.6499999999996</v>
      </c>
      <c r="AI140" s="80">
        <v>0.17399999999999999</v>
      </c>
      <c r="AJ140" s="10">
        <v>0.95249999999999979</v>
      </c>
      <c r="AK140" s="10">
        <v>1.8287500000000001</v>
      </c>
      <c r="AL140">
        <v>2320</v>
      </c>
      <c r="AP140">
        <v>71766</v>
      </c>
      <c r="AQ140" s="10">
        <f t="shared" si="9"/>
        <v>211288.65</v>
      </c>
      <c r="AX140" s="10">
        <v>3.0510000000000002</v>
      </c>
      <c r="AZ140" s="10">
        <v>116.736</v>
      </c>
      <c r="BA140" s="10">
        <v>9.5570000000000004</v>
      </c>
      <c r="BB140">
        <v>3.097</v>
      </c>
      <c r="BD140">
        <v>146</v>
      </c>
      <c r="BE140">
        <v>10.303000000000001</v>
      </c>
      <c r="BF140" s="10">
        <v>3.3780000000000001</v>
      </c>
      <c r="BH140" s="10">
        <v>34</v>
      </c>
      <c r="BI140" s="10">
        <v>12.234</v>
      </c>
      <c r="BJ140">
        <v>3.512</v>
      </c>
      <c r="BM140">
        <v>415.94499999999999</v>
      </c>
      <c r="BN140">
        <v>6.6180000000000003</v>
      </c>
      <c r="BO140" s="10">
        <v>10.266</v>
      </c>
      <c r="BP140">
        <v>154366</v>
      </c>
      <c r="CB140">
        <v>14</v>
      </c>
      <c r="CC140">
        <v>13687</v>
      </c>
      <c r="CD140">
        <v>2195</v>
      </c>
      <c r="CE140">
        <v>3082</v>
      </c>
      <c r="CF140">
        <v>3083</v>
      </c>
      <c r="CG140">
        <v>3046</v>
      </c>
      <c r="CH140">
        <v>5817</v>
      </c>
      <c r="CI140">
        <v>15028</v>
      </c>
      <c r="CK140">
        <v>0</v>
      </c>
      <c r="CL140">
        <v>27000</v>
      </c>
      <c r="CM140">
        <v>0</v>
      </c>
      <c r="CN140">
        <v>34000</v>
      </c>
      <c r="CO140">
        <v>0</v>
      </c>
      <c r="CP140">
        <v>29000</v>
      </c>
      <c r="CQ140">
        <v>0</v>
      </c>
      <c r="CR140">
        <v>51000</v>
      </c>
      <c r="CS140" s="5">
        <v>0</v>
      </c>
      <c r="CU140" s="5">
        <v>0</v>
      </c>
      <c r="CW140" s="5">
        <v>0</v>
      </c>
      <c r="CY140">
        <v>22.2</v>
      </c>
      <c r="CZ140">
        <v>18.5</v>
      </c>
      <c r="DA140">
        <v>36</v>
      </c>
      <c r="DB140">
        <v>11857</v>
      </c>
      <c r="DC140">
        <v>58.438000000000002</v>
      </c>
      <c r="DD140">
        <v>40.875999999999998</v>
      </c>
      <c r="DE140">
        <v>4.0000000000000001E-3</v>
      </c>
      <c r="DF140">
        <v>10100</v>
      </c>
      <c r="DH140">
        <v>276</v>
      </c>
      <c r="DI140">
        <v>33200</v>
      </c>
      <c r="DJ140">
        <v>20.399999999999999</v>
      </c>
      <c r="DK140">
        <v>37</v>
      </c>
      <c r="DN140" s="23"/>
      <c r="DO140">
        <v>393</v>
      </c>
      <c r="DP140" t="s">
        <v>286</v>
      </c>
    </row>
    <row r="141" spans="1:128" x14ac:dyDescent="0.3">
      <c r="A141" s="2">
        <v>41680</v>
      </c>
      <c r="B141" s="21">
        <f t="shared" si="10"/>
        <v>132</v>
      </c>
      <c r="C141" s="36"/>
      <c r="D141" s="71">
        <v>3.28</v>
      </c>
      <c r="E141" s="74">
        <v>181552</v>
      </c>
      <c r="F141" s="10">
        <v>69252</v>
      </c>
      <c r="G141" s="10">
        <f t="shared" ref="G141:G204" si="11">E141-F141</f>
        <v>112300</v>
      </c>
      <c r="U141" s="74">
        <v>4796.45</v>
      </c>
      <c r="AF141" s="80">
        <v>2096</v>
      </c>
      <c r="AG141" s="80">
        <v>22.3</v>
      </c>
      <c r="AH141" s="80">
        <v>86</v>
      </c>
      <c r="AI141" s="80">
        <v>0.30499999999999999</v>
      </c>
      <c r="AJ141" s="10">
        <v>1.1420833333333336</v>
      </c>
      <c r="AK141" s="10">
        <v>2.2216666666666667</v>
      </c>
      <c r="AL141">
        <v>2655</v>
      </c>
      <c r="AP141">
        <v>77484</v>
      </c>
      <c r="AQ141" s="10">
        <f t="shared" si="9"/>
        <v>183693.45</v>
      </c>
      <c r="AX141" s="10">
        <v>3.38</v>
      </c>
      <c r="AZ141" s="10">
        <v>131.19300000000001</v>
      </c>
      <c r="BA141" s="10">
        <v>9.6440000000000001</v>
      </c>
      <c r="BB141">
        <v>3.21</v>
      </c>
      <c r="BD141">
        <v>161</v>
      </c>
      <c r="BE141">
        <v>11.256</v>
      </c>
      <c r="BF141" s="10">
        <v>2.84</v>
      </c>
      <c r="BH141" s="10">
        <v>60</v>
      </c>
      <c r="BI141" s="10">
        <v>13.013999999999999</v>
      </c>
      <c r="BJ141">
        <v>3.82</v>
      </c>
      <c r="BL141">
        <v>94</v>
      </c>
      <c r="BM141">
        <v>422.91399999999999</v>
      </c>
      <c r="BN141">
        <v>6.8929999999999998</v>
      </c>
      <c r="BO141" s="10">
        <v>10.422000000000001</v>
      </c>
      <c r="BP141">
        <v>112300</v>
      </c>
      <c r="CB141">
        <v>13</v>
      </c>
      <c r="CC141">
        <v>10777</v>
      </c>
      <c r="CD141">
        <v>2336</v>
      </c>
      <c r="CE141">
        <v>3011.5</v>
      </c>
      <c r="CF141">
        <v>2976.5</v>
      </c>
      <c r="CG141">
        <v>3056</v>
      </c>
      <c r="CH141">
        <v>5744</v>
      </c>
      <c r="CI141">
        <v>14788</v>
      </c>
      <c r="CK141">
        <v>0</v>
      </c>
      <c r="CL141">
        <v>27000</v>
      </c>
      <c r="CM141">
        <v>29</v>
      </c>
      <c r="CN141">
        <v>34000</v>
      </c>
      <c r="CO141">
        <v>0</v>
      </c>
      <c r="CP141">
        <v>29000</v>
      </c>
      <c r="CQ141">
        <v>0</v>
      </c>
      <c r="CR141">
        <v>51000</v>
      </c>
      <c r="CS141" s="5">
        <v>0</v>
      </c>
      <c r="CU141" s="5">
        <v>0</v>
      </c>
      <c r="CW141" s="5">
        <v>0</v>
      </c>
      <c r="CY141">
        <v>25.9</v>
      </c>
      <c r="CZ141">
        <v>22.2</v>
      </c>
      <c r="DA141">
        <v>32.4</v>
      </c>
      <c r="DB141">
        <v>12852</v>
      </c>
      <c r="DC141">
        <v>58.274999999999999</v>
      </c>
      <c r="DD141">
        <v>41.406999999999996</v>
      </c>
      <c r="DE141">
        <v>4.0000000000000001E-3</v>
      </c>
      <c r="DF141">
        <v>11000</v>
      </c>
      <c r="DH141">
        <v>260.8</v>
      </c>
      <c r="DI141">
        <v>0</v>
      </c>
      <c r="DJ141">
        <v>20.399999999999999</v>
      </c>
      <c r="DK141">
        <v>37</v>
      </c>
      <c r="DN141" s="23"/>
      <c r="DO141">
        <v>391</v>
      </c>
      <c r="DP141" t="s">
        <v>286</v>
      </c>
    </row>
    <row r="142" spans="1:128" x14ac:dyDescent="0.3">
      <c r="A142" s="2">
        <v>41681</v>
      </c>
      <c r="B142" s="21">
        <f t="shared" si="10"/>
        <v>133</v>
      </c>
      <c r="C142" s="36"/>
      <c r="D142" s="71">
        <v>0.42</v>
      </c>
      <c r="E142" s="74">
        <v>153082</v>
      </c>
      <c r="F142" s="10">
        <v>75248</v>
      </c>
      <c r="G142" s="10">
        <f t="shared" si="11"/>
        <v>77834</v>
      </c>
      <c r="U142" s="74">
        <v>5125.1499999999996</v>
      </c>
      <c r="AI142" s="80">
        <v>0.753</v>
      </c>
      <c r="AJ142" s="10">
        <v>1.5216666666666672</v>
      </c>
      <c r="AK142" s="10">
        <v>3.1258333333333326</v>
      </c>
      <c r="AL142">
        <v>2795</v>
      </c>
      <c r="AP142">
        <v>83916</v>
      </c>
      <c r="AQ142" s="10">
        <f t="shared" si="9"/>
        <v>155412.15</v>
      </c>
      <c r="AX142" s="10">
        <v>3.375</v>
      </c>
      <c r="AZ142" s="10">
        <v>137.07</v>
      </c>
      <c r="BA142" s="10">
        <v>9.1980000000000004</v>
      </c>
      <c r="BB142">
        <v>3.2719999999999998</v>
      </c>
      <c r="BD142">
        <v>161</v>
      </c>
      <c r="BE142">
        <v>10.307</v>
      </c>
      <c r="BF142" s="10">
        <v>3.758</v>
      </c>
      <c r="BH142" s="10">
        <v>71</v>
      </c>
      <c r="BI142" s="10">
        <v>12.586</v>
      </c>
      <c r="BJ142">
        <v>3.8069999999999999</v>
      </c>
      <c r="BM142">
        <v>421.93</v>
      </c>
      <c r="BN142">
        <v>6.4180000000000001</v>
      </c>
      <c r="BO142" s="10">
        <v>10.336</v>
      </c>
      <c r="BP142">
        <v>77834</v>
      </c>
      <c r="CB142">
        <v>10</v>
      </c>
      <c r="CC142">
        <v>7024</v>
      </c>
      <c r="CD142">
        <v>2014</v>
      </c>
      <c r="CE142">
        <v>2670.5</v>
      </c>
      <c r="CF142">
        <v>2612</v>
      </c>
      <c r="CG142">
        <v>2660</v>
      </c>
      <c r="CH142">
        <v>4984</v>
      </c>
      <c r="CI142">
        <v>12927</v>
      </c>
      <c r="CK142">
        <v>0</v>
      </c>
      <c r="CL142">
        <v>27000</v>
      </c>
      <c r="CM142">
        <v>108</v>
      </c>
      <c r="CN142">
        <v>34000</v>
      </c>
      <c r="CO142">
        <v>0</v>
      </c>
      <c r="CP142">
        <v>29000</v>
      </c>
      <c r="CQ142">
        <v>108</v>
      </c>
      <c r="CR142">
        <v>51000</v>
      </c>
      <c r="CS142" s="5">
        <v>0</v>
      </c>
      <c r="CU142" s="5">
        <v>0</v>
      </c>
      <c r="CW142" s="5">
        <v>0</v>
      </c>
      <c r="CY142">
        <v>30.4</v>
      </c>
      <c r="CZ142">
        <v>31.2</v>
      </c>
      <c r="DA142">
        <v>37</v>
      </c>
      <c r="DB142">
        <v>12229</v>
      </c>
      <c r="DC142">
        <v>58.561999999999998</v>
      </c>
      <c r="DD142">
        <v>41.365000000000002</v>
      </c>
      <c r="DE142">
        <v>4.0000000000000001E-3</v>
      </c>
      <c r="DF142">
        <v>11855</v>
      </c>
      <c r="DH142">
        <v>275.5</v>
      </c>
      <c r="DI142">
        <v>160820</v>
      </c>
      <c r="DJ142">
        <v>20.399999999999999</v>
      </c>
      <c r="DK142">
        <v>37</v>
      </c>
      <c r="DN142" s="23"/>
      <c r="DO142">
        <v>385</v>
      </c>
      <c r="DP142" t="s">
        <v>286</v>
      </c>
    </row>
    <row r="143" spans="1:128" x14ac:dyDescent="0.3">
      <c r="A143" s="2">
        <v>41682</v>
      </c>
      <c r="B143" s="21">
        <f t="shared" si="10"/>
        <v>134</v>
      </c>
      <c r="C143" s="36"/>
      <c r="D143" s="71">
        <v>2.68</v>
      </c>
      <c r="E143" s="74">
        <v>159516</v>
      </c>
      <c r="F143" s="10">
        <v>70300</v>
      </c>
      <c r="G143" s="10">
        <f t="shared" si="11"/>
        <v>89216</v>
      </c>
      <c r="N143">
        <v>3092</v>
      </c>
      <c r="U143" s="74">
        <v>3909.6</v>
      </c>
      <c r="AF143" s="80">
        <v>3448</v>
      </c>
      <c r="AG143" s="80">
        <v>20.5</v>
      </c>
      <c r="AH143" s="80">
        <v>70</v>
      </c>
      <c r="AI143" s="80">
        <v>0.877</v>
      </c>
      <c r="AJ143" s="10">
        <v>0.61416666666666664</v>
      </c>
      <c r="AK143" s="10">
        <v>2.3995833333333336</v>
      </c>
      <c r="AL143">
        <v>1632</v>
      </c>
      <c r="AN143" s="80">
        <v>8571</v>
      </c>
      <c r="AP143">
        <v>70700</v>
      </c>
      <c r="AQ143" s="10">
        <f t="shared" si="9"/>
        <v>161793.60000000001</v>
      </c>
      <c r="AX143" s="10">
        <v>3.3490000000000002</v>
      </c>
      <c r="AZ143" s="10">
        <v>146</v>
      </c>
      <c r="BA143" s="10">
        <v>9.0649999999999995</v>
      </c>
      <c r="BB143">
        <v>3.129</v>
      </c>
      <c r="BD143">
        <v>159.88499999999999</v>
      </c>
      <c r="BE143">
        <v>10.198</v>
      </c>
      <c r="BF143" s="10">
        <v>3.831</v>
      </c>
      <c r="BH143" s="10">
        <v>106</v>
      </c>
      <c r="BI143" s="10">
        <v>12.316000000000001</v>
      </c>
      <c r="BJ143">
        <v>3.72</v>
      </c>
      <c r="BM143">
        <v>421.91399999999999</v>
      </c>
      <c r="BN143">
        <v>6.3339999999999996</v>
      </c>
      <c r="BO143" s="10">
        <v>10.926</v>
      </c>
      <c r="BP143">
        <v>89216</v>
      </c>
      <c r="CB143">
        <v>13</v>
      </c>
      <c r="CC143">
        <v>8350</v>
      </c>
      <c r="CD143">
        <v>2211</v>
      </c>
      <c r="CE143">
        <v>2865</v>
      </c>
      <c r="CF143">
        <v>2872</v>
      </c>
      <c r="CG143">
        <v>2877.5</v>
      </c>
      <c r="CH143">
        <v>5584</v>
      </c>
      <c r="CI143">
        <v>14199</v>
      </c>
      <c r="CK143">
        <v>0</v>
      </c>
      <c r="CL143">
        <v>27000</v>
      </c>
      <c r="CM143">
        <v>0</v>
      </c>
      <c r="CN143">
        <v>34000</v>
      </c>
      <c r="CO143">
        <v>0</v>
      </c>
      <c r="CP143">
        <v>29000</v>
      </c>
      <c r="CQ143">
        <v>107</v>
      </c>
      <c r="CR143">
        <v>51000</v>
      </c>
      <c r="CS143" s="5">
        <v>0</v>
      </c>
      <c r="CU143" s="5">
        <v>0</v>
      </c>
      <c r="CW143" s="5">
        <v>0</v>
      </c>
      <c r="CY143">
        <v>26.6</v>
      </c>
      <c r="CZ143">
        <v>3.9</v>
      </c>
      <c r="DA143">
        <v>33.299999999999997</v>
      </c>
      <c r="DB143">
        <v>13086</v>
      </c>
      <c r="DC143">
        <v>59.064</v>
      </c>
      <c r="DD143">
        <v>41.179000000000002</v>
      </c>
      <c r="DE143">
        <v>4.0000000000000001E-3</v>
      </c>
      <c r="DF143">
        <v>11390</v>
      </c>
      <c r="DH143">
        <v>250.3</v>
      </c>
      <c r="DI143">
        <v>105680</v>
      </c>
      <c r="DJ143">
        <v>22.7</v>
      </c>
      <c r="DK143">
        <v>38</v>
      </c>
      <c r="DN143" s="23"/>
      <c r="DO143">
        <v>427</v>
      </c>
      <c r="DP143" t="s">
        <v>286</v>
      </c>
    </row>
    <row r="144" spans="1:128" x14ac:dyDescent="0.3">
      <c r="A144" s="2">
        <v>41683</v>
      </c>
      <c r="B144" s="21">
        <f t="shared" si="10"/>
        <v>135</v>
      </c>
      <c r="C144" s="36"/>
      <c r="D144" s="71">
        <v>3.13</v>
      </c>
      <c r="E144" s="74">
        <v>156482</v>
      </c>
      <c r="F144" s="10">
        <v>58432</v>
      </c>
      <c r="G144" s="10">
        <f t="shared" si="11"/>
        <v>98050</v>
      </c>
      <c r="H144" s="80">
        <v>362</v>
      </c>
      <c r="J144" s="80">
        <v>34.5</v>
      </c>
      <c r="K144" s="80">
        <v>5.21</v>
      </c>
      <c r="M144" s="10">
        <v>339413</v>
      </c>
      <c r="P144" s="80">
        <v>240</v>
      </c>
      <c r="R144" s="80">
        <v>23</v>
      </c>
      <c r="S144" s="80">
        <v>3.6</v>
      </c>
      <c r="U144" s="74">
        <v>4080.35</v>
      </c>
      <c r="AI144" s="80">
        <v>0.56000000000000005</v>
      </c>
      <c r="AJ144" s="10">
        <v>0.47583333333333327</v>
      </c>
      <c r="AK144" s="10">
        <v>1.9595833333333335</v>
      </c>
      <c r="AL144">
        <v>1629.3440000000001</v>
      </c>
      <c r="AP144">
        <v>78300</v>
      </c>
      <c r="AQ144" s="10">
        <f t="shared" si="9"/>
        <v>158933.00599999999</v>
      </c>
      <c r="AR144" s="80">
        <v>120</v>
      </c>
      <c r="AT144" s="80">
        <v>20.2</v>
      </c>
      <c r="AU144" s="80">
        <v>2.1</v>
      </c>
      <c r="AV144" s="80">
        <v>49</v>
      </c>
      <c r="AX144" s="10">
        <v>3.47</v>
      </c>
      <c r="AZ144" s="10">
        <v>141</v>
      </c>
      <c r="BA144" s="10">
        <v>8.8079999999999998</v>
      </c>
      <c r="BB144">
        <v>3.25</v>
      </c>
      <c r="BD144">
        <v>160.63499999999999</v>
      </c>
      <c r="BE144">
        <v>9.5679999999999996</v>
      </c>
      <c r="BF144" s="10">
        <v>3.83</v>
      </c>
      <c r="BH144" s="10">
        <v>134.81399999999999</v>
      </c>
      <c r="BI144" s="10">
        <v>11.808</v>
      </c>
      <c r="BJ144">
        <v>3.83</v>
      </c>
      <c r="BL144">
        <v>86</v>
      </c>
      <c r="BM144">
        <v>422.97699999999998</v>
      </c>
      <c r="BN144">
        <v>6.1749999999999998</v>
      </c>
      <c r="BO144" s="10">
        <v>10.932</v>
      </c>
      <c r="BP144">
        <v>98050</v>
      </c>
      <c r="BR144">
        <v>36</v>
      </c>
      <c r="BS144">
        <v>4</v>
      </c>
      <c r="BT144">
        <v>3.7</v>
      </c>
      <c r="BU144">
        <v>2.2999999999999998</v>
      </c>
      <c r="BV144">
        <v>0.81</v>
      </c>
      <c r="BW144">
        <v>8.9</v>
      </c>
      <c r="BX144">
        <v>0.67</v>
      </c>
      <c r="BY144">
        <v>0.89</v>
      </c>
      <c r="BZ144">
        <v>5.4</v>
      </c>
      <c r="CA144">
        <v>0.56999999999999995</v>
      </c>
      <c r="CB144">
        <v>13</v>
      </c>
      <c r="CC144">
        <v>9094</v>
      </c>
      <c r="CD144">
        <v>2351</v>
      </c>
      <c r="CE144">
        <v>2903</v>
      </c>
      <c r="CF144">
        <v>2876.5</v>
      </c>
      <c r="CG144">
        <v>2888.5</v>
      </c>
      <c r="CH144">
        <v>5672</v>
      </c>
      <c r="CI144">
        <v>14340</v>
      </c>
      <c r="CK144">
        <v>0</v>
      </c>
      <c r="CL144">
        <v>27000</v>
      </c>
      <c r="CM144">
        <v>44</v>
      </c>
      <c r="CN144">
        <v>34000</v>
      </c>
      <c r="CO144">
        <v>0</v>
      </c>
      <c r="CP144">
        <v>29000</v>
      </c>
      <c r="CQ144">
        <v>106</v>
      </c>
      <c r="CR144">
        <v>51000</v>
      </c>
      <c r="CS144" s="5">
        <v>0</v>
      </c>
      <c r="CU144" s="5">
        <v>0</v>
      </c>
      <c r="CW144" s="5">
        <v>0</v>
      </c>
      <c r="CY144">
        <v>26.6</v>
      </c>
      <c r="CZ144">
        <v>11.7</v>
      </c>
      <c r="DA144">
        <v>33.299999999999997</v>
      </c>
      <c r="DB144">
        <v>11951</v>
      </c>
      <c r="DC144">
        <v>59.286999999999999</v>
      </c>
      <c r="DD144">
        <v>40.732999999999997</v>
      </c>
      <c r="DE144">
        <v>4.0000000000000001E-3</v>
      </c>
      <c r="DF144">
        <v>10605</v>
      </c>
      <c r="DH144">
        <v>255.4</v>
      </c>
      <c r="DI144">
        <v>64920</v>
      </c>
      <c r="DJ144">
        <v>22.7</v>
      </c>
      <c r="DK144">
        <v>38</v>
      </c>
      <c r="DN144" s="23"/>
      <c r="DO144">
        <v>337</v>
      </c>
      <c r="DP144" t="s">
        <v>286</v>
      </c>
      <c r="DQ144" s="80">
        <v>1720</v>
      </c>
      <c r="DR144" s="80">
        <v>271</v>
      </c>
      <c r="DS144" s="80">
        <v>160</v>
      </c>
      <c r="DT144" s="80">
        <v>3.9</v>
      </c>
      <c r="DU144" s="80">
        <v>86</v>
      </c>
      <c r="DV144" s="80">
        <v>45</v>
      </c>
      <c r="DW144" s="80">
        <v>94</v>
      </c>
      <c r="DX144" s="80">
        <v>1300</v>
      </c>
    </row>
    <row r="145" spans="1:128" x14ac:dyDescent="0.3">
      <c r="A145" s="2">
        <v>41684</v>
      </c>
      <c r="B145" s="21">
        <f t="shared" si="10"/>
        <v>136</v>
      </c>
      <c r="C145" s="36"/>
      <c r="D145" s="71">
        <v>3.65</v>
      </c>
      <c r="E145" s="74">
        <v>130516</v>
      </c>
      <c r="F145" s="10">
        <v>42916</v>
      </c>
      <c r="G145" s="10">
        <f t="shared" si="11"/>
        <v>87600</v>
      </c>
      <c r="U145" s="74">
        <v>3278.8</v>
      </c>
      <c r="AI145" s="80">
        <v>0.16800000000000001</v>
      </c>
      <c r="AJ145" s="10">
        <v>0.29208333333333331</v>
      </c>
      <c r="AK145" s="10">
        <v>1.6666666666666667</v>
      </c>
      <c r="AL145">
        <v>1809.6559999999999</v>
      </c>
      <c r="AP145">
        <v>86834</v>
      </c>
      <c r="AQ145" s="10">
        <f t="shared" si="9"/>
        <v>131985.144</v>
      </c>
      <c r="AX145" s="10">
        <v>3.8929999999999998</v>
      </c>
      <c r="AZ145" s="10">
        <v>85</v>
      </c>
      <c r="BA145" s="10">
        <v>7.0679999999999996</v>
      </c>
      <c r="BB145">
        <v>3.323</v>
      </c>
      <c r="BD145">
        <v>102</v>
      </c>
      <c r="BE145">
        <v>7.3380000000000001</v>
      </c>
      <c r="BF145" s="10">
        <v>3.9660000000000002</v>
      </c>
      <c r="BH145" s="10">
        <v>78.686000000000007</v>
      </c>
      <c r="BI145" s="10">
        <v>8.8179999999999996</v>
      </c>
      <c r="BJ145">
        <v>3.7759999999999998</v>
      </c>
      <c r="BM145">
        <v>293.91399999999999</v>
      </c>
      <c r="BN145">
        <v>4.8449999999999998</v>
      </c>
      <c r="BO145" s="10">
        <v>10.837999999999999</v>
      </c>
      <c r="BP145">
        <v>87600</v>
      </c>
      <c r="CB145">
        <v>12</v>
      </c>
      <c r="CC145">
        <v>11494</v>
      </c>
      <c r="CD145">
        <v>2309</v>
      </c>
      <c r="CE145">
        <v>2930</v>
      </c>
      <c r="CF145">
        <v>2927.5</v>
      </c>
      <c r="CG145">
        <v>2714</v>
      </c>
      <c r="CH145">
        <v>5224</v>
      </c>
      <c r="CI145">
        <v>13796</v>
      </c>
      <c r="CK145">
        <v>0</v>
      </c>
      <c r="CL145">
        <v>27000</v>
      </c>
      <c r="CM145">
        <v>63</v>
      </c>
      <c r="CN145">
        <v>34000</v>
      </c>
      <c r="CO145">
        <v>0</v>
      </c>
      <c r="CP145">
        <v>29000</v>
      </c>
      <c r="CQ145">
        <v>71</v>
      </c>
      <c r="CR145">
        <v>51000</v>
      </c>
      <c r="CS145" s="5">
        <v>0</v>
      </c>
      <c r="CU145" s="5">
        <v>0</v>
      </c>
      <c r="CW145" s="5">
        <v>0</v>
      </c>
      <c r="CY145">
        <v>22.8</v>
      </c>
      <c r="CZ145">
        <v>19</v>
      </c>
      <c r="DA145">
        <v>17.5</v>
      </c>
      <c r="DB145">
        <v>10499</v>
      </c>
      <c r="DC145">
        <v>59.356000000000002</v>
      </c>
      <c r="DD145">
        <v>40.630000000000003</v>
      </c>
      <c r="DE145">
        <v>4.0000000000000001E-3</v>
      </c>
      <c r="DF145">
        <v>8825</v>
      </c>
      <c r="DH145">
        <v>160.5</v>
      </c>
      <c r="DI145">
        <v>65720</v>
      </c>
      <c r="DJ145">
        <v>22.7</v>
      </c>
      <c r="DK145">
        <v>38</v>
      </c>
      <c r="DN145" s="23"/>
      <c r="DO145">
        <v>352</v>
      </c>
      <c r="DP145" t="s">
        <v>286</v>
      </c>
    </row>
    <row r="146" spans="1:128" x14ac:dyDescent="0.3">
      <c r="A146" s="2">
        <v>41685</v>
      </c>
      <c r="B146" s="21">
        <f t="shared" si="10"/>
        <v>137</v>
      </c>
      <c r="C146" s="36"/>
      <c r="D146" s="71">
        <v>9.2200000000000006</v>
      </c>
      <c r="E146" s="74">
        <v>212552</v>
      </c>
      <c r="F146" s="10">
        <v>25752</v>
      </c>
      <c r="G146" s="10">
        <f t="shared" si="11"/>
        <v>186800</v>
      </c>
      <c r="U146" s="74">
        <v>5222.25</v>
      </c>
      <c r="AI146" s="80">
        <v>0.159</v>
      </c>
      <c r="AJ146" s="10">
        <v>1.8049999999999999</v>
      </c>
      <c r="AK146" s="10">
        <v>2.811666666666667</v>
      </c>
      <c r="AL146">
        <v>2702</v>
      </c>
      <c r="AP146">
        <v>74466</v>
      </c>
      <c r="AQ146" s="10">
        <f t="shared" si="9"/>
        <v>215072.25</v>
      </c>
      <c r="AX146" s="10">
        <v>3.5430000000000001</v>
      </c>
      <c r="AZ146" s="10">
        <v>171</v>
      </c>
      <c r="BA146" s="10">
        <v>7.3070000000000004</v>
      </c>
      <c r="BB146">
        <v>3.2010000000000001</v>
      </c>
      <c r="BD146">
        <v>161</v>
      </c>
      <c r="BE146">
        <v>7.8579999999999997</v>
      </c>
      <c r="BF146" s="10">
        <v>3.5630000000000002</v>
      </c>
      <c r="BH146" s="10">
        <v>179.5</v>
      </c>
      <c r="BI146" s="10">
        <v>9.1780000000000008</v>
      </c>
      <c r="BJ146">
        <v>3.4049999999999998</v>
      </c>
      <c r="BM146">
        <v>432.93</v>
      </c>
      <c r="BN146">
        <v>5.1130000000000004</v>
      </c>
      <c r="BO146" s="10">
        <v>10.311999999999999</v>
      </c>
      <c r="BP146">
        <v>186800</v>
      </c>
      <c r="CB146">
        <v>15</v>
      </c>
      <c r="CC146">
        <v>12559</v>
      </c>
      <c r="CD146">
        <v>2297</v>
      </c>
      <c r="CE146">
        <v>3016.5</v>
      </c>
      <c r="CF146">
        <v>3107</v>
      </c>
      <c r="CG146">
        <v>3072.5</v>
      </c>
      <c r="CH146">
        <v>5716</v>
      </c>
      <c r="CI146">
        <v>14912</v>
      </c>
      <c r="CK146">
        <v>0</v>
      </c>
      <c r="CL146">
        <v>27000</v>
      </c>
      <c r="CM146">
        <v>36</v>
      </c>
      <c r="CN146">
        <v>34000</v>
      </c>
      <c r="CO146">
        <v>0</v>
      </c>
      <c r="CP146">
        <v>29000</v>
      </c>
      <c r="CQ146">
        <v>147</v>
      </c>
      <c r="CR146">
        <v>51000</v>
      </c>
      <c r="CS146" s="5">
        <v>0</v>
      </c>
      <c r="CU146" s="5">
        <v>0</v>
      </c>
      <c r="CW146" s="5">
        <v>0</v>
      </c>
      <c r="CY146">
        <v>26.6</v>
      </c>
      <c r="CZ146">
        <v>30.4</v>
      </c>
      <c r="DA146">
        <v>31.5</v>
      </c>
      <c r="DB146">
        <v>12087</v>
      </c>
      <c r="DC146">
        <v>58.783999999999999</v>
      </c>
      <c r="DD146">
        <v>40.936999999999998</v>
      </c>
      <c r="DE146">
        <v>4.0000000000000001E-3</v>
      </c>
      <c r="DF146">
        <v>10400</v>
      </c>
      <c r="DH146">
        <v>248</v>
      </c>
      <c r="DI146">
        <v>61980</v>
      </c>
      <c r="DJ146">
        <v>22.7</v>
      </c>
      <c r="DK146">
        <v>38</v>
      </c>
      <c r="DN146" s="23"/>
      <c r="DO146">
        <v>344</v>
      </c>
      <c r="DP146" t="s">
        <v>286</v>
      </c>
    </row>
    <row r="147" spans="1:128" x14ac:dyDescent="0.3">
      <c r="A147" s="2">
        <v>41686</v>
      </c>
      <c r="B147" s="21">
        <f t="shared" si="10"/>
        <v>138</v>
      </c>
      <c r="C147" s="36"/>
      <c r="D147" s="71">
        <v>2.19</v>
      </c>
      <c r="E147" s="74">
        <v>139100</v>
      </c>
      <c r="F147" s="10">
        <v>43300</v>
      </c>
      <c r="G147" s="10">
        <f t="shared" si="11"/>
        <v>95800</v>
      </c>
      <c r="U147" s="74">
        <v>5247.85</v>
      </c>
      <c r="AI147" s="80">
        <v>0.30099999999999999</v>
      </c>
      <c r="AJ147" s="10">
        <v>0.75375000000000003</v>
      </c>
      <c r="AK147" s="10">
        <v>2.1391666666666667</v>
      </c>
      <c r="AL147">
        <v>2759</v>
      </c>
      <c r="AP147">
        <v>78468</v>
      </c>
      <c r="AQ147" s="10">
        <f t="shared" si="9"/>
        <v>141588.85</v>
      </c>
      <c r="AX147" s="10">
        <v>4.0220000000000002</v>
      </c>
      <c r="AZ147" s="10">
        <v>190</v>
      </c>
      <c r="BA147" s="10">
        <v>6.9809999999999999</v>
      </c>
      <c r="BB147">
        <v>3.5209999999999999</v>
      </c>
      <c r="BD147">
        <v>159.96100000000001</v>
      </c>
      <c r="BE147">
        <v>7.5960000000000001</v>
      </c>
      <c r="BF147" s="10">
        <v>3.87</v>
      </c>
      <c r="BH147" s="10">
        <v>198</v>
      </c>
      <c r="BI147" s="10">
        <v>8.8680000000000003</v>
      </c>
      <c r="BJ147">
        <v>3.8330000000000002</v>
      </c>
      <c r="BM147">
        <v>412.78100000000001</v>
      </c>
      <c r="BN147">
        <v>5.0449999999999999</v>
      </c>
      <c r="BO147" s="10">
        <v>9.9179999999999993</v>
      </c>
      <c r="BP147">
        <v>95800</v>
      </c>
      <c r="CB147">
        <v>13</v>
      </c>
      <c r="CC147">
        <v>7164</v>
      </c>
      <c r="CD147">
        <v>2342</v>
      </c>
      <c r="CE147">
        <v>2917.5</v>
      </c>
      <c r="CF147">
        <v>3119</v>
      </c>
      <c r="CG147">
        <v>2699.5</v>
      </c>
      <c r="CH147">
        <v>5411</v>
      </c>
      <c r="CI147">
        <v>14147</v>
      </c>
      <c r="CK147">
        <v>0</v>
      </c>
      <c r="CL147">
        <v>27000</v>
      </c>
      <c r="CM147">
        <v>0</v>
      </c>
      <c r="CN147">
        <v>34000</v>
      </c>
      <c r="CO147">
        <v>0</v>
      </c>
      <c r="CP147">
        <v>29000</v>
      </c>
      <c r="CQ147">
        <v>64</v>
      </c>
      <c r="CR147">
        <v>51000</v>
      </c>
      <c r="CS147" s="5">
        <v>0</v>
      </c>
      <c r="CU147" s="5">
        <v>0</v>
      </c>
      <c r="CW147" s="5">
        <v>0</v>
      </c>
      <c r="CY147">
        <v>22.8</v>
      </c>
      <c r="CZ147">
        <v>26.6</v>
      </c>
      <c r="DA147">
        <v>31.5</v>
      </c>
      <c r="DB147">
        <v>12843</v>
      </c>
      <c r="DC147">
        <v>59.213000000000001</v>
      </c>
      <c r="DD147">
        <v>40.713000000000001</v>
      </c>
      <c r="DE147">
        <v>4.0000000000000001E-3</v>
      </c>
      <c r="DF147">
        <v>11320</v>
      </c>
      <c r="DH147">
        <v>272.7</v>
      </c>
      <c r="DI147">
        <v>33180</v>
      </c>
      <c r="DJ147">
        <v>22.7</v>
      </c>
      <c r="DK147">
        <v>38</v>
      </c>
      <c r="DN147" s="23"/>
      <c r="DO147">
        <v>348</v>
      </c>
      <c r="DP147" t="s">
        <v>286</v>
      </c>
    </row>
    <row r="148" spans="1:128" x14ac:dyDescent="0.3">
      <c r="A148" s="2">
        <v>41687</v>
      </c>
      <c r="B148" s="21">
        <f t="shared" si="10"/>
        <v>139</v>
      </c>
      <c r="C148" s="36"/>
      <c r="D148" s="71">
        <v>0.06</v>
      </c>
      <c r="E148" s="74">
        <v>128898</v>
      </c>
      <c r="F148" s="10">
        <v>60432</v>
      </c>
      <c r="G148" s="10">
        <f t="shared" si="11"/>
        <v>68466</v>
      </c>
      <c r="U148" s="74">
        <v>4735.3999999999996</v>
      </c>
      <c r="AI148" s="80">
        <v>0.86499999999999999</v>
      </c>
      <c r="AJ148" s="10">
        <v>0.47124999999999995</v>
      </c>
      <c r="AK148" s="10">
        <v>2.0612500000000007</v>
      </c>
      <c r="AL148">
        <v>2533</v>
      </c>
      <c r="AP148">
        <v>74466</v>
      </c>
      <c r="AQ148" s="10">
        <f t="shared" si="9"/>
        <v>131100.4</v>
      </c>
      <c r="AX148" s="10">
        <v>3.8639999999999999</v>
      </c>
      <c r="AZ148" s="10">
        <v>210</v>
      </c>
      <c r="BA148" s="10">
        <v>7.2850000000000001</v>
      </c>
      <c r="BB148">
        <v>3.7690000000000001</v>
      </c>
      <c r="BD148">
        <v>20.686</v>
      </c>
      <c r="BE148">
        <v>6.3419999999999996</v>
      </c>
      <c r="BF148" s="10">
        <v>3.7759999999999998</v>
      </c>
      <c r="BH148" s="10">
        <v>210</v>
      </c>
      <c r="BI148" s="10">
        <v>8.9809999999999999</v>
      </c>
      <c r="BJ148">
        <v>3.85</v>
      </c>
      <c r="BM148">
        <v>413.78100000000001</v>
      </c>
      <c r="BN148">
        <v>5.1109999999999998</v>
      </c>
      <c r="BO148" s="10">
        <v>10.926</v>
      </c>
      <c r="BP148">
        <v>68466</v>
      </c>
      <c r="CB148">
        <v>9</v>
      </c>
      <c r="CC148">
        <v>6561</v>
      </c>
      <c r="CD148">
        <v>2241</v>
      </c>
      <c r="CE148">
        <v>3146</v>
      </c>
      <c r="CF148">
        <v>2050</v>
      </c>
      <c r="CG148">
        <v>3039</v>
      </c>
      <c r="CH148">
        <v>5417</v>
      </c>
      <c r="CI148">
        <v>13652</v>
      </c>
      <c r="CK148">
        <v>0</v>
      </c>
      <c r="CL148">
        <v>27000</v>
      </c>
      <c r="CM148">
        <v>0</v>
      </c>
      <c r="CN148">
        <v>34000</v>
      </c>
      <c r="CO148">
        <v>0</v>
      </c>
      <c r="CP148">
        <v>29000</v>
      </c>
      <c r="CQ148">
        <v>16</v>
      </c>
      <c r="CR148">
        <v>51000</v>
      </c>
      <c r="CS148" s="5">
        <v>0</v>
      </c>
      <c r="CU148" s="5">
        <v>0</v>
      </c>
      <c r="CW148" s="5">
        <v>0</v>
      </c>
      <c r="CY148">
        <v>26.6</v>
      </c>
      <c r="CZ148">
        <v>26.6</v>
      </c>
      <c r="DA148">
        <v>28</v>
      </c>
      <c r="DB148">
        <v>12085</v>
      </c>
      <c r="DC148">
        <v>59.484999999999999</v>
      </c>
      <c r="DD148">
        <v>41.152000000000001</v>
      </c>
      <c r="DE148">
        <v>4.0000000000000001E-3</v>
      </c>
      <c r="DF148">
        <v>11295</v>
      </c>
      <c r="DH148">
        <v>189.2</v>
      </c>
      <c r="DI148">
        <v>0</v>
      </c>
      <c r="DJ148">
        <v>22.7</v>
      </c>
      <c r="DK148">
        <v>38</v>
      </c>
      <c r="DN148" s="23"/>
      <c r="DO148">
        <v>390</v>
      </c>
      <c r="DP148" t="s">
        <v>286</v>
      </c>
    </row>
    <row r="149" spans="1:128" x14ac:dyDescent="0.3">
      <c r="A149" s="2">
        <v>41688</v>
      </c>
      <c r="B149" s="21">
        <f t="shared" si="10"/>
        <v>140</v>
      </c>
      <c r="C149" s="36"/>
      <c r="D149" s="71">
        <v>0.06</v>
      </c>
      <c r="E149" s="74">
        <v>130102</v>
      </c>
      <c r="F149" s="10">
        <v>69468</v>
      </c>
      <c r="G149" s="10">
        <f t="shared" si="11"/>
        <v>60634</v>
      </c>
      <c r="N149">
        <v>3167</v>
      </c>
      <c r="U149" s="74">
        <v>5006.8999999999996</v>
      </c>
      <c r="AI149" s="80">
        <v>0.32400000000000001</v>
      </c>
      <c r="AJ149" s="10">
        <v>0.37958333333333338</v>
      </c>
      <c r="AK149" s="10">
        <v>1.8829166666666668</v>
      </c>
      <c r="AL149">
        <v>2396</v>
      </c>
      <c r="AP149">
        <v>79750</v>
      </c>
      <c r="AQ149" s="10">
        <f t="shared" si="9"/>
        <v>132712.9</v>
      </c>
      <c r="AX149" s="10">
        <v>3.8359999999999999</v>
      </c>
      <c r="AZ149" s="10">
        <v>241</v>
      </c>
      <c r="BA149" s="10">
        <v>6.5339999999999998</v>
      </c>
      <c r="BB149">
        <v>3.4249999999999998</v>
      </c>
      <c r="BD149">
        <v>200.84800000000001</v>
      </c>
      <c r="BE149">
        <v>6.7450000000000001</v>
      </c>
      <c r="BF149" s="10">
        <v>3.57</v>
      </c>
      <c r="BH149" s="10">
        <v>251</v>
      </c>
      <c r="BI149" s="10">
        <v>7.1159999999999997</v>
      </c>
      <c r="BJ149">
        <v>3.7919999999999998</v>
      </c>
      <c r="BM149">
        <v>433.91399999999999</v>
      </c>
      <c r="BN149">
        <v>4.7910000000000004</v>
      </c>
      <c r="BO149" s="10">
        <v>11.454000000000001</v>
      </c>
      <c r="BP149">
        <v>60634</v>
      </c>
      <c r="CB149">
        <v>9</v>
      </c>
      <c r="CC149">
        <v>8215</v>
      </c>
      <c r="CD149">
        <v>2354</v>
      </c>
      <c r="CE149">
        <v>2604</v>
      </c>
      <c r="CF149">
        <v>2530.5</v>
      </c>
      <c r="CG149">
        <v>2441</v>
      </c>
      <c r="CH149">
        <v>4878</v>
      </c>
      <c r="CI149">
        <v>12454</v>
      </c>
      <c r="CK149">
        <v>0</v>
      </c>
      <c r="CL149">
        <v>27000</v>
      </c>
      <c r="CM149">
        <v>0</v>
      </c>
      <c r="CN149">
        <v>34000</v>
      </c>
      <c r="CO149">
        <v>0</v>
      </c>
      <c r="CP149">
        <v>29000</v>
      </c>
      <c r="CQ149">
        <v>160</v>
      </c>
      <c r="CR149">
        <v>51000</v>
      </c>
      <c r="CS149" s="5">
        <v>0</v>
      </c>
      <c r="CU149" s="5">
        <v>0</v>
      </c>
      <c r="CW149" s="5">
        <v>0</v>
      </c>
      <c r="CY149">
        <v>22.2</v>
      </c>
      <c r="CZ149">
        <v>26.6</v>
      </c>
      <c r="DA149">
        <v>37</v>
      </c>
      <c r="DB149">
        <v>11170</v>
      </c>
      <c r="DC149">
        <v>59.828000000000003</v>
      </c>
      <c r="DD149">
        <v>41.027000000000001</v>
      </c>
      <c r="DE149">
        <v>4.0000000000000001E-3</v>
      </c>
      <c r="DF149">
        <v>9955</v>
      </c>
      <c r="DH149">
        <v>226.8</v>
      </c>
      <c r="DI149">
        <v>98520</v>
      </c>
      <c r="DJ149">
        <v>22.7</v>
      </c>
      <c r="DK149">
        <v>38</v>
      </c>
      <c r="DN149" s="23"/>
      <c r="DO149">
        <v>433</v>
      </c>
      <c r="DP149" t="s">
        <v>286</v>
      </c>
    </row>
    <row r="150" spans="1:128" x14ac:dyDescent="0.3">
      <c r="A150" s="2">
        <v>41689</v>
      </c>
      <c r="B150" s="21">
        <f t="shared" si="10"/>
        <v>141</v>
      </c>
      <c r="C150" s="36"/>
      <c r="D150" s="71">
        <v>1</v>
      </c>
      <c r="E150" s="74">
        <v>128318</v>
      </c>
      <c r="F150" s="10">
        <v>70152</v>
      </c>
      <c r="G150" s="10">
        <f t="shared" si="11"/>
        <v>58166</v>
      </c>
      <c r="H150" s="80">
        <v>508</v>
      </c>
      <c r="J150" s="80">
        <v>51.6</v>
      </c>
      <c r="K150" s="80">
        <v>7.49</v>
      </c>
      <c r="M150" s="10">
        <v>288533</v>
      </c>
      <c r="P150" s="80">
        <v>250</v>
      </c>
      <c r="R150" s="80">
        <v>24.5</v>
      </c>
      <c r="S150" s="80">
        <v>3.9</v>
      </c>
      <c r="U150" s="74">
        <v>4884.1000000000004</v>
      </c>
      <c r="AI150" s="80">
        <v>9.6000000000000002E-2</v>
      </c>
      <c r="AJ150" s="10">
        <v>0.32625000000000004</v>
      </c>
      <c r="AK150" s="10">
        <v>1.7200000000000004</v>
      </c>
      <c r="AL150">
        <v>2415.5</v>
      </c>
      <c r="AP150">
        <v>71416</v>
      </c>
      <c r="AQ150" s="10">
        <f t="shared" si="9"/>
        <v>130786.6</v>
      </c>
      <c r="AR150" s="80">
        <v>100</v>
      </c>
      <c r="AT150" s="80">
        <v>20.399999999999999</v>
      </c>
      <c r="AU150" s="80">
        <v>2</v>
      </c>
      <c r="AV150" s="80">
        <v>58</v>
      </c>
      <c r="AX150" s="10">
        <v>3.661</v>
      </c>
      <c r="AY150" s="10">
        <v>23</v>
      </c>
      <c r="AZ150" s="10">
        <v>251.262</v>
      </c>
      <c r="BA150" s="10">
        <v>5.9710000000000001</v>
      </c>
      <c r="BB150">
        <v>3.3050000000000002</v>
      </c>
      <c r="BC150">
        <v>23</v>
      </c>
      <c r="BD150">
        <v>205.15199999999999</v>
      </c>
      <c r="BE150">
        <v>6.7839999999999998</v>
      </c>
      <c r="BF150" s="10">
        <v>3.3660000000000001</v>
      </c>
      <c r="BG150" s="10">
        <v>22</v>
      </c>
      <c r="BH150" s="10">
        <v>251</v>
      </c>
      <c r="BI150" s="10">
        <v>6.6580000000000004</v>
      </c>
      <c r="BJ150">
        <v>3.7530000000000001</v>
      </c>
      <c r="BK150">
        <v>23</v>
      </c>
      <c r="BM150">
        <v>434.90600000000001</v>
      </c>
      <c r="BN150">
        <v>4.6269999999999998</v>
      </c>
      <c r="BO150" s="10">
        <v>11.577</v>
      </c>
      <c r="BP150">
        <v>58166</v>
      </c>
      <c r="BR150">
        <v>36</v>
      </c>
      <c r="BS150">
        <v>3</v>
      </c>
      <c r="BT150">
        <v>2</v>
      </c>
      <c r="BU150">
        <v>0.44</v>
      </c>
      <c r="BV150">
        <v>0.52</v>
      </c>
      <c r="BW150">
        <v>7.5</v>
      </c>
      <c r="BX150">
        <v>0.81</v>
      </c>
      <c r="BY150">
        <v>0.92</v>
      </c>
      <c r="BZ150">
        <v>5.6</v>
      </c>
      <c r="CA150">
        <v>0.62</v>
      </c>
      <c r="CB150">
        <v>9</v>
      </c>
      <c r="CC150">
        <v>7014</v>
      </c>
      <c r="CD150">
        <v>2187</v>
      </c>
      <c r="CE150">
        <v>2480</v>
      </c>
      <c r="CF150">
        <v>2591.5</v>
      </c>
      <c r="CG150">
        <v>2360</v>
      </c>
      <c r="CH150">
        <v>4666</v>
      </c>
      <c r="CI150">
        <v>12098</v>
      </c>
      <c r="CK150">
        <v>0</v>
      </c>
      <c r="CL150">
        <v>27000</v>
      </c>
      <c r="CM150">
        <v>0</v>
      </c>
      <c r="CN150">
        <v>34000</v>
      </c>
      <c r="CO150">
        <v>0</v>
      </c>
      <c r="CP150">
        <v>29000</v>
      </c>
      <c r="CQ150">
        <v>140</v>
      </c>
      <c r="CR150">
        <v>51000</v>
      </c>
      <c r="CS150" s="5">
        <v>0</v>
      </c>
      <c r="CU150" s="5">
        <v>0</v>
      </c>
      <c r="CW150" s="5">
        <v>0</v>
      </c>
      <c r="CY150">
        <v>25.9</v>
      </c>
      <c r="CZ150">
        <v>19</v>
      </c>
      <c r="DA150">
        <v>37</v>
      </c>
      <c r="DB150">
        <v>11056</v>
      </c>
      <c r="DC150">
        <v>60.393000000000001</v>
      </c>
      <c r="DD150">
        <v>40.345999999999997</v>
      </c>
      <c r="DE150">
        <v>4.0000000000000001E-3</v>
      </c>
      <c r="DF150">
        <v>10140</v>
      </c>
      <c r="DH150">
        <v>222.7</v>
      </c>
      <c r="DI150">
        <v>104400</v>
      </c>
      <c r="DJ150">
        <v>22.1</v>
      </c>
      <c r="DK150">
        <v>39</v>
      </c>
      <c r="DN150" s="23"/>
      <c r="DO150">
        <v>449</v>
      </c>
      <c r="DP150" t="s">
        <v>286</v>
      </c>
      <c r="DQ150" s="80">
        <v>1920</v>
      </c>
      <c r="DR150" s="80">
        <v>277</v>
      </c>
      <c r="DS150" s="80">
        <v>160</v>
      </c>
      <c r="DT150" s="80">
        <v>3.8</v>
      </c>
      <c r="DU150" s="80">
        <v>50</v>
      </c>
      <c r="DV150" s="80">
        <v>31</v>
      </c>
      <c r="DW150" s="80">
        <v>100</v>
      </c>
      <c r="DX150" s="80">
        <v>2000</v>
      </c>
    </row>
    <row r="151" spans="1:128" x14ac:dyDescent="0.3">
      <c r="A151" s="2">
        <v>41690</v>
      </c>
      <c r="B151" s="21">
        <f t="shared" si="10"/>
        <v>142</v>
      </c>
      <c r="C151" s="36"/>
      <c r="D151" s="71">
        <v>0</v>
      </c>
      <c r="E151" s="74">
        <v>133606</v>
      </c>
      <c r="F151" s="10">
        <v>67548</v>
      </c>
      <c r="G151" s="10">
        <f t="shared" si="11"/>
        <v>66058</v>
      </c>
      <c r="U151" s="74">
        <v>5224.8500000000004</v>
      </c>
      <c r="AF151" s="80">
        <v>2010</v>
      </c>
      <c r="AG151" s="80">
        <v>23.7</v>
      </c>
      <c r="AH151" s="80">
        <v>80</v>
      </c>
      <c r="AI151" s="80">
        <v>0.129</v>
      </c>
      <c r="AJ151" s="10">
        <v>0.36041666666666661</v>
      </c>
      <c r="AK151" s="10">
        <v>1.6416666666666668</v>
      </c>
      <c r="AL151">
        <v>2423.5</v>
      </c>
      <c r="AP151">
        <v>79710</v>
      </c>
      <c r="AQ151" s="10">
        <f t="shared" si="9"/>
        <v>136407.35</v>
      </c>
      <c r="AX151" s="10">
        <v>3.51</v>
      </c>
      <c r="AZ151" s="10">
        <v>202.30099999999999</v>
      </c>
      <c r="BA151" s="10">
        <v>7.9189999999999996</v>
      </c>
      <c r="BB151">
        <v>3</v>
      </c>
      <c r="BD151">
        <v>221</v>
      </c>
      <c r="BE151">
        <v>8.9760000000000009</v>
      </c>
      <c r="BF151" s="10">
        <v>3.32</v>
      </c>
      <c r="BH151" s="10">
        <v>245</v>
      </c>
      <c r="BI151" s="10">
        <v>9.3320000000000007</v>
      </c>
      <c r="BJ151">
        <v>3.74</v>
      </c>
      <c r="BL151">
        <v>88</v>
      </c>
      <c r="BM151">
        <v>443.90600000000001</v>
      </c>
      <c r="BN151">
        <v>5.5289999999999999</v>
      </c>
      <c r="BO151" s="10">
        <v>11.88</v>
      </c>
      <c r="BP151">
        <v>66058</v>
      </c>
      <c r="CB151">
        <v>11</v>
      </c>
      <c r="CC151">
        <v>8263</v>
      </c>
      <c r="CD151">
        <v>2372</v>
      </c>
      <c r="CE151">
        <v>2716</v>
      </c>
      <c r="CF151">
        <v>2978</v>
      </c>
      <c r="CG151">
        <v>2614</v>
      </c>
      <c r="CH151">
        <v>5115</v>
      </c>
      <c r="CI151">
        <v>13423</v>
      </c>
      <c r="CK151">
        <v>0</v>
      </c>
      <c r="CL151">
        <v>27000</v>
      </c>
      <c r="CM151">
        <v>0</v>
      </c>
      <c r="CN151">
        <v>34000</v>
      </c>
      <c r="CO151">
        <v>144</v>
      </c>
      <c r="CP151">
        <v>29000</v>
      </c>
      <c r="CQ151">
        <v>68</v>
      </c>
      <c r="CR151">
        <v>51000</v>
      </c>
      <c r="CS151" s="5">
        <v>0</v>
      </c>
      <c r="CU151" s="5">
        <v>0</v>
      </c>
      <c r="CW151" s="5">
        <v>0</v>
      </c>
      <c r="CY151">
        <v>29.6</v>
      </c>
      <c r="CZ151">
        <v>19</v>
      </c>
      <c r="DA151">
        <v>40.700000000000003</v>
      </c>
      <c r="DB151">
        <v>11052</v>
      </c>
      <c r="DC151">
        <v>60.933</v>
      </c>
      <c r="DD151">
        <v>39.837000000000003</v>
      </c>
      <c r="DE151">
        <v>4.0000000000000001E-3</v>
      </c>
      <c r="DF151">
        <v>9835</v>
      </c>
      <c r="DH151">
        <v>240.6</v>
      </c>
      <c r="DI151">
        <v>70660</v>
      </c>
      <c r="DJ151">
        <v>22.1</v>
      </c>
      <c r="DK151">
        <v>39</v>
      </c>
      <c r="DL151">
        <v>1</v>
      </c>
      <c r="DM151">
        <v>10480</v>
      </c>
      <c r="DN151" s="23"/>
      <c r="DO151">
        <v>463</v>
      </c>
      <c r="DP151" t="s">
        <v>286</v>
      </c>
    </row>
    <row r="152" spans="1:128" x14ac:dyDescent="0.3">
      <c r="A152" s="2">
        <v>41691</v>
      </c>
      <c r="B152" s="21">
        <f t="shared" si="10"/>
        <v>143</v>
      </c>
      <c r="C152" s="36"/>
      <c r="D152" s="71">
        <v>9.4600000000000009</v>
      </c>
      <c r="E152" s="74">
        <v>156676</v>
      </c>
      <c r="F152" s="10">
        <v>44500</v>
      </c>
      <c r="G152" s="10">
        <f t="shared" si="11"/>
        <v>112176</v>
      </c>
      <c r="U152" s="74">
        <v>3997.85</v>
      </c>
      <c r="AI152" s="80">
        <v>0.23899999999999999</v>
      </c>
      <c r="AJ152" s="10">
        <v>0.58875</v>
      </c>
      <c r="AK152" s="10">
        <v>1.3212499999999998</v>
      </c>
      <c r="AL152">
        <v>2008</v>
      </c>
      <c r="AP152">
        <v>83858</v>
      </c>
      <c r="AQ152" s="10">
        <f t="shared" si="9"/>
        <v>158665.85</v>
      </c>
      <c r="AX152" s="10">
        <v>3.3650000000000002</v>
      </c>
      <c r="AZ152" s="10">
        <v>147.29900000000001</v>
      </c>
      <c r="BA152" s="10">
        <v>7.7530000000000001</v>
      </c>
      <c r="BB152">
        <v>3.0289999999999999</v>
      </c>
      <c r="BD152">
        <v>127</v>
      </c>
      <c r="BE152">
        <v>8.6579999999999995</v>
      </c>
      <c r="BF152" s="10">
        <v>3.1930000000000001</v>
      </c>
      <c r="BH152" s="10">
        <v>143</v>
      </c>
      <c r="BI152" s="10">
        <v>9.1980000000000004</v>
      </c>
      <c r="BJ152">
        <v>3.7069999999999999</v>
      </c>
      <c r="BM152">
        <v>294.90600000000001</v>
      </c>
      <c r="BN152">
        <v>5.5529999999999999</v>
      </c>
      <c r="BO152" s="10">
        <v>11.936999999999999</v>
      </c>
      <c r="BP152">
        <v>112176</v>
      </c>
      <c r="CB152">
        <v>13</v>
      </c>
      <c r="CC152">
        <v>11071</v>
      </c>
      <c r="CD152">
        <v>2468</v>
      </c>
      <c r="CE152">
        <v>3180</v>
      </c>
      <c r="CF152">
        <v>3242.5</v>
      </c>
      <c r="CG152">
        <v>3038</v>
      </c>
      <c r="CH152">
        <v>6665</v>
      </c>
      <c r="CI152">
        <v>16126</v>
      </c>
      <c r="CK152">
        <v>0</v>
      </c>
      <c r="CL152">
        <v>27000</v>
      </c>
      <c r="CM152">
        <v>0</v>
      </c>
      <c r="CN152">
        <v>34000</v>
      </c>
      <c r="CO152">
        <v>108</v>
      </c>
      <c r="CP152">
        <v>29000</v>
      </c>
      <c r="CQ152">
        <v>0</v>
      </c>
      <c r="CR152">
        <v>51000</v>
      </c>
      <c r="CS152" s="5">
        <v>0</v>
      </c>
      <c r="CU152" s="5">
        <v>0</v>
      </c>
      <c r="CW152" s="5">
        <v>0</v>
      </c>
      <c r="CY152">
        <v>25.9</v>
      </c>
      <c r="CZ152">
        <v>11.4</v>
      </c>
      <c r="DA152">
        <v>25.2</v>
      </c>
      <c r="DB152">
        <v>11138</v>
      </c>
      <c r="DC152">
        <v>59.716000000000001</v>
      </c>
      <c r="DD152">
        <v>40.326999999999998</v>
      </c>
      <c r="DE152">
        <v>4.0000000000000001E-3</v>
      </c>
      <c r="DF152">
        <v>10375</v>
      </c>
      <c r="DH152">
        <v>205.7</v>
      </c>
      <c r="DI152">
        <v>64340</v>
      </c>
      <c r="DJ152">
        <v>22.1</v>
      </c>
      <c r="DK152">
        <v>39</v>
      </c>
      <c r="DN152" s="23"/>
      <c r="DO152">
        <v>475</v>
      </c>
      <c r="DP152" t="s">
        <v>286</v>
      </c>
    </row>
    <row r="153" spans="1:128" x14ac:dyDescent="0.3">
      <c r="A153" s="2">
        <v>41692</v>
      </c>
      <c r="B153" s="21">
        <f t="shared" si="10"/>
        <v>144</v>
      </c>
      <c r="C153" s="36"/>
      <c r="D153" s="71">
        <v>0.17</v>
      </c>
      <c r="E153" s="74">
        <v>160876</v>
      </c>
      <c r="F153" s="10">
        <v>41152</v>
      </c>
      <c r="G153" s="10">
        <f t="shared" si="11"/>
        <v>119724</v>
      </c>
      <c r="U153" s="74">
        <v>4487.6499999999996</v>
      </c>
      <c r="AI153" s="80">
        <v>3.1E-2</v>
      </c>
      <c r="AJ153" s="10">
        <v>0.94708333333333306</v>
      </c>
      <c r="AK153" s="10">
        <v>1.9137500000000001</v>
      </c>
      <c r="AL153">
        <v>1850</v>
      </c>
      <c r="AP153">
        <v>72216</v>
      </c>
      <c r="AQ153" s="10">
        <f t="shared" si="9"/>
        <v>163513.65</v>
      </c>
      <c r="AX153" s="10">
        <v>3.3839999999999999</v>
      </c>
      <c r="AZ153" s="10">
        <v>267.09199999999998</v>
      </c>
      <c r="BA153" s="10">
        <v>8.0519999999999996</v>
      </c>
      <c r="BB153">
        <v>3.1560000000000001</v>
      </c>
      <c r="BD153">
        <v>180</v>
      </c>
      <c r="BE153">
        <v>9.1920000000000002</v>
      </c>
      <c r="BF153" s="10">
        <v>3.2229999999999999</v>
      </c>
      <c r="BH153" s="10">
        <v>261.15600000000001</v>
      </c>
      <c r="BI153" s="10">
        <v>9.3490000000000002</v>
      </c>
      <c r="BJ153">
        <v>3.8439999999999999</v>
      </c>
      <c r="BM153">
        <v>443.90600000000001</v>
      </c>
      <c r="BN153">
        <v>6.0010000000000003</v>
      </c>
      <c r="BO153" s="10">
        <v>10.773</v>
      </c>
      <c r="BP153">
        <v>119724</v>
      </c>
      <c r="CB153">
        <v>13</v>
      </c>
      <c r="CC153">
        <v>10772</v>
      </c>
      <c r="CD153">
        <v>2233</v>
      </c>
      <c r="CE153">
        <v>2748</v>
      </c>
      <c r="CF153">
        <v>2811.5</v>
      </c>
      <c r="CG153">
        <v>2622.5</v>
      </c>
      <c r="CH153">
        <v>5484</v>
      </c>
      <c r="CI153">
        <v>13666</v>
      </c>
      <c r="CK153">
        <v>0</v>
      </c>
      <c r="CL153">
        <v>27000</v>
      </c>
      <c r="CM153">
        <v>0</v>
      </c>
      <c r="CN153">
        <v>34000</v>
      </c>
      <c r="CO153">
        <v>107</v>
      </c>
      <c r="CP153">
        <v>29000</v>
      </c>
      <c r="CQ153">
        <v>0</v>
      </c>
      <c r="CR153">
        <v>51000</v>
      </c>
      <c r="CS153" s="5">
        <v>0</v>
      </c>
      <c r="CU153" s="5">
        <v>0</v>
      </c>
      <c r="CW153" s="5">
        <v>0</v>
      </c>
      <c r="CY153">
        <v>33.299999999999997</v>
      </c>
      <c r="CZ153">
        <v>7.6</v>
      </c>
      <c r="DA153">
        <v>50.4</v>
      </c>
      <c r="DB153">
        <v>10899</v>
      </c>
      <c r="DC153">
        <v>59.57</v>
      </c>
      <c r="DD153">
        <v>40.613999999999997</v>
      </c>
      <c r="DE153">
        <v>4.0000000000000001E-3</v>
      </c>
      <c r="DF153">
        <v>9510</v>
      </c>
      <c r="DH153">
        <v>249.2</v>
      </c>
      <c r="DI153">
        <v>95880</v>
      </c>
      <c r="DJ153">
        <v>22.1</v>
      </c>
      <c r="DK153">
        <v>39</v>
      </c>
      <c r="DN153" s="23"/>
      <c r="DO153">
        <v>480</v>
      </c>
      <c r="DP153" t="s">
        <v>286</v>
      </c>
    </row>
    <row r="154" spans="1:128" x14ac:dyDescent="0.3">
      <c r="A154" s="2">
        <v>41693</v>
      </c>
      <c r="B154" s="21">
        <f t="shared" si="10"/>
        <v>145</v>
      </c>
      <c r="C154" s="36"/>
      <c r="D154" s="71">
        <v>0</v>
      </c>
      <c r="E154" s="74">
        <v>130200</v>
      </c>
      <c r="F154" s="10">
        <v>69000</v>
      </c>
      <c r="G154" s="10">
        <f t="shared" si="11"/>
        <v>61200</v>
      </c>
      <c r="U154" s="74">
        <v>4494.8500000000004</v>
      </c>
      <c r="AI154" s="80">
        <v>5.5E-2</v>
      </c>
      <c r="AJ154" s="10">
        <v>0.45041666666666652</v>
      </c>
      <c r="AK154" s="10">
        <v>1.6504166666666669</v>
      </c>
      <c r="AL154">
        <v>1862.875</v>
      </c>
      <c r="AP154">
        <v>82700</v>
      </c>
      <c r="AQ154" s="10">
        <f t="shared" si="9"/>
        <v>132831.97500000001</v>
      </c>
      <c r="AX154" s="10">
        <v>3.3370000000000002</v>
      </c>
      <c r="AZ154" s="10">
        <v>253</v>
      </c>
      <c r="BA154" s="10">
        <v>7.8940000000000001</v>
      </c>
      <c r="BB154">
        <v>3.1</v>
      </c>
      <c r="BD154">
        <v>168</v>
      </c>
      <c r="BE154">
        <v>9.1859999999999999</v>
      </c>
      <c r="BF154" s="10">
        <v>3.097</v>
      </c>
      <c r="BH154" s="10">
        <v>262.334</v>
      </c>
      <c r="BI154" s="10">
        <v>9.0169999999999995</v>
      </c>
      <c r="BJ154">
        <v>4.0149999999999997</v>
      </c>
      <c r="BM154">
        <v>426.70299999999997</v>
      </c>
      <c r="BN154">
        <v>5.9580000000000002</v>
      </c>
      <c r="BO154" s="10">
        <v>11.173</v>
      </c>
      <c r="BP154">
        <v>61200</v>
      </c>
      <c r="CB154">
        <v>9</v>
      </c>
      <c r="CC154">
        <v>7957</v>
      </c>
      <c r="CD154">
        <v>2411</v>
      </c>
      <c r="CE154">
        <v>2635</v>
      </c>
      <c r="CF154">
        <v>2752</v>
      </c>
      <c r="CG154">
        <v>2502.5</v>
      </c>
      <c r="CH154">
        <v>4849</v>
      </c>
      <c r="CI154">
        <v>12739</v>
      </c>
      <c r="CK154">
        <v>0</v>
      </c>
      <c r="CL154">
        <v>27000</v>
      </c>
      <c r="CM154">
        <v>0</v>
      </c>
      <c r="CN154">
        <v>34000</v>
      </c>
      <c r="CO154">
        <v>0</v>
      </c>
      <c r="CP154">
        <v>29000</v>
      </c>
      <c r="CQ154">
        <v>0</v>
      </c>
      <c r="CR154">
        <v>51000</v>
      </c>
      <c r="CS154" s="5">
        <v>0</v>
      </c>
      <c r="CU154" s="5">
        <v>0</v>
      </c>
      <c r="CW154" s="5">
        <v>0</v>
      </c>
      <c r="CY154">
        <v>29.6</v>
      </c>
      <c r="CZ154">
        <v>11.4</v>
      </c>
      <c r="DA154">
        <v>50.4</v>
      </c>
      <c r="DB154">
        <v>11512</v>
      </c>
      <c r="DC154">
        <v>59.527999999999999</v>
      </c>
      <c r="DD154">
        <v>41.152999999999999</v>
      </c>
      <c r="DE154">
        <v>4.0000000000000001E-3</v>
      </c>
      <c r="DF154">
        <v>9940</v>
      </c>
      <c r="DH154">
        <v>240.1</v>
      </c>
      <c r="DI154">
        <v>31280</v>
      </c>
      <c r="DJ154">
        <v>22.1</v>
      </c>
      <c r="DK154">
        <v>39</v>
      </c>
      <c r="DN154" s="23"/>
      <c r="DO154">
        <v>424</v>
      </c>
      <c r="DP154" t="s">
        <v>286</v>
      </c>
    </row>
    <row r="155" spans="1:128" x14ac:dyDescent="0.3">
      <c r="A155" s="2">
        <v>41694</v>
      </c>
      <c r="B155" s="21">
        <f t="shared" si="10"/>
        <v>146</v>
      </c>
      <c r="C155" s="36"/>
      <c r="D155" s="71">
        <v>0</v>
      </c>
      <c r="E155" s="74">
        <v>127876</v>
      </c>
      <c r="F155" s="10">
        <v>68400</v>
      </c>
      <c r="G155" s="10">
        <f t="shared" si="11"/>
        <v>59476</v>
      </c>
      <c r="U155" s="74">
        <v>4640.25</v>
      </c>
      <c r="AF155" s="80">
        <v>2526</v>
      </c>
      <c r="AG155" s="80">
        <v>23.1</v>
      </c>
      <c r="AH155" s="80">
        <v>79</v>
      </c>
      <c r="AI155" s="80">
        <v>3.2000000000000001E-2</v>
      </c>
      <c r="AJ155" s="10">
        <v>0.29541666666666661</v>
      </c>
      <c r="AK155" s="10">
        <v>1.6137500000000002</v>
      </c>
      <c r="AL155">
        <v>1902.125</v>
      </c>
      <c r="AP155">
        <v>85250</v>
      </c>
      <c r="AQ155" s="10">
        <f t="shared" si="9"/>
        <v>130614.125</v>
      </c>
      <c r="AX155" s="10">
        <v>2.98</v>
      </c>
      <c r="AZ155" s="10">
        <v>261</v>
      </c>
      <c r="BA155" s="10">
        <v>7.7530000000000001</v>
      </c>
      <c r="BB155">
        <v>3.26</v>
      </c>
      <c r="BD155">
        <v>82</v>
      </c>
      <c r="BE155">
        <v>7.4930000000000003</v>
      </c>
      <c r="BF155" s="10">
        <v>2.52</v>
      </c>
      <c r="BH155" s="10">
        <v>223.28100000000001</v>
      </c>
      <c r="BI155" s="10">
        <v>8.8160000000000007</v>
      </c>
      <c r="BJ155">
        <v>3.93</v>
      </c>
      <c r="BL155">
        <v>99</v>
      </c>
      <c r="BM155">
        <v>461.20299999999997</v>
      </c>
      <c r="BN155">
        <v>5.8120000000000003</v>
      </c>
      <c r="BO155" s="10">
        <v>11.664</v>
      </c>
      <c r="BP155">
        <v>59476</v>
      </c>
      <c r="CB155">
        <v>8</v>
      </c>
      <c r="CC155">
        <v>8316</v>
      </c>
      <c r="CD155">
        <v>2549</v>
      </c>
      <c r="CE155">
        <v>2863</v>
      </c>
      <c r="CF155">
        <v>2168</v>
      </c>
      <c r="CG155">
        <v>2715</v>
      </c>
      <c r="CH155">
        <v>5011</v>
      </c>
      <c r="CI155">
        <v>12757</v>
      </c>
      <c r="CK155">
        <v>0</v>
      </c>
      <c r="CL155">
        <v>27000</v>
      </c>
      <c r="CM155">
        <v>0</v>
      </c>
      <c r="CN155">
        <v>34000</v>
      </c>
      <c r="CO155">
        <v>0</v>
      </c>
      <c r="CP155">
        <v>29000</v>
      </c>
      <c r="CQ155">
        <v>0</v>
      </c>
      <c r="CR155">
        <v>51000</v>
      </c>
      <c r="CS155" s="5">
        <v>0</v>
      </c>
      <c r="CU155" s="5">
        <v>0</v>
      </c>
      <c r="CW155" s="5">
        <v>0</v>
      </c>
      <c r="CY155">
        <v>29.6</v>
      </c>
      <c r="CZ155">
        <v>15.2</v>
      </c>
      <c r="DA155">
        <v>46.8</v>
      </c>
      <c r="DB155">
        <v>11015</v>
      </c>
      <c r="DC155">
        <v>58.854999999999997</v>
      </c>
      <c r="DD155">
        <v>41.795999999999999</v>
      </c>
      <c r="DE155">
        <v>5.0000000000000001E-3</v>
      </c>
      <c r="DF155">
        <v>9750</v>
      </c>
      <c r="DH155">
        <v>230.5</v>
      </c>
      <c r="DI155">
        <v>0</v>
      </c>
      <c r="DJ155">
        <v>22.1</v>
      </c>
      <c r="DK155">
        <v>39</v>
      </c>
      <c r="DN155" s="23"/>
      <c r="DO155">
        <v>433</v>
      </c>
      <c r="DP155" t="s">
        <v>286</v>
      </c>
    </row>
    <row r="156" spans="1:128" x14ac:dyDescent="0.3">
      <c r="A156" s="2">
        <v>41695</v>
      </c>
      <c r="B156" s="21">
        <f t="shared" si="10"/>
        <v>147</v>
      </c>
      <c r="C156" s="36"/>
      <c r="D156" s="71">
        <v>0</v>
      </c>
      <c r="E156" s="74">
        <v>127614</v>
      </c>
      <c r="F156" s="10">
        <v>71948</v>
      </c>
      <c r="G156" s="10">
        <f t="shared" si="11"/>
        <v>55666</v>
      </c>
      <c r="U156" s="74">
        <v>4203.5</v>
      </c>
      <c r="AI156" s="80">
        <v>1.7999999999999999E-2</v>
      </c>
      <c r="AJ156" s="10">
        <v>0.27333333333333337</v>
      </c>
      <c r="AK156" s="10">
        <v>1.5016666666666667</v>
      </c>
      <c r="AL156">
        <v>1745</v>
      </c>
      <c r="AP156">
        <v>89400</v>
      </c>
      <c r="AQ156" s="10">
        <f t="shared" si="9"/>
        <v>130072.5</v>
      </c>
      <c r="AR156" s="80">
        <v>130</v>
      </c>
      <c r="AT156" s="80">
        <v>22.9</v>
      </c>
      <c r="AU156" s="80">
        <v>2.4</v>
      </c>
      <c r="AV156" s="80">
        <v>60</v>
      </c>
      <c r="AX156" s="10">
        <v>3.008</v>
      </c>
      <c r="AZ156" s="10">
        <v>261</v>
      </c>
      <c r="BA156" s="10">
        <v>7.04</v>
      </c>
      <c r="BB156">
        <v>3.0019999999999998</v>
      </c>
      <c r="BD156">
        <v>180</v>
      </c>
      <c r="BE156">
        <v>8.4990000000000006</v>
      </c>
      <c r="BF156" s="10">
        <v>2.7410000000000001</v>
      </c>
      <c r="BH156" s="10">
        <v>271</v>
      </c>
      <c r="BI156" s="10">
        <v>8.0289999999999999</v>
      </c>
      <c r="BJ156">
        <v>3.8839999999999999</v>
      </c>
      <c r="BM156">
        <v>444.89100000000002</v>
      </c>
      <c r="BN156">
        <v>5.6479999999999997</v>
      </c>
      <c r="BO156" s="10">
        <v>12.002000000000001</v>
      </c>
      <c r="BP156">
        <v>55666</v>
      </c>
      <c r="BR156">
        <v>34</v>
      </c>
      <c r="BS156">
        <v>4</v>
      </c>
      <c r="BT156">
        <v>2.8</v>
      </c>
      <c r="BU156">
        <v>0.82</v>
      </c>
      <c r="BV156">
        <v>0.87</v>
      </c>
      <c r="BW156">
        <v>8.4</v>
      </c>
      <c r="BX156">
        <v>0.76</v>
      </c>
      <c r="BY156">
        <v>0.94</v>
      </c>
      <c r="BZ156">
        <v>5.8</v>
      </c>
      <c r="CA156">
        <v>0.52</v>
      </c>
      <c r="CB156">
        <v>9</v>
      </c>
      <c r="CC156">
        <v>9295</v>
      </c>
      <c r="CD156">
        <v>2596</v>
      </c>
      <c r="CE156">
        <v>2631</v>
      </c>
      <c r="CF156">
        <v>2648</v>
      </c>
      <c r="CG156">
        <v>2492</v>
      </c>
      <c r="CH156">
        <v>4908</v>
      </c>
      <c r="CI156">
        <v>12679</v>
      </c>
      <c r="CK156">
        <v>0</v>
      </c>
      <c r="CL156">
        <v>27000</v>
      </c>
      <c r="CM156">
        <v>0</v>
      </c>
      <c r="CN156">
        <v>34000</v>
      </c>
      <c r="CO156">
        <v>0</v>
      </c>
      <c r="CP156">
        <v>29000</v>
      </c>
      <c r="CQ156">
        <v>67</v>
      </c>
      <c r="CR156">
        <v>51000</v>
      </c>
      <c r="CS156" s="5">
        <v>0</v>
      </c>
      <c r="CU156" s="5">
        <v>0</v>
      </c>
      <c r="CW156" s="5">
        <v>0</v>
      </c>
      <c r="CY156">
        <v>31.2</v>
      </c>
      <c r="CZ156">
        <v>7.2</v>
      </c>
      <c r="DA156">
        <v>49</v>
      </c>
      <c r="DB156">
        <v>9430</v>
      </c>
      <c r="DC156">
        <v>59.853999999999999</v>
      </c>
      <c r="DD156">
        <v>40.462000000000003</v>
      </c>
      <c r="DE156">
        <v>5.0000000000000001E-3</v>
      </c>
      <c r="DF156">
        <v>8920</v>
      </c>
      <c r="DH156">
        <v>200.4</v>
      </c>
      <c r="DI156">
        <v>95200</v>
      </c>
      <c r="DJ156">
        <v>22.1</v>
      </c>
      <c r="DK156">
        <v>39</v>
      </c>
      <c r="DN156" s="23"/>
      <c r="DO156">
        <v>457</v>
      </c>
      <c r="DP156" t="s">
        <v>286</v>
      </c>
      <c r="DQ156" s="80">
        <v>1940</v>
      </c>
      <c r="DR156" s="80">
        <v>300</v>
      </c>
      <c r="DS156" s="80">
        <v>130</v>
      </c>
      <c r="DT156" s="80">
        <v>3.9</v>
      </c>
      <c r="DU156" s="80">
        <v>74</v>
      </c>
      <c r="DV156" s="80">
        <v>29</v>
      </c>
      <c r="DW156" s="80">
        <v>110</v>
      </c>
      <c r="DX156" s="80">
        <v>1900</v>
      </c>
    </row>
    <row r="157" spans="1:128" x14ac:dyDescent="0.3">
      <c r="A157" s="2">
        <v>41696</v>
      </c>
      <c r="B157" s="21">
        <f t="shared" si="10"/>
        <v>148</v>
      </c>
      <c r="C157" s="36"/>
      <c r="D157" s="71">
        <v>2.67</v>
      </c>
      <c r="E157" s="74">
        <v>155548</v>
      </c>
      <c r="F157" s="10">
        <v>58748</v>
      </c>
      <c r="G157" s="10">
        <f t="shared" si="11"/>
        <v>96800</v>
      </c>
      <c r="U157" s="74">
        <v>3569.05</v>
      </c>
      <c r="AI157" s="80">
        <v>2.1999999999999999E-2</v>
      </c>
      <c r="AJ157" s="10">
        <v>0.49999999999999994</v>
      </c>
      <c r="AK157" s="10">
        <v>1.4558333333333333</v>
      </c>
      <c r="AL157">
        <v>1913</v>
      </c>
      <c r="AN157" s="80">
        <v>10009</v>
      </c>
      <c r="AP157">
        <v>98776</v>
      </c>
      <c r="AQ157" s="10">
        <f t="shared" si="9"/>
        <v>157204.04999999999</v>
      </c>
      <c r="AX157" s="10">
        <v>2.9039999999999999</v>
      </c>
      <c r="AZ157" s="10">
        <v>241</v>
      </c>
      <c r="BA157" s="10">
        <v>6.1660000000000004</v>
      </c>
      <c r="BB157">
        <v>2.9510000000000001</v>
      </c>
      <c r="BD157">
        <v>146</v>
      </c>
      <c r="BE157">
        <v>7.7309999999999999</v>
      </c>
      <c r="BF157" s="10">
        <v>2.6749999999999998</v>
      </c>
      <c r="BH157" s="10">
        <v>160</v>
      </c>
      <c r="BI157" s="10">
        <v>7.1769999999999996</v>
      </c>
      <c r="BJ157">
        <v>3.73</v>
      </c>
      <c r="BM157">
        <v>462.93</v>
      </c>
      <c r="BN157">
        <v>5.5270000000000001</v>
      </c>
      <c r="BO157" s="10">
        <v>12.003</v>
      </c>
      <c r="BP157">
        <v>96800</v>
      </c>
      <c r="CB157">
        <v>12.957000000000001</v>
      </c>
      <c r="CC157">
        <v>12813</v>
      </c>
      <c r="CD157">
        <v>2025</v>
      </c>
      <c r="CE157">
        <v>3197</v>
      </c>
      <c r="CF157">
        <v>3526</v>
      </c>
      <c r="CG157">
        <v>3060</v>
      </c>
      <c r="CH157">
        <v>6596</v>
      </c>
      <c r="CI157">
        <v>16379</v>
      </c>
      <c r="CK157">
        <v>162</v>
      </c>
      <c r="CL157">
        <v>27000</v>
      </c>
      <c r="CM157">
        <v>0</v>
      </c>
      <c r="CN157">
        <v>34000</v>
      </c>
      <c r="CO157">
        <v>0</v>
      </c>
      <c r="CP157">
        <v>29000</v>
      </c>
      <c r="CQ157">
        <v>0</v>
      </c>
      <c r="CR157">
        <v>51000</v>
      </c>
      <c r="CS157" s="5">
        <v>0</v>
      </c>
      <c r="CU157" s="5">
        <v>0</v>
      </c>
      <c r="CW157" s="5">
        <v>0</v>
      </c>
      <c r="CY157">
        <v>27.3</v>
      </c>
      <c r="CZ157">
        <v>14.4</v>
      </c>
      <c r="DA157">
        <v>31.5</v>
      </c>
      <c r="DB157">
        <v>11077</v>
      </c>
      <c r="DC157">
        <v>60.456000000000003</v>
      </c>
      <c r="DD157">
        <v>39.841000000000001</v>
      </c>
      <c r="DE157">
        <v>4.0000000000000001E-3</v>
      </c>
      <c r="DF157">
        <v>9655</v>
      </c>
      <c r="DH157">
        <v>264.89999999999998</v>
      </c>
      <c r="DI157">
        <v>134080</v>
      </c>
      <c r="DJ157">
        <v>22.7</v>
      </c>
      <c r="DK157">
        <v>38</v>
      </c>
      <c r="DN157" s="23"/>
      <c r="DO157" s="42">
        <v>330</v>
      </c>
      <c r="DP157" t="s">
        <v>286</v>
      </c>
    </row>
    <row r="158" spans="1:128" x14ac:dyDescent="0.3">
      <c r="A158" s="2">
        <v>41697</v>
      </c>
      <c r="B158" s="21">
        <f t="shared" si="10"/>
        <v>149</v>
      </c>
      <c r="C158" s="36"/>
      <c r="D158" s="71">
        <v>0</v>
      </c>
      <c r="E158" s="74">
        <v>131634</v>
      </c>
      <c r="F158" s="10">
        <v>72000</v>
      </c>
      <c r="G158" s="10">
        <f t="shared" si="11"/>
        <v>59634</v>
      </c>
      <c r="U158" s="74">
        <v>2897.6</v>
      </c>
      <c r="AF158" s="80">
        <v>2620</v>
      </c>
      <c r="AG158" s="80">
        <v>20.2</v>
      </c>
      <c r="AH158" s="80">
        <v>76</v>
      </c>
      <c r="AI158" s="80">
        <v>5.8999999999999997E-2</v>
      </c>
      <c r="AJ158" s="10">
        <v>0.35666666666666663</v>
      </c>
      <c r="AK158" s="10">
        <v>1.5783333333333331</v>
      </c>
      <c r="AL158">
        <v>1265</v>
      </c>
      <c r="AP158">
        <v>92724</v>
      </c>
      <c r="AQ158" s="10">
        <f t="shared" si="9"/>
        <v>133266.6</v>
      </c>
      <c r="AX158" s="10">
        <v>2.76</v>
      </c>
      <c r="AZ158" s="10">
        <v>134</v>
      </c>
      <c r="BA158" s="10">
        <v>6.9710000000000001</v>
      </c>
      <c r="BB158">
        <v>3.05</v>
      </c>
      <c r="BD158">
        <v>64</v>
      </c>
      <c r="BE158">
        <v>9.141</v>
      </c>
      <c r="BF158" s="10">
        <v>2.75</v>
      </c>
      <c r="BH158" s="10">
        <v>149</v>
      </c>
      <c r="BI158" s="10">
        <v>8.218</v>
      </c>
      <c r="BJ158">
        <v>3.96</v>
      </c>
      <c r="BL158">
        <v>106</v>
      </c>
      <c r="BM158">
        <v>309.90600000000001</v>
      </c>
      <c r="BN158">
        <v>6.0149999999999997</v>
      </c>
      <c r="BO158" s="10">
        <v>11.802</v>
      </c>
      <c r="BP158">
        <v>59634</v>
      </c>
      <c r="CB158">
        <v>8.0429999999999993</v>
      </c>
      <c r="CC158">
        <v>11285</v>
      </c>
      <c r="CD158">
        <v>2684</v>
      </c>
      <c r="CE158">
        <v>2310</v>
      </c>
      <c r="CF158">
        <v>2522</v>
      </c>
      <c r="CG158">
        <v>2216</v>
      </c>
      <c r="CH158">
        <v>4672</v>
      </c>
      <c r="CI158">
        <v>11720</v>
      </c>
      <c r="CK158">
        <v>88</v>
      </c>
      <c r="CL158">
        <v>27000</v>
      </c>
      <c r="CM158">
        <v>0</v>
      </c>
      <c r="CN158">
        <v>34000</v>
      </c>
      <c r="CO158">
        <v>0</v>
      </c>
      <c r="CP158">
        <v>29000</v>
      </c>
      <c r="CQ158">
        <v>34</v>
      </c>
      <c r="CR158">
        <v>51000</v>
      </c>
      <c r="CS158" s="5">
        <v>0</v>
      </c>
      <c r="CU158" s="5">
        <v>0</v>
      </c>
      <c r="CW158" s="5">
        <v>0</v>
      </c>
      <c r="CY158">
        <v>23.4</v>
      </c>
      <c r="CZ158">
        <v>10.8</v>
      </c>
      <c r="DA158">
        <v>21</v>
      </c>
      <c r="DB158">
        <v>9746</v>
      </c>
      <c r="DC158">
        <v>59.136000000000003</v>
      </c>
      <c r="DD158">
        <v>41.54</v>
      </c>
      <c r="DE158">
        <v>5.0000000000000001E-3</v>
      </c>
      <c r="DF158">
        <v>7845</v>
      </c>
      <c r="DH158">
        <v>134.19999999999999</v>
      </c>
      <c r="DI158">
        <v>33320</v>
      </c>
      <c r="DJ158">
        <v>22.7</v>
      </c>
      <c r="DK158">
        <v>38</v>
      </c>
      <c r="DN158" s="23"/>
      <c r="DO158" s="42">
        <v>468</v>
      </c>
      <c r="DP158" t="s">
        <v>286</v>
      </c>
    </row>
    <row r="159" spans="1:128" x14ac:dyDescent="0.3">
      <c r="A159" s="2">
        <v>41698</v>
      </c>
      <c r="B159" s="21">
        <f t="shared" si="10"/>
        <v>150</v>
      </c>
      <c r="C159" s="36"/>
      <c r="D159" s="71">
        <v>3.19</v>
      </c>
      <c r="E159" s="74">
        <v>144886</v>
      </c>
      <c r="F159" s="10">
        <v>63252</v>
      </c>
      <c r="G159" s="10">
        <f t="shared" si="11"/>
        <v>81634</v>
      </c>
      <c r="U159" s="74">
        <v>4454.3500000000004</v>
      </c>
      <c r="AI159" s="80">
        <v>5.7000000000000002E-2</v>
      </c>
      <c r="AJ159" s="10">
        <v>0.39374999999999988</v>
      </c>
      <c r="AK159" s="10">
        <v>1.7783333333333333</v>
      </c>
      <c r="AL159">
        <v>1823</v>
      </c>
      <c r="AP159">
        <v>98850</v>
      </c>
      <c r="AQ159" s="10">
        <f t="shared" si="9"/>
        <v>147517.35</v>
      </c>
      <c r="AX159" s="10">
        <v>2.9129999999999998</v>
      </c>
      <c r="AZ159" s="10">
        <v>200</v>
      </c>
      <c r="BA159" s="10">
        <v>6.25</v>
      </c>
      <c r="BB159">
        <v>3.1520000000000001</v>
      </c>
      <c r="BD159">
        <v>121.264</v>
      </c>
      <c r="BE159">
        <v>8.5619999999999994</v>
      </c>
      <c r="BF159" s="10">
        <v>2.746</v>
      </c>
      <c r="BH159" s="10">
        <v>205</v>
      </c>
      <c r="BI159" s="10">
        <v>7.4619999999999997</v>
      </c>
      <c r="BJ159">
        <v>3.9079999999999999</v>
      </c>
      <c r="BM159">
        <v>494.93</v>
      </c>
      <c r="BN159">
        <v>5.8220000000000001</v>
      </c>
      <c r="BO159" s="10">
        <v>11.647</v>
      </c>
      <c r="BP159">
        <v>81634</v>
      </c>
      <c r="CB159">
        <v>12</v>
      </c>
      <c r="CC159">
        <v>11832</v>
      </c>
      <c r="CD159">
        <v>2278</v>
      </c>
      <c r="CE159">
        <v>2974</v>
      </c>
      <c r="CF159">
        <v>3163.5</v>
      </c>
      <c r="CG159">
        <v>2896</v>
      </c>
      <c r="CH159">
        <v>6165</v>
      </c>
      <c r="CI159">
        <v>15199</v>
      </c>
      <c r="CK159">
        <v>107</v>
      </c>
      <c r="CL159">
        <v>27000</v>
      </c>
      <c r="CM159">
        <v>0</v>
      </c>
      <c r="CN159">
        <v>34000</v>
      </c>
      <c r="CO159">
        <v>0</v>
      </c>
      <c r="CP159">
        <v>29000</v>
      </c>
      <c r="CQ159">
        <v>71</v>
      </c>
      <c r="CR159">
        <v>51000</v>
      </c>
      <c r="CS159" s="5">
        <v>0</v>
      </c>
      <c r="CU159" s="5">
        <v>0</v>
      </c>
      <c r="CW159" s="5">
        <v>0</v>
      </c>
      <c r="CY159">
        <v>30.4</v>
      </c>
      <c r="CZ159">
        <v>14.8</v>
      </c>
      <c r="DA159">
        <v>36</v>
      </c>
      <c r="DB159">
        <v>10608</v>
      </c>
      <c r="DC159">
        <v>59.24</v>
      </c>
      <c r="DD159">
        <v>40.893000000000001</v>
      </c>
      <c r="DE159">
        <v>4.0000000000000001E-3</v>
      </c>
      <c r="DF159">
        <v>9775</v>
      </c>
      <c r="DH159">
        <v>248</v>
      </c>
      <c r="DI159">
        <v>65280</v>
      </c>
      <c r="DJ159">
        <v>22.7</v>
      </c>
      <c r="DK159">
        <v>38</v>
      </c>
      <c r="DN159" s="23"/>
      <c r="DO159" s="42">
        <v>448</v>
      </c>
      <c r="DP159" t="s">
        <v>286</v>
      </c>
    </row>
    <row r="160" spans="1:128" x14ac:dyDescent="0.3">
      <c r="A160" s="2">
        <v>41699</v>
      </c>
      <c r="B160" s="21">
        <f t="shared" si="10"/>
        <v>151</v>
      </c>
      <c r="D160" s="71">
        <v>3.12</v>
      </c>
      <c r="E160" s="74">
        <v>152548</v>
      </c>
      <c r="F160" s="10">
        <v>70348</v>
      </c>
      <c r="G160" s="10">
        <f t="shared" si="11"/>
        <v>82200</v>
      </c>
      <c r="U160" s="74">
        <v>3894.8249999999998</v>
      </c>
      <c r="AI160" s="80">
        <v>7.4999999999999997E-2</v>
      </c>
      <c r="AJ160" s="10">
        <v>0.44500000000000001</v>
      </c>
      <c r="AK160" s="10">
        <v>1.7437499999999997</v>
      </c>
      <c r="AL160">
        <v>1737</v>
      </c>
      <c r="AP160">
        <v>106184</v>
      </c>
      <c r="AQ160" s="10">
        <f t="shared" ref="AQ160:AQ220" si="12">E160+U160-AL160</f>
        <v>154705.82500000001</v>
      </c>
      <c r="AX160" s="10">
        <v>2.8450000000000002</v>
      </c>
      <c r="AZ160" s="10">
        <v>155</v>
      </c>
      <c r="BA160" s="10">
        <v>6.28</v>
      </c>
      <c r="BB160">
        <v>3.1230000000000002</v>
      </c>
      <c r="BD160">
        <v>98.438999999999993</v>
      </c>
      <c r="BE160">
        <v>8.6530000000000005</v>
      </c>
      <c r="BF160" s="10">
        <v>2.673</v>
      </c>
      <c r="BH160" s="10">
        <v>131</v>
      </c>
      <c r="BI160" s="10">
        <v>7.51</v>
      </c>
      <c r="BJ160">
        <v>3.8340000000000001</v>
      </c>
      <c r="BM160">
        <v>380.93</v>
      </c>
      <c r="BN160">
        <v>5.8319999999999999</v>
      </c>
      <c r="BO160" s="10">
        <v>11.749000000000001</v>
      </c>
      <c r="BP160">
        <v>82200</v>
      </c>
      <c r="CB160">
        <v>12.666</v>
      </c>
      <c r="CC160">
        <v>10207</v>
      </c>
      <c r="CD160">
        <v>2435</v>
      </c>
      <c r="CE160">
        <v>3002</v>
      </c>
      <c r="CF160">
        <v>3298.5</v>
      </c>
      <c r="CG160">
        <v>2976</v>
      </c>
      <c r="CH160">
        <v>5975</v>
      </c>
      <c r="CI160">
        <v>15252</v>
      </c>
      <c r="CK160">
        <v>107</v>
      </c>
      <c r="CL160">
        <v>26000</v>
      </c>
      <c r="CM160">
        <v>0</v>
      </c>
      <c r="CN160">
        <v>25000</v>
      </c>
      <c r="CO160">
        <v>0</v>
      </c>
      <c r="CP160">
        <v>21000</v>
      </c>
      <c r="CQ160">
        <v>105</v>
      </c>
      <c r="CR160">
        <v>59000</v>
      </c>
      <c r="CS160">
        <v>0</v>
      </c>
      <c r="CU160">
        <v>0</v>
      </c>
      <c r="CW160">
        <v>0</v>
      </c>
      <c r="CY160">
        <v>26.6</v>
      </c>
      <c r="CZ160">
        <v>11.1</v>
      </c>
      <c r="DA160">
        <v>25.2</v>
      </c>
      <c r="DB160">
        <v>11570</v>
      </c>
      <c r="DC160">
        <v>57.646999999999998</v>
      </c>
      <c r="DD160">
        <v>41.829000000000001</v>
      </c>
      <c r="DE160">
        <v>4.0000000000000001E-3</v>
      </c>
      <c r="DF160">
        <v>10785</v>
      </c>
      <c r="DH160">
        <v>235.9</v>
      </c>
      <c r="DI160">
        <v>65860</v>
      </c>
      <c r="DJ160">
        <v>22.7</v>
      </c>
      <c r="DK160">
        <v>38</v>
      </c>
      <c r="DN160" s="23"/>
      <c r="DO160" s="42">
        <v>424.6</v>
      </c>
      <c r="DP160" t="s">
        <v>286</v>
      </c>
    </row>
    <row r="161" spans="1:128" x14ac:dyDescent="0.3">
      <c r="A161" s="2">
        <v>41700</v>
      </c>
      <c r="B161" s="21">
        <f t="shared" si="10"/>
        <v>152</v>
      </c>
      <c r="D161" s="71">
        <v>0.25</v>
      </c>
      <c r="E161" s="74">
        <v>144042</v>
      </c>
      <c r="F161" s="10">
        <v>72000</v>
      </c>
      <c r="G161" s="10">
        <f t="shared" si="11"/>
        <v>72042</v>
      </c>
      <c r="U161" s="74">
        <v>3200.7750000000001</v>
      </c>
      <c r="AI161" s="80">
        <v>5.7000000000000002E-2</v>
      </c>
      <c r="AJ161" s="10">
        <v>0.41125000000000006</v>
      </c>
      <c r="AK161" s="10">
        <v>1.7604166666666667</v>
      </c>
      <c r="AL161">
        <v>1094</v>
      </c>
      <c r="AP161">
        <v>99932</v>
      </c>
      <c r="AQ161" s="10">
        <f t="shared" si="12"/>
        <v>146148.77499999999</v>
      </c>
      <c r="AX161" s="10">
        <v>2.843</v>
      </c>
      <c r="AZ161" s="10">
        <v>115.529</v>
      </c>
      <c r="BA161" s="10">
        <v>6.085</v>
      </c>
      <c r="BB161">
        <v>3.194</v>
      </c>
      <c r="BD161">
        <v>80</v>
      </c>
      <c r="BE161">
        <v>8.5380000000000003</v>
      </c>
      <c r="BF161" s="10">
        <v>2.6909999999999998</v>
      </c>
      <c r="BH161" s="10">
        <v>123</v>
      </c>
      <c r="BI161" s="10">
        <v>7.4420000000000002</v>
      </c>
      <c r="BJ161">
        <v>3.8690000000000002</v>
      </c>
      <c r="BM161">
        <v>466</v>
      </c>
      <c r="BN161">
        <v>5.7619999999999996</v>
      </c>
      <c r="BO161" s="10">
        <v>11.859</v>
      </c>
      <c r="BP161">
        <v>72042</v>
      </c>
      <c r="CB161">
        <v>9.3339999999999996</v>
      </c>
      <c r="CC161">
        <v>11648</v>
      </c>
      <c r="CD161">
        <v>2893</v>
      </c>
      <c r="CE161">
        <v>2473.5</v>
      </c>
      <c r="CF161">
        <v>2792</v>
      </c>
      <c r="CG161">
        <v>2499</v>
      </c>
      <c r="CH161">
        <v>4985</v>
      </c>
      <c r="CI161">
        <v>12750</v>
      </c>
      <c r="CK161">
        <v>0</v>
      </c>
      <c r="CL161">
        <v>26000</v>
      </c>
      <c r="CM161">
        <v>0</v>
      </c>
      <c r="CN161">
        <v>25000</v>
      </c>
      <c r="CO161">
        <v>0</v>
      </c>
      <c r="CP161">
        <v>21000</v>
      </c>
      <c r="CQ161">
        <v>0</v>
      </c>
      <c r="CR161">
        <v>59000</v>
      </c>
      <c r="CS161">
        <v>0</v>
      </c>
      <c r="CU161">
        <v>0</v>
      </c>
      <c r="CW161">
        <v>0</v>
      </c>
      <c r="CY161">
        <v>3.8</v>
      </c>
      <c r="CZ161">
        <v>29.6</v>
      </c>
      <c r="DA161">
        <v>28.8</v>
      </c>
      <c r="DB161">
        <v>9944</v>
      </c>
      <c r="DC161">
        <v>57.932000000000002</v>
      </c>
      <c r="DD161">
        <v>41.591000000000001</v>
      </c>
      <c r="DE161">
        <v>4.0000000000000001E-3</v>
      </c>
      <c r="DF161">
        <v>8620</v>
      </c>
      <c r="DH161">
        <v>164</v>
      </c>
      <c r="DI161">
        <v>33520</v>
      </c>
      <c r="DJ161">
        <v>22.7</v>
      </c>
      <c r="DK161">
        <v>38</v>
      </c>
      <c r="DN161" s="23"/>
      <c r="DO161" s="42">
        <v>350.5</v>
      </c>
      <c r="DP161" t="s">
        <v>286</v>
      </c>
    </row>
    <row r="162" spans="1:128" x14ac:dyDescent="0.3">
      <c r="A162" s="2">
        <v>41701</v>
      </c>
      <c r="B162" s="21">
        <f t="shared" si="10"/>
        <v>153</v>
      </c>
      <c r="D162" s="71">
        <v>0.36</v>
      </c>
      <c r="E162" s="74">
        <v>129074</v>
      </c>
      <c r="F162" s="10">
        <v>72000</v>
      </c>
      <c r="G162" s="10">
        <f t="shared" si="11"/>
        <v>57074</v>
      </c>
      <c r="H162" s="80">
        <v>407</v>
      </c>
      <c r="I162" s="80">
        <v>245</v>
      </c>
      <c r="J162" s="80">
        <v>50.7</v>
      </c>
      <c r="K162" s="80">
        <v>7.11</v>
      </c>
      <c r="L162" s="80">
        <v>243</v>
      </c>
      <c r="M162" s="10">
        <v>242927</v>
      </c>
      <c r="N162">
        <v>3415</v>
      </c>
      <c r="P162" s="80">
        <v>200</v>
      </c>
      <c r="Q162" s="80">
        <v>110</v>
      </c>
      <c r="R162" s="80">
        <v>23.8</v>
      </c>
      <c r="S162" s="80">
        <v>3.7</v>
      </c>
      <c r="T162" s="80">
        <v>110</v>
      </c>
      <c r="U162" s="74">
        <v>3559.8</v>
      </c>
      <c r="W162" s="80">
        <v>4590</v>
      </c>
      <c r="X162" s="80">
        <v>440</v>
      </c>
      <c r="Y162" s="80">
        <v>771</v>
      </c>
      <c r="Z162" s="80">
        <v>0.24</v>
      </c>
      <c r="AA162" s="80">
        <v>0.31</v>
      </c>
      <c r="AB162" s="80">
        <v>150</v>
      </c>
      <c r="AD162" s="80">
        <v>2200</v>
      </c>
      <c r="AF162" s="80">
        <v>2300</v>
      </c>
      <c r="AG162" s="80">
        <v>21.3</v>
      </c>
      <c r="AH162" s="80">
        <v>91</v>
      </c>
      <c r="AI162" s="80">
        <v>1.7000000000000001E-2</v>
      </c>
      <c r="AJ162" s="10">
        <v>0.24916666666666668</v>
      </c>
      <c r="AK162" s="10">
        <v>1.7237500000000001</v>
      </c>
      <c r="AL162">
        <v>1301</v>
      </c>
      <c r="AP162">
        <v>93734</v>
      </c>
      <c r="AQ162" s="10">
        <f t="shared" si="12"/>
        <v>131332.79999999999</v>
      </c>
      <c r="AR162" s="80">
        <v>120</v>
      </c>
      <c r="AS162" s="80">
        <v>62</v>
      </c>
      <c r="AT162" s="80">
        <v>20.2</v>
      </c>
      <c r="AU162" s="80">
        <v>2.2999999999999998</v>
      </c>
      <c r="AV162" s="80">
        <v>58</v>
      </c>
      <c r="AW162" s="6">
        <v>7.0000000000000007E-2</v>
      </c>
      <c r="AX162" s="10">
        <v>2.89</v>
      </c>
      <c r="AY162" s="10">
        <v>21</v>
      </c>
      <c r="AZ162" s="10">
        <v>153.244</v>
      </c>
      <c r="BA162" s="10">
        <v>6.4669999999999996</v>
      </c>
      <c r="BB162">
        <v>3.2</v>
      </c>
      <c r="BC162">
        <v>21</v>
      </c>
      <c r="BD162">
        <v>129</v>
      </c>
      <c r="BE162">
        <v>9.4239999999999995</v>
      </c>
      <c r="BF162" s="10">
        <v>2.27</v>
      </c>
      <c r="BG162" s="10">
        <v>20</v>
      </c>
      <c r="BH162" s="10">
        <v>131</v>
      </c>
      <c r="BI162" s="10">
        <v>7.944</v>
      </c>
      <c r="BJ162">
        <v>3.7</v>
      </c>
      <c r="BK162">
        <v>22</v>
      </c>
      <c r="BL162">
        <v>97</v>
      </c>
      <c r="BM162">
        <v>522.95299999999997</v>
      </c>
      <c r="BN162">
        <v>5.79</v>
      </c>
      <c r="BO162" s="10">
        <v>11.863</v>
      </c>
      <c r="BP162">
        <v>57074</v>
      </c>
      <c r="BR162">
        <v>36</v>
      </c>
      <c r="BS162">
        <v>3</v>
      </c>
      <c r="BT162">
        <v>2.5</v>
      </c>
      <c r="BU162">
        <v>0.66</v>
      </c>
      <c r="BV162">
        <v>0.76</v>
      </c>
      <c r="BW162">
        <v>6.4</v>
      </c>
      <c r="BX162">
        <v>0.94</v>
      </c>
      <c r="BY162">
        <v>1</v>
      </c>
      <c r="BZ162">
        <v>4.5999999999999996</v>
      </c>
      <c r="CA162">
        <v>0.57999999999999996</v>
      </c>
      <c r="CB162">
        <v>9</v>
      </c>
      <c r="CC162">
        <v>10437</v>
      </c>
      <c r="CD162">
        <v>2728</v>
      </c>
      <c r="CE162">
        <v>2532.5</v>
      </c>
      <c r="CF162">
        <v>2798</v>
      </c>
      <c r="CG162">
        <v>2427</v>
      </c>
      <c r="CH162">
        <v>4787</v>
      </c>
      <c r="CI162">
        <v>12545</v>
      </c>
      <c r="CK162">
        <v>0</v>
      </c>
      <c r="CL162">
        <v>26000</v>
      </c>
      <c r="CM162">
        <v>0</v>
      </c>
      <c r="CN162">
        <v>25000</v>
      </c>
      <c r="CO162">
        <v>0</v>
      </c>
      <c r="CP162">
        <v>21000</v>
      </c>
      <c r="CQ162">
        <v>0</v>
      </c>
      <c r="CR162">
        <v>59000</v>
      </c>
      <c r="CS162">
        <v>0</v>
      </c>
      <c r="CU162">
        <v>0</v>
      </c>
      <c r="CW162">
        <v>0</v>
      </c>
      <c r="CY162">
        <v>0</v>
      </c>
      <c r="CZ162">
        <v>33.299999999999997</v>
      </c>
      <c r="DA162">
        <v>39.6</v>
      </c>
      <c r="DB162">
        <v>9659</v>
      </c>
      <c r="DC162">
        <v>58.387999999999998</v>
      </c>
      <c r="DD162">
        <v>40.841999999999999</v>
      </c>
      <c r="DE162">
        <v>5.0000000000000001E-3</v>
      </c>
      <c r="DF162">
        <v>8500</v>
      </c>
      <c r="DH162">
        <v>200.1</v>
      </c>
      <c r="DI162">
        <v>0</v>
      </c>
      <c r="DJ162">
        <v>22.7</v>
      </c>
      <c r="DK162">
        <v>38</v>
      </c>
      <c r="DN162" s="23"/>
      <c r="DO162" s="42">
        <v>419.3</v>
      </c>
      <c r="DP162" t="s">
        <v>286</v>
      </c>
      <c r="DQ162" s="80">
        <v>1870</v>
      </c>
      <c r="DR162" s="80">
        <v>254</v>
      </c>
      <c r="DS162" s="80">
        <v>130</v>
      </c>
      <c r="DT162" s="80">
        <v>3.1</v>
      </c>
      <c r="DU162" s="80">
        <v>51</v>
      </c>
      <c r="DV162" s="80">
        <v>27</v>
      </c>
      <c r="DW162" s="80">
        <v>110</v>
      </c>
      <c r="DX162" s="80">
        <v>1700</v>
      </c>
    </row>
    <row r="163" spans="1:128" x14ac:dyDescent="0.3">
      <c r="A163" s="2">
        <v>41702</v>
      </c>
      <c r="B163" s="21">
        <f t="shared" si="10"/>
        <v>154</v>
      </c>
      <c r="D163" s="71">
        <v>0.02</v>
      </c>
      <c r="E163" s="74">
        <v>128550</v>
      </c>
      <c r="F163" s="10">
        <v>72000</v>
      </c>
      <c r="G163" s="10">
        <f t="shared" si="11"/>
        <v>56550</v>
      </c>
      <c r="U163" s="74">
        <v>3601.5860000000002</v>
      </c>
      <c r="AI163" s="80">
        <v>1.7000000000000001E-2</v>
      </c>
      <c r="AJ163" s="10">
        <v>0.29291666666666671</v>
      </c>
      <c r="AK163" s="10">
        <v>1.7645833333333332</v>
      </c>
      <c r="AL163">
        <v>1210</v>
      </c>
      <c r="AP163">
        <v>99500</v>
      </c>
      <c r="AQ163" s="10">
        <f t="shared" si="12"/>
        <v>130941.58600000001</v>
      </c>
      <c r="AX163" s="10">
        <v>2.7959999999999998</v>
      </c>
      <c r="AZ163" s="10">
        <v>141.227</v>
      </c>
      <c r="BA163" s="10">
        <v>6.4779999999999998</v>
      </c>
      <c r="BB163">
        <v>3.1349999999999998</v>
      </c>
      <c r="BD163">
        <v>121</v>
      </c>
      <c r="BE163">
        <v>9.2880000000000003</v>
      </c>
      <c r="BF163" s="10">
        <v>2.6309999999999998</v>
      </c>
      <c r="BH163" s="10">
        <v>121</v>
      </c>
      <c r="BI163" s="10">
        <v>7.867</v>
      </c>
      <c r="BJ163">
        <v>3.8620000000000001</v>
      </c>
      <c r="BM163">
        <v>522.95299999999997</v>
      </c>
      <c r="BN163">
        <v>5.66</v>
      </c>
      <c r="BO163" s="10">
        <v>11.856</v>
      </c>
      <c r="BP163">
        <v>56550</v>
      </c>
      <c r="CB163">
        <v>8</v>
      </c>
      <c r="CC163">
        <v>9948</v>
      </c>
      <c r="CD163">
        <v>2867</v>
      </c>
      <c r="CE163">
        <v>2542</v>
      </c>
      <c r="CF163">
        <v>2846</v>
      </c>
      <c r="CG163">
        <v>2541</v>
      </c>
      <c r="CH163">
        <v>5124</v>
      </c>
      <c r="CI163">
        <v>13053</v>
      </c>
      <c r="CK163">
        <v>0</v>
      </c>
      <c r="CL163">
        <v>26000</v>
      </c>
      <c r="CM163">
        <v>0</v>
      </c>
      <c r="CN163">
        <v>25000</v>
      </c>
      <c r="CO163">
        <v>0</v>
      </c>
      <c r="CP163">
        <v>21000</v>
      </c>
      <c r="CQ163">
        <v>107</v>
      </c>
      <c r="CR163">
        <v>59000</v>
      </c>
      <c r="CS163">
        <v>0</v>
      </c>
      <c r="CU163">
        <v>0</v>
      </c>
      <c r="CW163">
        <v>0</v>
      </c>
      <c r="CY163">
        <v>0</v>
      </c>
      <c r="CZ163">
        <v>33.299999999999997</v>
      </c>
      <c r="DA163">
        <v>32.4</v>
      </c>
      <c r="DB163">
        <v>9922</v>
      </c>
      <c r="DC163">
        <v>58.268000000000001</v>
      </c>
      <c r="DD163">
        <v>40.790999999999997</v>
      </c>
      <c r="DE163">
        <v>5.0000000000000001E-3</v>
      </c>
      <c r="DF163">
        <v>9110</v>
      </c>
      <c r="DH163">
        <v>207.3</v>
      </c>
      <c r="DI163">
        <v>67680</v>
      </c>
      <c r="DJ163">
        <v>22.7</v>
      </c>
      <c r="DK163">
        <v>38</v>
      </c>
      <c r="DL163">
        <v>1</v>
      </c>
      <c r="DM163">
        <v>10100</v>
      </c>
      <c r="DN163" s="23"/>
      <c r="DO163" s="42">
        <v>362.8</v>
      </c>
      <c r="DP163" t="s">
        <v>286</v>
      </c>
    </row>
    <row r="164" spans="1:128" x14ac:dyDescent="0.3">
      <c r="A164" s="2">
        <v>41703</v>
      </c>
      <c r="B164" s="21">
        <f t="shared" si="10"/>
        <v>155</v>
      </c>
      <c r="D164" s="71">
        <v>0</v>
      </c>
      <c r="E164" s="74">
        <v>127300</v>
      </c>
      <c r="F164" s="10">
        <v>72000</v>
      </c>
      <c r="G164" s="10">
        <f t="shared" si="11"/>
        <v>55300</v>
      </c>
      <c r="U164" s="74">
        <v>3470.75</v>
      </c>
      <c r="AI164" s="80">
        <v>2.1000000000000001E-2</v>
      </c>
      <c r="AJ164" s="10">
        <v>0.22416666666666671</v>
      </c>
      <c r="AK164" s="10">
        <v>1.7595833333333328</v>
      </c>
      <c r="AL164">
        <v>1438</v>
      </c>
      <c r="AP164">
        <v>92776</v>
      </c>
      <c r="AQ164" s="10">
        <f t="shared" si="12"/>
        <v>129332.75</v>
      </c>
      <c r="AX164" s="10">
        <v>2.7130000000000001</v>
      </c>
      <c r="AZ164" s="10">
        <v>119</v>
      </c>
      <c r="BA164" s="10">
        <v>6.62</v>
      </c>
      <c r="BB164">
        <v>3.2010000000000001</v>
      </c>
      <c r="BD164">
        <v>10</v>
      </c>
      <c r="BE164">
        <v>8.2530000000000001</v>
      </c>
      <c r="BF164" s="10">
        <v>2.5659999999999998</v>
      </c>
      <c r="BH164" s="10">
        <v>89.841999999999999</v>
      </c>
      <c r="BI164" s="10">
        <v>8.0690000000000008</v>
      </c>
      <c r="BJ164">
        <v>3.7650000000000001</v>
      </c>
      <c r="BM164">
        <v>523.92999999999995</v>
      </c>
      <c r="BN164">
        <v>5.4740000000000002</v>
      </c>
      <c r="BO164" s="10">
        <v>12.023999999999999</v>
      </c>
      <c r="BP164">
        <v>55300</v>
      </c>
      <c r="CB164">
        <v>8</v>
      </c>
      <c r="CC164">
        <v>9462.5</v>
      </c>
      <c r="CD164">
        <v>2706</v>
      </c>
      <c r="CE164">
        <v>2660</v>
      </c>
      <c r="CF164">
        <v>2330</v>
      </c>
      <c r="CG164">
        <v>2605</v>
      </c>
      <c r="CH164">
        <v>4884</v>
      </c>
      <c r="CI164">
        <v>12479</v>
      </c>
      <c r="CK164">
        <v>0</v>
      </c>
      <c r="CL164">
        <v>26000</v>
      </c>
      <c r="CM164">
        <v>0</v>
      </c>
      <c r="CN164">
        <v>25000</v>
      </c>
      <c r="CO164">
        <v>0</v>
      </c>
      <c r="CP164">
        <v>21000</v>
      </c>
      <c r="CQ164">
        <v>105</v>
      </c>
      <c r="CR164">
        <v>59000</v>
      </c>
      <c r="CS164">
        <v>0</v>
      </c>
      <c r="CU164">
        <v>0</v>
      </c>
      <c r="CW164">
        <v>0</v>
      </c>
      <c r="CY164">
        <v>0</v>
      </c>
      <c r="CZ164">
        <v>37</v>
      </c>
      <c r="DA164">
        <v>43.2</v>
      </c>
      <c r="DB164">
        <v>9480</v>
      </c>
      <c r="DC164">
        <v>58.673000000000002</v>
      </c>
      <c r="DD164">
        <v>41.363</v>
      </c>
      <c r="DE164">
        <v>5.0000000000000001E-3</v>
      </c>
      <c r="DF164">
        <v>8775</v>
      </c>
      <c r="DH164">
        <v>177</v>
      </c>
      <c r="DI164">
        <v>66080</v>
      </c>
      <c r="DJ164">
        <v>23.2</v>
      </c>
      <c r="DK164">
        <v>45</v>
      </c>
      <c r="DN164" s="23"/>
      <c r="DO164" s="42">
        <v>373.8</v>
      </c>
      <c r="DP164" t="s">
        <v>286</v>
      </c>
    </row>
    <row r="165" spans="1:128" x14ac:dyDescent="0.3">
      <c r="A165" s="2">
        <v>41704</v>
      </c>
      <c r="B165" s="21">
        <f t="shared" si="10"/>
        <v>156</v>
      </c>
      <c r="D165" s="71">
        <v>0</v>
      </c>
      <c r="E165" s="74">
        <v>127500</v>
      </c>
      <c r="F165" s="10">
        <v>72000</v>
      </c>
      <c r="G165" s="10">
        <f t="shared" si="11"/>
        <v>55500</v>
      </c>
      <c r="U165" s="74">
        <v>3609.1639999999998</v>
      </c>
      <c r="AF165" s="80">
        <v>2974</v>
      </c>
      <c r="AG165" s="80">
        <v>18.3</v>
      </c>
      <c r="AH165" s="80">
        <v>74</v>
      </c>
      <c r="AI165" s="80">
        <v>1.7000000000000001E-2</v>
      </c>
      <c r="AJ165" s="10">
        <v>0.23083333333333331</v>
      </c>
      <c r="AK165" s="10">
        <v>1.8570833333333334</v>
      </c>
      <c r="AL165">
        <v>1437</v>
      </c>
      <c r="AP165">
        <v>108490</v>
      </c>
      <c r="AQ165" s="10">
        <f t="shared" si="12"/>
        <v>129672.16399999999</v>
      </c>
      <c r="AX165" s="10">
        <v>2.85</v>
      </c>
      <c r="AZ165" s="10">
        <v>110</v>
      </c>
      <c r="BA165" s="10">
        <v>6.4989999999999997</v>
      </c>
      <c r="BB165">
        <v>3.28</v>
      </c>
      <c r="BD165">
        <v>110</v>
      </c>
      <c r="BE165">
        <v>8.7880000000000003</v>
      </c>
      <c r="BF165" s="10">
        <v>2.7</v>
      </c>
      <c r="BH165" s="10">
        <v>91.216999999999999</v>
      </c>
      <c r="BI165" s="10">
        <v>7.8959999999999999</v>
      </c>
      <c r="BJ165">
        <v>3.6</v>
      </c>
      <c r="BL165">
        <v>100</v>
      </c>
      <c r="BM165">
        <v>532.95299999999997</v>
      </c>
      <c r="BN165">
        <v>5.2069999999999999</v>
      </c>
      <c r="BO165" s="10">
        <v>12.207000000000001</v>
      </c>
      <c r="BP165">
        <v>55500</v>
      </c>
      <c r="CB165">
        <v>9</v>
      </c>
      <c r="CC165">
        <v>10691.5</v>
      </c>
      <c r="CD165">
        <v>2369</v>
      </c>
      <c r="CE165">
        <v>2501</v>
      </c>
      <c r="CF165">
        <v>2704</v>
      </c>
      <c r="CG165">
        <v>2441.5</v>
      </c>
      <c r="CH165">
        <v>4577</v>
      </c>
      <c r="CI165">
        <v>12224</v>
      </c>
      <c r="CK165">
        <v>0</v>
      </c>
      <c r="CL165">
        <v>26000</v>
      </c>
      <c r="CM165">
        <v>0</v>
      </c>
      <c r="CN165">
        <v>25000</v>
      </c>
      <c r="CO165">
        <v>0</v>
      </c>
      <c r="CP165">
        <v>21000</v>
      </c>
      <c r="CQ165">
        <v>71</v>
      </c>
      <c r="CR165">
        <v>59000</v>
      </c>
      <c r="CS165">
        <v>0</v>
      </c>
      <c r="CU165">
        <v>0</v>
      </c>
      <c r="CW165">
        <v>0</v>
      </c>
      <c r="CY165">
        <v>18</v>
      </c>
      <c r="CZ165">
        <v>7.4</v>
      </c>
      <c r="DA165">
        <v>61.2</v>
      </c>
      <c r="DB165">
        <v>8849</v>
      </c>
      <c r="DC165">
        <v>59.365000000000002</v>
      </c>
      <c r="DD165">
        <v>41.643999999999998</v>
      </c>
      <c r="DE165">
        <v>6.0000000000000001E-3</v>
      </c>
      <c r="DF165">
        <v>8351.625</v>
      </c>
      <c r="DH165">
        <v>158.19999999999999</v>
      </c>
      <c r="DI165">
        <v>68180</v>
      </c>
      <c r="DJ165">
        <v>23.2</v>
      </c>
      <c r="DK165">
        <v>45</v>
      </c>
      <c r="DN165" s="23"/>
      <c r="DO165" s="42">
        <v>377</v>
      </c>
      <c r="DP165" t="s">
        <v>286</v>
      </c>
    </row>
    <row r="166" spans="1:128" x14ac:dyDescent="0.3">
      <c r="A166" s="2">
        <v>41705</v>
      </c>
      <c r="B166" s="21">
        <f t="shared" si="10"/>
        <v>157</v>
      </c>
      <c r="D166" s="71">
        <v>0</v>
      </c>
      <c r="E166" s="74">
        <v>123400</v>
      </c>
      <c r="F166" s="10">
        <v>72000</v>
      </c>
      <c r="G166" s="10">
        <f t="shared" si="11"/>
        <v>51400</v>
      </c>
      <c r="U166" s="74">
        <v>3435.05</v>
      </c>
      <c r="AI166" s="80">
        <v>1.0999999999999999E-2</v>
      </c>
      <c r="AJ166" s="10">
        <v>0.46875000000000006</v>
      </c>
      <c r="AK166" s="10">
        <v>1.9154166666666663</v>
      </c>
      <c r="AL166">
        <v>1318</v>
      </c>
      <c r="AP166">
        <v>106768</v>
      </c>
      <c r="AQ166" s="10">
        <f t="shared" si="12"/>
        <v>125517.05</v>
      </c>
      <c r="AX166" s="10">
        <v>2.7349999999999999</v>
      </c>
      <c r="AZ166" s="10">
        <v>100</v>
      </c>
      <c r="BA166" s="10">
        <v>6.2569999999999997</v>
      </c>
      <c r="BB166">
        <v>3.1320000000000001</v>
      </c>
      <c r="BD166">
        <v>110</v>
      </c>
      <c r="BE166">
        <v>9.0389999999999997</v>
      </c>
      <c r="BF166" s="10">
        <v>2.6880000000000002</v>
      </c>
      <c r="BH166" s="10">
        <v>69.349999999999994</v>
      </c>
      <c r="BI166" s="10">
        <v>7.8239999999999998</v>
      </c>
      <c r="BJ166">
        <v>3.5419999999999998</v>
      </c>
      <c r="BM166">
        <v>530.95299999999997</v>
      </c>
      <c r="BN166">
        <v>4.8470000000000004</v>
      </c>
      <c r="BO166" s="10">
        <v>12.433</v>
      </c>
      <c r="BP166">
        <v>51400</v>
      </c>
      <c r="CB166">
        <v>8</v>
      </c>
      <c r="CC166">
        <v>9085</v>
      </c>
      <c r="CD166">
        <v>2617</v>
      </c>
      <c r="CE166">
        <v>2325</v>
      </c>
      <c r="CF166">
        <v>2594</v>
      </c>
      <c r="CG166">
        <v>2256.5</v>
      </c>
      <c r="CH166">
        <v>4427</v>
      </c>
      <c r="CI166">
        <v>11603</v>
      </c>
      <c r="CK166">
        <v>0</v>
      </c>
      <c r="CL166">
        <v>26000</v>
      </c>
      <c r="CM166">
        <v>0</v>
      </c>
      <c r="CN166">
        <v>25000</v>
      </c>
      <c r="CO166">
        <v>0</v>
      </c>
      <c r="CP166">
        <v>21000</v>
      </c>
      <c r="CQ166">
        <v>35</v>
      </c>
      <c r="CR166">
        <v>59000</v>
      </c>
      <c r="CS166">
        <v>0</v>
      </c>
      <c r="CU166">
        <v>0</v>
      </c>
      <c r="CW166">
        <v>0</v>
      </c>
      <c r="CY166">
        <v>26.6</v>
      </c>
      <c r="CZ166">
        <v>3.9</v>
      </c>
      <c r="DA166">
        <v>64.8</v>
      </c>
      <c r="DB166">
        <v>8853</v>
      </c>
      <c r="DC166">
        <v>59.521000000000001</v>
      </c>
      <c r="DD166">
        <v>41.643999999999998</v>
      </c>
      <c r="DE166">
        <v>6.0000000000000001E-3</v>
      </c>
      <c r="DF166">
        <v>8653.375</v>
      </c>
      <c r="DH166">
        <v>159.9</v>
      </c>
      <c r="DI166">
        <v>99220</v>
      </c>
      <c r="DJ166">
        <v>23.2</v>
      </c>
      <c r="DK166">
        <v>45</v>
      </c>
      <c r="DN166" s="23"/>
      <c r="DO166" s="42">
        <v>358.3</v>
      </c>
      <c r="DP166" t="s">
        <v>286</v>
      </c>
    </row>
    <row r="167" spans="1:128" x14ac:dyDescent="0.3">
      <c r="A167" s="2">
        <v>41706</v>
      </c>
      <c r="B167" s="21">
        <f t="shared" si="10"/>
        <v>158</v>
      </c>
      <c r="D167" s="71">
        <v>0.01</v>
      </c>
      <c r="E167" s="74">
        <v>123752</v>
      </c>
      <c r="F167" s="10">
        <v>72052</v>
      </c>
      <c r="G167" s="10">
        <f t="shared" si="11"/>
        <v>51700</v>
      </c>
      <c r="U167" s="74">
        <v>3016.7</v>
      </c>
      <c r="AI167" s="80">
        <v>1.6E-2</v>
      </c>
      <c r="AJ167" s="10">
        <v>0.3874999999999999</v>
      </c>
      <c r="AK167" s="10">
        <v>1.7579166666666672</v>
      </c>
      <c r="AL167">
        <v>1305</v>
      </c>
      <c r="AP167">
        <v>109232</v>
      </c>
      <c r="AQ167" s="10">
        <f t="shared" si="12"/>
        <v>125463.7</v>
      </c>
      <c r="AX167" s="10">
        <v>2.7850000000000001</v>
      </c>
      <c r="AZ167" s="10">
        <v>80</v>
      </c>
      <c r="BA167" s="10">
        <v>6.3319999999999999</v>
      </c>
      <c r="BB167">
        <v>3.1480000000000001</v>
      </c>
      <c r="BD167">
        <v>109.982</v>
      </c>
      <c r="BE167">
        <v>9.1609999999999996</v>
      </c>
      <c r="BF167" s="10">
        <v>2.762</v>
      </c>
      <c r="BH167" s="10">
        <v>55</v>
      </c>
      <c r="BI167" s="10">
        <v>8.0259999999999998</v>
      </c>
      <c r="BJ167">
        <v>3.488</v>
      </c>
      <c r="BM167">
        <v>503.90600000000001</v>
      </c>
      <c r="BN167">
        <v>4.6989999999999998</v>
      </c>
      <c r="BO167" s="10">
        <v>12.537000000000001</v>
      </c>
      <c r="BP167">
        <v>51700</v>
      </c>
      <c r="CB167">
        <v>9</v>
      </c>
      <c r="CC167">
        <v>11724</v>
      </c>
      <c r="CD167">
        <v>2814</v>
      </c>
      <c r="CE167">
        <v>2536</v>
      </c>
      <c r="CF167">
        <v>2748</v>
      </c>
      <c r="CG167">
        <v>2482</v>
      </c>
      <c r="CH167">
        <v>4564</v>
      </c>
      <c r="CI167">
        <v>12330</v>
      </c>
      <c r="CK167">
        <v>0</v>
      </c>
      <c r="CL167">
        <v>26000</v>
      </c>
      <c r="CM167">
        <v>0</v>
      </c>
      <c r="CN167">
        <v>25000</v>
      </c>
      <c r="CO167">
        <v>0</v>
      </c>
      <c r="CP167">
        <v>21000</v>
      </c>
      <c r="CQ167">
        <v>36</v>
      </c>
      <c r="CR167">
        <v>59000</v>
      </c>
      <c r="CS167">
        <v>0</v>
      </c>
      <c r="CU167">
        <v>0</v>
      </c>
      <c r="CW167">
        <v>0</v>
      </c>
      <c r="CY167">
        <v>22.8</v>
      </c>
      <c r="CZ167">
        <v>0</v>
      </c>
      <c r="DA167">
        <v>25.2</v>
      </c>
      <c r="DB167">
        <v>7755</v>
      </c>
      <c r="DC167">
        <v>59.518000000000001</v>
      </c>
      <c r="DD167">
        <v>41.703000000000003</v>
      </c>
      <c r="DE167">
        <v>6.0000000000000001E-3</v>
      </c>
      <c r="DF167">
        <v>7697.5</v>
      </c>
      <c r="DH167">
        <v>117.6</v>
      </c>
      <c r="DI167">
        <v>68320</v>
      </c>
      <c r="DJ167">
        <v>23.2</v>
      </c>
      <c r="DK167">
        <v>45</v>
      </c>
      <c r="DN167" s="23"/>
      <c r="DO167" s="42">
        <v>270</v>
      </c>
      <c r="DP167" t="s">
        <v>286</v>
      </c>
    </row>
    <row r="168" spans="1:128" x14ac:dyDescent="0.3">
      <c r="A168" s="2">
        <v>41707</v>
      </c>
      <c r="B168" s="21">
        <f t="shared" si="10"/>
        <v>159</v>
      </c>
      <c r="D168" s="71">
        <v>0.02</v>
      </c>
      <c r="E168" s="74">
        <v>125200</v>
      </c>
      <c r="F168" s="10">
        <v>72000</v>
      </c>
      <c r="G168" s="10">
        <f t="shared" si="11"/>
        <v>53200</v>
      </c>
      <c r="H168" s="80">
        <v>534</v>
      </c>
      <c r="J168" s="80">
        <v>55.4</v>
      </c>
      <c r="K168" s="80">
        <v>7.85</v>
      </c>
      <c r="M168" s="10">
        <v>279334</v>
      </c>
      <c r="N168">
        <v>3933</v>
      </c>
      <c r="P168" s="80">
        <v>250</v>
      </c>
      <c r="R168" s="80">
        <v>25.4</v>
      </c>
      <c r="S168" s="80">
        <v>4.2</v>
      </c>
      <c r="U168" s="74">
        <v>2961.6</v>
      </c>
      <c r="AI168" s="80">
        <v>1.4E-2</v>
      </c>
      <c r="AJ168" s="10">
        <v>0.25625000000000003</v>
      </c>
      <c r="AK168" s="10">
        <v>1.7275</v>
      </c>
      <c r="AL168">
        <v>1219</v>
      </c>
      <c r="AP168">
        <v>110934</v>
      </c>
      <c r="AQ168" s="10">
        <f t="shared" si="12"/>
        <v>126942.6</v>
      </c>
      <c r="AR168" s="80">
        <v>150</v>
      </c>
      <c r="AT168" s="80">
        <v>25.7</v>
      </c>
      <c r="AU168" s="80">
        <v>3.3</v>
      </c>
      <c r="AV168" s="80">
        <v>65</v>
      </c>
      <c r="AX168" s="10">
        <v>2.802</v>
      </c>
      <c r="AZ168" s="10">
        <v>80</v>
      </c>
      <c r="BA168" s="10">
        <v>7.1</v>
      </c>
      <c r="BB168">
        <v>3.3639999999999999</v>
      </c>
      <c r="BD168">
        <v>110.26</v>
      </c>
      <c r="BE168">
        <v>7.2140000000000004</v>
      </c>
      <c r="BF168" s="10">
        <v>2.7509999999999999</v>
      </c>
      <c r="BH168" s="10">
        <v>51</v>
      </c>
      <c r="BI168" s="10">
        <v>9.0289999999999999</v>
      </c>
      <c r="BJ168">
        <v>3.573</v>
      </c>
      <c r="BM168">
        <v>503.90600000000001</v>
      </c>
      <c r="BN168">
        <v>5.0430000000000001</v>
      </c>
      <c r="BO168" s="10">
        <v>12.827</v>
      </c>
      <c r="BP168">
        <v>53200</v>
      </c>
      <c r="BR168">
        <v>40</v>
      </c>
      <c r="BS168">
        <v>3</v>
      </c>
      <c r="BT168">
        <v>3.2</v>
      </c>
      <c r="BU168">
        <v>1</v>
      </c>
      <c r="BV168">
        <v>0.81</v>
      </c>
      <c r="BW168">
        <v>7</v>
      </c>
      <c r="BX168">
        <v>1.1000000000000001</v>
      </c>
      <c r="BY168">
        <v>1.5</v>
      </c>
      <c r="BZ168">
        <v>6.5</v>
      </c>
      <c r="CA168">
        <v>0.5</v>
      </c>
      <c r="CB168">
        <v>8</v>
      </c>
      <c r="CC168">
        <v>14733</v>
      </c>
      <c r="CD168">
        <v>3035</v>
      </c>
      <c r="CE168">
        <v>3000</v>
      </c>
      <c r="CF168">
        <v>2084</v>
      </c>
      <c r="CG168">
        <v>2952</v>
      </c>
      <c r="CH168">
        <v>5436</v>
      </c>
      <c r="CI168">
        <v>13472</v>
      </c>
      <c r="CK168">
        <v>0</v>
      </c>
      <c r="CL168">
        <v>26000</v>
      </c>
      <c r="CM168">
        <v>0</v>
      </c>
      <c r="CN168">
        <v>25000</v>
      </c>
      <c r="CO168">
        <v>0</v>
      </c>
      <c r="CP168">
        <v>21000</v>
      </c>
      <c r="CQ168">
        <v>0</v>
      </c>
      <c r="CR168">
        <v>59000</v>
      </c>
      <c r="CS168">
        <v>0</v>
      </c>
      <c r="CU168">
        <v>0</v>
      </c>
      <c r="CW168">
        <v>0</v>
      </c>
      <c r="CY168">
        <v>7.6</v>
      </c>
      <c r="CZ168">
        <v>23.4</v>
      </c>
      <c r="DA168">
        <v>57.6</v>
      </c>
      <c r="DB168">
        <v>6431</v>
      </c>
      <c r="DC168">
        <v>59.642000000000003</v>
      </c>
      <c r="DD168">
        <v>41.478999999999999</v>
      </c>
      <c r="DE168">
        <v>8.0000000000000002E-3</v>
      </c>
      <c r="DF168">
        <v>6465.875</v>
      </c>
      <c r="DH168">
        <v>88.2</v>
      </c>
      <c r="DI168">
        <v>0</v>
      </c>
      <c r="DJ168">
        <v>23.2</v>
      </c>
      <c r="DK168">
        <v>45</v>
      </c>
      <c r="DN168" s="23"/>
      <c r="DO168" s="42">
        <v>57</v>
      </c>
      <c r="DP168" t="s">
        <v>286</v>
      </c>
      <c r="DQ168" s="80">
        <v>5000</v>
      </c>
      <c r="DR168" s="80">
        <v>416</v>
      </c>
      <c r="DS168" s="80">
        <v>110</v>
      </c>
      <c r="DT168" s="80">
        <v>4.5999999999999996</v>
      </c>
      <c r="DU168" s="80">
        <v>58</v>
      </c>
      <c r="DV168" s="80">
        <v>36</v>
      </c>
      <c r="DW168" s="80">
        <v>250</v>
      </c>
      <c r="DX168" s="80">
        <v>5200</v>
      </c>
    </row>
    <row r="169" spans="1:128" x14ac:dyDescent="0.3">
      <c r="A169" s="2">
        <v>41708</v>
      </c>
      <c r="B169" s="21">
        <f t="shared" si="10"/>
        <v>160</v>
      </c>
      <c r="D169" s="71">
        <v>0.02</v>
      </c>
      <c r="E169" s="74">
        <v>124900</v>
      </c>
      <c r="F169" s="10">
        <v>72000</v>
      </c>
      <c r="G169" s="10">
        <f t="shared" si="11"/>
        <v>52900</v>
      </c>
      <c r="U169" s="74">
        <v>3032.6</v>
      </c>
      <c r="AF169" s="80">
        <v>2720</v>
      </c>
      <c r="AG169" s="80">
        <v>16</v>
      </c>
      <c r="AH169" s="80">
        <v>74</v>
      </c>
      <c r="AI169" s="80">
        <v>1.6E-2</v>
      </c>
      <c r="AJ169" s="10">
        <v>0.22750000000000001</v>
      </c>
      <c r="AK169" s="10">
        <v>1.7554166666666668</v>
      </c>
      <c r="AL169">
        <v>1196</v>
      </c>
      <c r="AP169">
        <v>111166</v>
      </c>
      <c r="AQ169" s="10">
        <f t="shared" si="12"/>
        <v>126736.6</v>
      </c>
      <c r="AX169" s="10">
        <v>3.03</v>
      </c>
      <c r="AZ169" s="10">
        <v>81</v>
      </c>
      <c r="BA169" s="10">
        <v>7.476</v>
      </c>
      <c r="BB169">
        <v>3.06</v>
      </c>
      <c r="BD169">
        <v>110.271</v>
      </c>
      <c r="BE169">
        <v>6.383</v>
      </c>
      <c r="BF169" s="10">
        <v>2.87</v>
      </c>
      <c r="BH169" s="10">
        <v>50</v>
      </c>
      <c r="BI169" s="10">
        <v>9.516</v>
      </c>
      <c r="BJ169">
        <v>3.6</v>
      </c>
      <c r="BL169">
        <v>108</v>
      </c>
      <c r="BM169">
        <v>503.90600000000001</v>
      </c>
      <c r="BN169">
        <v>5.1909999999999998</v>
      </c>
      <c r="BO169" s="10">
        <v>13.074999999999999</v>
      </c>
      <c r="BP169">
        <v>52900</v>
      </c>
      <c r="CB169">
        <v>8</v>
      </c>
      <c r="CC169">
        <v>16249</v>
      </c>
      <c r="CD169">
        <v>2993</v>
      </c>
      <c r="CE169">
        <v>3084</v>
      </c>
      <c r="CF169">
        <v>2024</v>
      </c>
      <c r="CG169">
        <v>3044</v>
      </c>
      <c r="CH169">
        <v>5556</v>
      </c>
      <c r="CI169">
        <v>13708</v>
      </c>
      <c r="CK169">
        <v>0</v>
      </c>
      <c r="CL169">
        <v>26000</v>
      </c>
      <c r="CM169">
        <v>0</v>
      </c>
      <c r="CN169">
        <v>25000</v>
      </c>
      <c r="CO169">
        <v>0</v>
      </c>
      <c r="CP169">
        <v>21000</v>
      </c>
      <c r="CQ169">
        <v>0</v>
      </c>
      <c r="CR169">
        <v>59000</v>
      </c>
      <c r="CS169">
        <v>0</v>
      </c>
      <c r="CU169">
        <v>0</v>
      </c>
      <c r="CW169">
        <v>0</v>
      </c>
      <c r="CY169">
        <v>0</v>
      </c>
      <c r="CZ169">
        <v>31.2</v>
      </c>
      <c r="DA169">
        <v>61.2</v>
      </c>
      <c r="DB169">
        <v>5715</v>
      </c>
      <c r="DC169">
        <v>60.25</v>
      </c>
      <c r="DD169">
        <v>40.802</v>
      </c>
      <c r="DE169">
        <v>8.9999999999999993E-3</v>
      </c>
      <c r="DF169">
        <v>5803.25</v>
      </c>
      <c r="DH169">
        <v>91.3</v>
      </c>
      <c r="DI169">
        <v>0</v>
      </c>
      <c r="DJ169">
        <v>23.2</v>
      </c>
      <c r="DK169">
        <v>45</v>
      </c>
      <c r="DN169" s="23"/>
      <c r="DO169" s="42">
        <v>148</v>
      </c>
      <c r="DP169" t="s">
        <v>286</v>
      </c>
    </row>
    <row r="170" spans="1:128" x14ac:dyDescent="0.3">
      <c r="A170" s="2">
        <v>41709</v>
      </c>
      <c r="B170" s="21">
        <f t="shared" si="10"/>
        <v>161</v>
      </c>
      <c r="D170" s="71">
        <v>0</v>
      </c>
      <c r="E170" s="74">
        <v>121150</v>
      </c>
      <c r="F170" s="10">
        <v>72000</v>
      </c>
      <c r="G170" s="10">
        <f t="shared" si="11"/>
        <v>49150</v>
      </c>
      <c r="U170" s="74">
        <v>1006.9</v>
      </c>
      <c r="AI170" s="80">
        <v>1.9E-2</v>
      </c>
      <c r="AJ170" s="10">
        <v>0.19875000000000001</v>
      </c>
      <c r="AK170" s="10">
        <v>1.49</v>
      </c>
      <c r="AL170">
        <v>362</v>
      </c>
      <c r="AP170">
        <v>122993</v>
      </c>
      <c r="AQ170" s="10">
        <f t="shared" si="12"/>
        <v>121794.9</v>
      </c>
      <c r="AX170" s="10">
        <v>3.069</v>
      </c>
      <c r="AZ170" s="10">
        <v>19</v>
      </c>
      <c r="BA170" s="10">
        <v>7.22</v>
      </c>
      <c r="BB170">
        <v>3.08</v>
      </c>
      <c r="BD170">
        <v>47.210999999999999</v>
      </c>
      <c r="BE170">
        <v>8.1999999999999993</v>
      </c>
      <c r="BF170" s="10">
        <v>3.1019999999999999</v>
      </c>
      <c r="BH170" s="10">
        <v>12</v>
      </c>
      <c r="BI170" s="10">
        <v>9.1980000000000004</v>
      </c>
      <c r="BJ170">
        <v>3.6779999999999999</v>
      </c>
      <c r="BM170">
        <v>146.90600000000001</v>
      </c>
      <c r="BN170">
        <v>5.141</v>
      </c>
      <c r="BO170" s="10">
        <v>13.33</v>
      </c>
      <c r="BP170">
        <v>49150</v>
      </c>
      <c r="CB170">
        <v>8</v>
      </c>
      <c r="CC170">
        <v>16269</v>
      </c>
      <c r="CD170">
        <v>2681</v>
      </c>
      <c r="CE170">
        <v>2721</v>
      </c>
      <c r="CF170">
        <v>2690</v>
      </c>
      <c r="CG170">
        <v>2556</v>
      </c>
      <c r="CH170">
        <v>5024</v>
      </c>
      <c r="CI170">
        <v>12991</v>
      </c>
      <c r="CK170">
        <v>0</v>
      </c>
      <c r="CL170">
        <v>26000</v>
      </c>
      <c r="CM170">
        <v>75</v>
      </c>
      <c r="CN170">
        <v>25000</v>
      </c>
      <c r="CO170">
        <v>0</v>
      </c>
      <c r="CP170">
        <v>21000</v>
      </c>
      <c r="CQ170">
        <v>106</v>
      </c>
      <c r="CR170">
        <v>59000</v>
      </c>
      <c r="CS170">
        <v>0</v>
      </c>
      <c r="CU170">
        <v>0</v>
      </c>
      <c r="CW170">
        <v>0</v>
      </c>
      <c r="CY170">
        <v>0</v>
      </c>
      <c r="CZ170">
        <v>7.4</v>
      </c>
      <c r="DA170">
        <v>10.5</v>
      </c>
      <c r="DB170">
        <v>5719</v>
      </c>
      <c r="DC170">
        <v>59.155999999999999</v>
      </c>
      <c r="DD170">
        <v>40.273000000000003</v>
      </c>
      <c r="DE170">
        <v>7.0000000000000001E-3</v>
      </c>
      <c r="DF170">
        <v>5563.375</v>
      </c>
      <c r="DH170">
        <v>37.799999999999997</v>
      </c>
      <c r="DI170">
        <v>68740</v>
      </c>
      <c r="DJ170">
        <v>23.2</v>
      </c>
      <c r="DK170">
        <v>45</v>
      </c>
      <c r="DN170" s="23"/>
      <c r="DO170" s="42">
        <v>87</v>
      </c>
      <c r="DP170" t="s">
        <v>286</v>
      </c>
    </row>
    <row r="171" spans="1:128" x14ac:dyDescent="0.3">
      <c r="A171" s="2">
        <v>41710</v>
      </c>
      <c r="B171" s="21">
        <f t="shared" si="10"/>
        <v>162</v>
      </c>
      <c r="D171" s="71">
        <v>0</v>
      </c>
      <c r="E171" s="74">
        <v>121650</v>
      </c>
      <c r="F171" s="10">
        <v>72000</v>
      </c>
      <c r="G171" s="10">
        <f t="shared" si="11"/>
        <v>49650</v>
      </c>
      <c r="U171" s="74">
        <v>3081.35</v>
      </c>
      <c r="AI171" s="80">
        <v>1.6E-2</v>
      </c>
      <c r="AJ171" s="10">
        <v>0.22416666666666674</v>
      </c>
      <c r="AK171" s="10">
        <v>1.4108333333333336</v>
      </c>
      <c r="AL171">
        <v>1045</v>
      </c>
      <c r="AN171" s="80">
        <v>10461</v>
      </c>
      <c r="AP171">
        <v>130358</v>
      </c>
      <c r="AQ171" s="10">
        <f t="shared" si="12"/>
        <v>123686.35</v>
      </c>
      <c r="AX171" s="10">
        <v>3.1480000000000001</v>
      </c>
      <c r="AZ171" s="10">
        <v>64</v>
      </c>
      <c r="BA171" s="10">
        <v>7.1779999999999999</v>
      </c>
      <c r="BB171">
        <v>3.133</v>
      </c>
      <c r="BD171">
        <v>119</v>
      </c>
      <c r="BE171">
        <v>9.1280000000000001</v>
      </c>
      <c r="BF171" s="10">
        <v>3.2160000000000002</v>
      </c>
      <c r="BH171" s="10">
        <v>41</v>
      </c>
      <c r="BI171" s="10">
        <v>9.3279999999999994</v>
      </c>
      <c r="BJ171">
        <v>3.7250000000000001</v>
      </c>
      <c r="BM171">
        <v>462</v>
      </c>
      <c r="BN171">
        <v>5.3620000000000001</v>
      </c>
      <c r="BO171" s="10">
        <v>13.372</v>
      </c>
      <c r="BP171">
        <v>49650</v>
      </c>
      <c r="CB171">
        <v>7.8959999999999999</v>
      </c>
      <c r="CC171">
        <v>19374</v>
      </c>
      <c r="CD171">
        <v>2366</v>
      </c>
      <c r="CE171">
        <v>2731</v>
      </c>
      <c r="CF171">
        <v>2960</v>
      </c>
      <c r="CG171">
        <v>2714</v>
      </c>
      <c r="CH171">
        <v>5123</v>
      </c>
      <c r="CI171">
        <v>13528</v>
      </c>
      <c r="CK171">
        <v>0</v>
      </c>
      <c r="CL171">
        <v>26000</v>
      </c>
      <c r="CM171">
        <v>141</v>
      </c>
      <c r="CN171">
        <v>25000</v>
      </c>
      <c r="CO171">
        <v>0</v>
      </c>
      <c r="CP171">
        <v>21000</v>
      </c>
      <c r="CQ171">
        <v>88</v>
      </c>
      <c r="CR171">
        <v>59000</v>
      </c>
      <c r="CS171">
        <v>0</v>
      </c>
      <c r="CU171">
        <v>0</v>
      </c>
      <c r="CW171">
        <v>0</v>
      </c>
      <c r="CY171">
        <v>19</v>
      </c>
      <c r="CZ171">
        <v>3.7</v>
      </c>
      <c r="DA171">
        <v>21</v>
      </c>
      <c r="DB171">
        <v>6702</v>
      </c>
      <c r="DC171">
        <v>60.009</v>
      </c>
      <c r="DD171">
        <v>41.277000000000001</v>
      </c>
      <c r="DE171">
        <v>6.0000000000000001E-3</v>
      </c>
      <c r="DF171">
        <v>5000</v>
      </c>
      <c r="DH171">
        <v>226.1</v>
      </c>
      <c r="DI171">
        <v>0</v>
      </c>
      <c r="DJ171">
        <v>21.2</v>
      </c>
      <c r="DK171">
        <v>39</v>
      </c>
      <c r="DN171" s="23"/>
      <c r="DO171" s="42">
        <v>408.7</v>
      </c>
      <c r="DP171" t="s">
        <v>286</v>
      </c>
    </row>
    <row r="172" spans="1:128" x14ac:dyDescent="0.3">
      <c r="A172" s="2">
        <v>41711</v>
      </c>
      <c r="B172" s="21">
        <f t="shared" si="10"/>
        <v>163</v>
      </c>
      <c r="D172" s="71">
        <v>0</v>
      </c>
      <c r="E172" s="74">
        <v>123400</v>
      </c>
      <c r="F172" s="10">
        <v>72000</v>
      </c>
      <c r="G172" s="10">
        <f t="shared" si="11"/>
        <v>51400</v>
      </c>
      <c r="U172" s="74">
        <v>3843.65</v>
      </c>
      <c r="AF172" s="80">
        <v>2820</v>
      </c>
      <c r="AG172" s="80">
        <v>17.7</v>
      </c>
      <c r="AH172" s="80">
        <v>85</v>
      </c>
      <c r="AI172" s="80">
        <v>1.6E-2</v>
      </c>
      <c r="AJ172" s="10">
        <v>0.22666666666666668</v>
      </c>
      <c r="AK172" s="10">
        <v>1.4870833333333338</v>
      </c>
      <c r="AL172">
        <v>1438</v>
      </c>
      <c r="AP172">
        <v>123883</v>
      </c>
      <c r="AQ172" s="10">
        <f t="shared" si="12"/>
        <v>125805.65</v>
      </c>
      <c r="AX172" s="10">
        <v>3.26</v>
      </c>
      <c r="AZ172" s="10">
        <v>70</v>
      </c>
      <c r="BA172" s="10">
        <v>7.2649999999999997</v>
      </c>
      <c r="BB172">
        <v>3.23</v>
      </c>
      <c r="BD172">
        <v>131</v>
      </c>
      <c r="BE172">
        <v>9.1820000000000004</v>
      </c>
      <c r="BF172" s="10">
        <v>3.5</v>
      </c>
      <c r="BH172" s="10">
        <v>51</v>
      </c>
      <c r="BI172" s="10">
        <v>9.4760000000000009</v>
      </c>
      <c r="BJ172">
        <v>3.76</v>
      </c>
      <c r="BL172">
        <v>112</v>
      </c>
      <c r="BM172">
        <v>503.81299999999999</v>
      </c>
      <c r="BN172">
        <v>5.34</v>
      </c>
      <c r="BO172" s="10">
        <v>13.509</v>
      </c>
      <c r="BP172">
        <v>51400</v>
      </c>
      <c r="CB172">
        <v>7.1040000000000001</v>
      </c>
      <c r="CC172">
        <v>12614</v>
      </c>
      <c r="CD172">
        <v>2314</v>
      </c>
      <c r="CE172">
        <v>2842</v>
      </c>
      <c r="CF172">
        <v>3075</v>
      </c>
      <c r="CG172">
        <v>2740</v>
      </c>
      <c r="CH172">
        <v>5535</v>
      </c>
      <c r="CI172">
        <v>14192</v>
      </c>
      <c r="CK172">
        <v>76</v>
      </c>
      <c r="CL172">
        <v>26000</v>
      </c>
      <c r="CM172">
        <v>0</v>
      </c>
      <c r="CN172">
        <v>25000</v>
      </c>
      <c r="CO172">
        <v>0</v>
      </c>
      <c r="CP172">
        <v>21000</v>
      </c>
      <c r="CQ172">
        <v>101</v>
      </c>
      <c r="CR172">
        <v>59000</v>
      </c>
      <c r="CS172">
        <v>0</v>
      </c>
      <c r="CU172">
        <v>0</v>
      </c>
      <c r="CW172">
        <v>0</v>
      </c>
      <c r="CY172">
        <v>34.200000000000003</v>
      </c>
      <c r="CZ172">
        <v>0</v>
      </c>
      <c r="DA172">
        <v>24.5</v>
      </c>
      <c r="DB172">
        <v>9582</v>
      </c>
      <c r="DC172">
        <v>60.722000000000001</v>
      </c>
      <c r="DD172">
        <v>40.537999999999997</v>
      </c>
      <c r="DE172">
        <v>8.0000000000000002E-3</v>
      </c>
      <c r="DF172">
        <v>8570</v>
      </c>
      <c r="DH172">
        <v>240.8</v>
      </c>
      <c r="DI172">
        <v>102060</v>
      </c>
      <c r="DJ172">
        <v>21.2</v>
      </c>
      <c r="DK172">
        <v>39</v>
      </c>
      <c r="DN172" s="23"/>
      <c r="DO172" s="42">
        <v>541.79999999999995</v>
      </c>
      <c r="DP172" t="s">
        <v>286</v>
      </c>
    </row>
    <row r="173" spans="1:128" x14ac:dyDescent="0.3">
      <c r="A173" s="2">
        <v>41712</v>
      </c>
      <c r="B173" s="21">
        <f t="shared" si="10"/>
        <v>164</v>
      </c>
      <c r="D173" s="71">
        <v>0</v>
      </c>
      <c r="E173" s="74">
        <v>124752</v>
      </c>
      <c r="F173" s="10">
        <v>72052</v>
      </c>
      <c r="G173" s="10">
        <f t="shared" si="11"/>
        <v>52700</v>
      </c>
      <c r="U173" s="74">
        <v>3814.7</v>
      </c>
      <c r="AI173" s="80">
        <v>2.1000000000000001E-2</v>
      </c>
      <c r="AJ173" s="10">
        <v>0.21291666666666673</v>
      </c>
      <c r="AK173" s="10">
        <v>1.4516666666666664</v>
      </c>
      <c r="AL173">
        <v>1438</v>
      </c>
      <c r="AP173">
        <v>110266</v>
      </c>
      <c r="AQ173" s="10">
        <f t="shared" si="12"/>
        <v>127128.7</v>
      </c>
      <c r="AX173" s="10">
        <v>3.2069999999999999</v>
      </c>
      <c r="AY173" s="10">
        <v>22</v>
      </c>
      <c r="AZ173" s="10">
        <v>71.665999999999997</v>
      </c>
      <c r="BA173" s="10">
        <v>7.4989999999999997</v>
      </c>
      <c r="BB173">
        <v>3.2349999999999999</v>
      </c>
      <c r="BC173">
        <v>23</v>
      </c>
      <c r="BD173">
        <v>130</v>
      </c>
      <c r="BE173">
        <v>9.6110000000000007</v>
      </c>
      <c r="BF173" s="10">
        <v>3.3410000000000002</v>
      </c>
      <c r="BG173" s="10">
        <v>13</v>
      </c>
      <c r="BH173" s="10">
        <v>64</v>
      </c>
      <c r="BI173" s="10">
        <v>9.9849999999999994</v>
      </c>
      <c r="BJ173">
        <v>3.7090000000000001</v>
      </c>
      <c r="BK173">
        <v>17</v>
      </c>
      <c r="BM173">
        <v>503.90600000000001</v>
      </c>
      <c r="BN173">
        <v>5.4859999999999998</v>
      </c>
      <c r="BO173" s="10">
        <v>13.676</v>
      </c>
      <c r="BP173">
        <v>52700</v>
      </c>
      <c r="CB173">
        <v>8</v>
      </c>
      <c r="CC173">
        <v>10264</v>
      </c>
      <c r="CD173">
        <v>3117</v>
      </c>
      <c r="CE173">
        <v>2634</v>
      </c>
      <c r="CF173">
        <v>2833</v>
      </c>
      <c r="CG173">
        <v>2652</v>
      </c>
      <c r="CH173">
        <v>5226</v>
      </c>
      <c r="CI173">
        <v>13345</v>
      </c>
      <c r="CK173">
        <v>197</v>
      </c>
      <c r="CL173">
        <v>26000</v>
      </c>
      <c r="CM173">
        <v>0</v>
      </c>
      <c r="CN173">
        <v>25000</v>
      </c>
      <c r="CO173">
        <v>0</v>
      </c>
      <c r="CP173">
        <v>21000</v>
      </c>
      <c r="CQ173">
        <v>74</v>
      </c>
      <c r="CR173">
        <v>59000</v>
      </c>
      <c r="CS173">
        <v>0</v>
      </c>
      <c r="CU173">
        <v>0</v>
      </c>
      <c r="CW173">
        <v>0</v>
      </c>
      <c r="CY173">
        <v>25.9</v>
      </c>
      <c r="CZ173">
        <v>3.8</v>
      </c>
      <c r="DA173">
        <v>21.6</v>
      </c>
      <c r="DB173">
        <v>10265</v>
      </c>
      <c r="DC173">
        <v>58.262</v>
      </c>
      <c r="DD173">
        <v>41.037999999999997</v>
      </c>
      <c r="DE173">
        <v>8.0000000000000002E-3</v>
      </c>
      <c r="DF173">
        <v>9440</v>
      </c>
      <c r="DH173">
        <v>554.79999999999995</v>
      </c>
      <c r="DI173">
        <v>35200</v>
      </c>
      <c r="DJ173">
        <v>21.2</v>
      </c>
      <c r="DK173">
        <v>39</v>
      </c>
      <c r="DN173" s="23"/>
      <c r="DO173" s="42">
        <v>553</v>
      </c>
      <c r="DP173" t="s">
        <v>286</v>
      </c>
    </row>
    <row r="174" spans="1:128" x14ac:dyDescent="0.3">
      <c r="A174" s="2">
        <v>41713</v>
      </c>
      <c r="B174" s="21">
        <f t="shared" si="10"/>
        <v>165</v>
      </c>
      <c r="D174" s="71">
        <v>0.02</v>
      </c>
      <c r="E174" s="74">
        <v>125798</v>
      </c>
      <c r="F174" s="10">
        <v>71348</v>
      </c>
      <c r="G174" s="10">
        <f t="shared" si="11"/>
        <v>54450</v>
      </c>
      <c r="H174" s="80">
        <v>543</v>
      </c>
      <c r="J174" s="80">
        <v>60.1</v>
      </c>
      <c r="K174" s="80">
        <v>8.6999999999999993</v>
      </c>
      <c r="M174" s="10">
        <v>296764</v>
      </c>
      <c r="N174">
        <v>4117</v>
      </c>
      <c r="P174" s="80">
        <v>260</v>
      </c>
      <c r="R174" s="80">
        <v>27.7</v>
      </c>
      <c r="S174" s="80">
        <v>4.9000000000000004</v>
      </c>
      <c r="U174" s="74">
        <v>3788</v>
      </c>
      <c r="AI174" s="80">
        <v>1.6E-2</v>
      </c>
      <c r="AJ174" s="10">
        <v>0.24124999999999996</v>
      </c>
      <c r="AK174" s="10">
        <v>1.5337499999999997</v>
      </c>
      <c r="AL174">
        <v>1439</v>
      </c>
      <c r="AP174">
        <v>116925</v>
      </c>
      <c r="AQ174" s="10">
        <f t="shared" si="12"/>
        <v>128147</v>
      </c>
      <c r="AR174" s="80">
        <v>150</v>
      </c>
      <c r="AT174" s="80">
        <v>24.9</v>
      </c>
      <c r="AU174" s="80">
        <v>3.8</v>
      </c>
      <c r="AV174" s="80">
        <v>68</v>
      </c>
      <c r="AX174" s="10">
        <v>3.1680000000000001</v>
      </c>
      <c r="AZ174" s="10">
        <v>75.334000000000003</v>
      </c>
      <c r="BA174" s="10">
        <v>7.5179999999999998</v>
      </c>
      <c r="BB174">
        <v>3.2210000000000001</v>
      </c>
      <c r="BD174">
        <v>131</v>
      </c>
      <c r="BE174">
        <v>9.6199999999999992</v>
      </c>
      <c r="BF174" s="10">
        <v>3.3730000000000002</v>
      </c>
      <c r="BH174" s="10">
        <v>70</v>
      </c>
      <c r="BI174" s="10">
        <v>10.093999999999999</v>
      </c>
      <c r="BJ174">
        <v>3.6779999999999999</v>
      </c>
      <c r="BM174">
        <v>503.88299999999998</v>
      </c>
      <c r="BN174">
        <v>5.4489999999999998</v>
      </c>
      <c r="BO174" s="10">
        <v>13.613</v>
      </c>
      <c r="BP174">
        <v>54450</v>
      </c>
      <c r="BR174">
        <v>44</v>
      </c>
      <c r="BS174">
        <v>3</v>
      </c>
      <c r="BT174">
        <v>3</v>
      </c>
      <c r="BU174">
        <v>1.3</v>
      </c>
      <c r="BV174">
        <v>0.57999999999999996</v>
      </c>
      <c r="BW174">
        <v>4.8</v>
      </c>
      <c r="BX174">
        <v>1.7</v>
      </c>
      <c r="BY174">
        <v>2</v>
      </c>
      <c r="BZ174">
        <v>6.3</v>
      </c>
      <c r="CA174">
        <v>0.5</v>
      </c>
      <c r="CB174">
        <v>8</v>
      </c>
      <c r="CC174">
        <v>11211</v>
      </c>
      <c r="CD174">
        <v>3193</v>
      </c>
      <c r="CE174">
        <v>2651.5</v>
      </c>
      <c r="CF174">
        <v>2820</v>
      </c>
      <c r="CG174">
        <v>2651</v>
      </c>
      <c r="CH174">
        <v>5210</v>
      </c>
      <c r="CI174">
        <v>13333</v>
      </c>
      <c r="CK174">
        <v>0</v>
      </c>
      <c r="CL174">
        <v>26000</v>
      </c>
      <c r="CM174">
        <v>0</v>
      </c>
      <c r="CN174">
        <v>25000</v>
      </c>
      <c r="CO174">
        <v>0</v>
      </c>
      <c r="CP174">
        <v>21000</v>
      </c>
      <c r="CQ174">
        <v>77</v>
      </c>
      <c r="CR174">
        <v>59000</v>
      </c>
      <c r="CS174">
        <v>0</v>
      </c>
      <c r="CU174">
        <v>0</v>
      </c>
      <c r="CW174">
        <v>0</v>
      </c>
      <c r="CY174">
        <v>33.299999999999997</v>
      </c>
      <c r="CZ174">
        <v>0</v>
      </c>
      <c r="DA174">
        <v>25.2</v>
      </c>
      <c r="DB174">
        <v>10455</v>
      </c>
      <c r="DC174">
        <v>59.582000000000001</v>
      </c>
      <c r="DD174">
        <v>41.155000000000001</v>
      </c>
      <c r="DE174">
        <v>7.0000000000000001E-3</v>
      </c>
      <c r="DF174">
        <v>9150</v>
      </c>
      <c r="DH174">
        <v>415.3</v>
      </c>
      <c r="DI174">
        <v>69180</v>
      </c>
      <c r="DJ174">
        <v>21.2</v>
      </c>
      <c r="DK174">
        <v>39</v>
      </c>
      <c r="DN174" s="23"/>
      <c r="DO174" s="42">
        <v>538</v>
      </c>
      <c r="DP174" t="s">
        <v>286</v>
      </c>
      <c r="DQ174" s="80">
        <v>1950</v>
      </c>
      <c r="DR174" s="80">
        <v>262</v>
      </c>
      <c r="DS174" s="80">
        <v>80</v>
      </c>
      <c r="DT174" s="80">
        <v>3.5</v>
      </c>
      <c r="DU174" s="80">
        <v>46</v>
      </c>
      <c r="DV174" s="80">
        <v>25</v>
      </c>
      <c r="DW174" s="80">
        <v>260</v>
      </c>
      <c r="DX174" s="80">
        <v>1600</v>
      </c>
    </row>
    <row r="175" spans="1:128" x14ac:dyDescent="0.3">
      <c r="A175" s="2">
        <v>41714</v>
      </c>
      <c r="B175" s="21">
        <f t="shared" si="10"/>
        <v>166</v>
      </c>
      <c r="D175" s="71">
        <v>0</v>
      </c>
      <c r="E175" s="74">
        <v>104400</v>
      </c>
      <c r="F175" s="10">
        <v>59000</v>
      </c>
      <c r="G175" s="10">
        <f t="shared" si="11"/>
        <v>45400</v>
      </c>
      <c r="U175" s="74">
        <v>3500.65</v>
      </c>
      <c r="AI175" s="80">
        <v>1.2E-2</v>
      </c>
      <c r="AJ175" s="10">
        <v>0.27708333333333296</v>
      </c>
      <c r="AK175" s="10">
        <v>1.3579166666666664</v>
      </c>
      <c r="AL175">
        <v>1211</v>
      </c>
      <c r="AP175">
        <v>100075</v>
      </c>
      <c r="AQ175" s="10">
        <f t="shared" si="12"/>
        <v>106689.65</v>
      </c>
      <c r="AX175" s="10">
        <v>3.4350000000000001</v>
      </c>
      <c r="AZ175" s="10">
        <v>71</v>
      </c>
      <c r="BA175" s="10">
        <v>7.2930000000000001</v>
      </c>
      <c r="BB175">
        <v>3.3239999999999998</v>
      </c>
      <c r="BD175">
        <v>131</v>
      </c>
      <c r="BE175">
        <v>9.4719999999999995</v>
      </c>
      <c r="BF175" s="10">
        <v>3.5960000000000001</v>
      </c>
      <c r="BH175" s="10">
        <v>85.5</v>
      </c>
      <c r="BI175" s="10">
        <v>9.7070000000000007</v>
      </c>
      <c r="BJ175">
        <v>3.754</v>
      </c>
      <c r="BM175">
        <v>504.88299999999998</v>
      </c>
      <c r="BN175">
        <v>5.2590000000000003</v>
      </c>
      <c r="BO175" s="10">
        <v>13.526999999999999</v>
      </c>
      <c r="BP175">
        <v>45400</v>
      </c>
      <c r="CB175">
        <v>8</v>
      </c>
      <c r="CC175">
        <v>11811</v>
      </c>
      <c r="CD175">
        <v>2487</v>
      </c>
      <c r="CE175">
        <v>2979.5</v>
      </c>
      <c r="CF175">
        <v>3045</v>
      </c>
      <c r="CG175">
        <v>2859</v>
      </c>
      <c r="CH175">
        <v>5534</v>
      </c>
      <c r="CI175">
        <v>14418</v>
      </c>
      <c r="CK175">
        <v>0</v>
      </c>
      <c r="CL175">
        <v>26000</v>
      </c>
      <c r="CM175">
        <v>0</v>
      </c>
      <c r="CN175">
        <v>25000</v>
      </c>
      <c r="CO175">
        <v>0</v>
      </c>
      <c r="CP175">
        <v>21000</v>
      </c>
      <c r="CQ175">
        <v>0</v>
      </c>
      <c r="CR175">
        <v>59000</v>
      </c>
      <c r="CS175">
        <v>0</v>
      </c>
      <c r="CU175">
        <v>0</v>
      </c>
      <c r="CW175">
        <v>0</v>
      </c>
      <c r="CY175">
        <v>25.9</v>
      </c>
      <c r="CZ175">
        <v>0</v>
      </c>
      <c r="DA175">
        <v>21.6</v>
      </c>
      <c r="DB175">
        <v>9078</v>
      </c>
      <c r="DC175">
        <v>59.356999999999999</v>
      </c>
      <c r="DD175">
        <v>41.194000000000003</v>
      </c>
      <c r="DE175">
        <v>7.0000000000000001E-3</v>
      </c>
      <c r="DF175">
        <v>8710</v>
      </c>
      <c r="DH175">
        <v>194.8</v>
      </c>
      <c r="DI175">
        <v>0</v>
      </c>
      <c r="DJ175">
        <v>21.2</v>
      </c>
      <c r="DK175">
        <v>39</v>
      </c>
      <c r="DN175" s="23"/>
      <c r="DO175" s="42">
        <v>392.5</v>
      </c>
      <c r="DP175" t="s">
        <v>286</v>
      </c>
    </row>
    <row r="176" spans="1:128" x14ac:dyDescent="0.3">
      <c r="A176" s="2">
        <v>41715</v>
      </c>
      <c r="B176" s="21">
        <f t="shared" si="10"/>
        <v>167</v>
      </c>
      <c r="D176" s="71">
        <v>0</v>
      </c>
      <c r="E176" s="74">
        <v>126182</v>
      </c>
      <c r="F176" s="10">
        <v>72032</v>
      </c>
      <c r="G176" s="10">
        <f t="shared" si="11"/>
        <v>54150</v>
      </c>
      <c r="U176" s="74">
        <v>2727.05</v>
      </c>
      <c r="AF176" s="80">
        <v>2852</v>
      </c>
      <c r="AG176" s="80">
        <v>16.100000000000001</v>
      </c>
      <c r="AH176" s="80">
        <v>77</v>
      </c>
      <c r="AI176" s="80">
        <v>1.4999999999999999E-2</v>
      </c>
      <c r="AJ176" s="10">
        <v>2.0000000000000007E-2</v>
      </c>
      <c r="AK176" s="10">
        <v>1.6087499999999999</v>
      </c>
      <c r="AL176">
        <v>1348</v>
      </c>
      <c r="AP176">
        <v>123300</v>
      </c>
      <c r="AQ176" s="10">
        <f t="shared" si="12"/>
        <v>127561.05</v>
      </c>
      <c r="AX176" s="10">
        <v>3.44</v>
      </c>
      <c r="AZ176" s="10">
        <v>41</v>
      </c>
      <c r="BA176" s="10">
        <v>7.88</v>
      </c>
      <c r="BB176">
        <v>3.58</v>
      </c>
      <c r="BD176">
        <v>51</v>
      </c>
      <c r="BE176">
        <v>9.8689999999999998</v>
      </c>
      <c r="BF176" s="10">
        <v>3.56</v>
      </c>
      <c r="BH176" s="10">
        <v>40.5</v>
      </c>
      <c r="BI176" s="10">
        <v>10.333</v>
      </c>
      <c r="BJ176">
        <v>3.87</v>
      </c>
      <c r="BL176">
        <v>112</v>
      </c>
      <c r="BM176">
        <v>217.90600000000001</v>
      </c>
      <c r="BN176">
        <v>5.4569999999999999</v>
      </c>
      <c r="BO176" s="10">
        <v>13.711</v>
      </c>
      <c r="BP176">
        <v>54150</v>
      </c>
      <c r="CB176">
        <v>7</v>
      </c>
      <c r="CC176">
        <v>13628</v>
      </c>
      <c r="CD176">
        <v>2144</v>
      </c>
      <c r="CE176">
        <v>2831</v>
      </c>
      <c r="CF176">
        <v>3439.5</v>
      </c>
      <c r="CG176">
        <v>2731</v>
      </c>
      <c r="CH176">
        <v>5517</v>
      </c>
      <c r="CI176">
        <v>14519</v>
      </c>
      <c r="CK176">
        <v>0</v>
      </c>
      <c r="CL176">
        <v>26000</v>
      </c>
      <c r="CM176">
        <v>0</v>
      </c>
      <c r="CN176">
        <v>25000</v>
      </c>
      <c r="CO176">
        <v>0</v>
      </c>
      <c r="CP176">
        <v>21000</v>
      </c>
      <c r="CQ176">
        <v>0</v>
      </c>
      <c r="CR176">
        <v>59000</v>
      </c>
      <c r="CS176">
        <v>0</v>
      </c>
      <c r="CU176">
        <v>0</v>
      </c>
      <c r="CW176">
        <v>0</v>
      </c>
      <c r="CY176">
        <v>29.6</v>
      </c>
      <c r="CZ176">
        <v>0</v>
      </c>
      <c r="DA176">
        <v>10.8</v>
      </c>
      <c r="DB176">
        <v>8532</v>
      </c>
      <c r="DC176">
        <v>59.616999999999997</v>
      </c>
      <c r="DD176">
        <v>40.826000000000001</v>
      </c>
      <c r="DE176">
        <v>7.0000000000000001E-3</v>
      </c>
      <c r="DF176">
        <v>7943.375</v>
      </c>
      <c r="DH176">
        <v>218.4</v>
      </c>
      <c r="DI176">
        <v>0</v>
      </c>
      <c r="DJ176">
        <v>21.2</v>
      </c>
      <c r="DK176">
        <v>39</v>
      </c>
      <c r="DN176" s="23"/>
      <c r="DO176" s="42">
        <v>366</v>
      </c>
      <c r="DP176" t="s">
        <v>286</v>
      </c>
    </row>
    <row r="177" spans="1:128" x14ac:dyDescent="0.3">
      <c r="A177" s="2">
        <v>41716</v>
      </c>
      <c r="B177" s="21">
        <f t="shared" si="10"/>
        <v>168</v>
      </c>
      <c r="D177" s="71">
        <v>0</v>
      </c>
      <c r="E177" s="74">
        <v>135085</v>
      </c>
      <c r="F177" s="10">
        <v>66210</v>
      </c>
      <c r="G177" s="10">
        <f t="shared" si="11"/>
        <v>68875</v>
      </c>
      <c r="U177" s="74">
        <v>3777.65</v>
      </c>
      <c r="AI177" s="80">
        <v>8.9999999999999993E-3</v>
      </c>
      <c r="AJ177" s="10">
        <v>2.0000000000000007E-2</v>
      </c>
      <c r="AK177" s="10">
        <v>2.0495833333333326</v>
      </c>
      <c r="AL177">
        <v>140</v>
      </c>
      <c r="AP177">
        <v>10734</v>
      </c>
      <c r="AQ177" s="10">
        <f t="shared" si="12"/>
        <v>138722.65</v>
      </c>
      <c r="AX177" s="10">
        <v>3.4049999999999998</v>
      </c>
      <c r="AZ177" s="10">
        <v>9</v>
      </c>
      <c r="BA177" s="10">
        <v>5.4249999999999998</v>
      </c>
      <c r="BB177">
        <v>3.4790000000000001</v>
      </c>
      <c r="BD177">
        <v>13</v>
      </c>
      <c r="BE177">
        <v>4.1109999999999998</v>
      </c>
      <c r="BF177" s="10">
        <v>3.391</v>
      </c>
      <c r="BH177" s="10">
        <v>11</v>
      </c>
      <c r="BI177" s="10">
        <v>11.186999999999999</v>
      </c>
      <c r="BJ177">
        <v>3.782</v>
      </c>
      <c r="BM177">
        <v>43.905999999999999</v>
      </c>
      <c r="BN177">
        <v>5.0519999999999996</v>
      </c>
      <c r="BO177" s="10">
        <v>13.734</v>
      </c>
      <c r="BP177">
        <v>68875</v>
      </c>
      <c r="CB177">
        <v>0</v>
      </c>
      <c r="CC177">
        <v>911</v>
      </c>
      <c r="CD177">
        <v>295</v>
      </c>
      <c r="CE177">
        <v>256</v>
      </c>
      <c r="CF177">
        <v>347.5</v>
      </c>
      <c r="CG177">
        <v>251</v>
      </c>
      <c r="CH177">
        <v>419</v>
      </c>
      <c r="CI177">
        <v>1274</v>
      </c>
      <c r="CK177">
        <v>0</v>
      </c>
      <c r="CL177">
        <v>26000</v>
      </c>
      <c r="CM177">
        <v>225</v>
      </c>
      <c r="CN177">
        <v>25000</v>
      </c>
      <c r="CO177">
        <v>0</v>
      </c>
      <c r="CP177">
        <v>21000</v>
      </c>
      <c r="CQ177">
        <v>35</v>
      </c>
      <c r="CR177">
        <v>59000</v>
      </c>
      <c r="CS177">
        <v>0</v>
      </c>
      <c r="CU177">
        <v>0</v>
      </c>
      <c r="CW177">
        <v>0</v>
      </c>
      <c r="CY177">
        <v>26.6</v>
      </c>
      <c r="CZ177">
        <v>3.7</v>
      </c>
      <c r="DA177">
        <v>24.5</v>
      </c>
      <c r="DB177">
        <v>8177</v>
      </c>
      <c r="DC177">
        <v>59.054000000000002</v>
      </c>
      <c r="DD177">
        <v>41.167000000000002</v>
      </c>
      <c r="DE177">
        <v>6.0000000000000001E-3</v>
      </c>
      <c r="DF177">
        <v>7406.625</v>
      </c>
      <c r="DH177">
        <v>202.7</v>
      </c>
      <c r="DI177">
        <v>98060</v>
      </c>
      <c r="DJ177">
        <v>21.2</v>
      </c>
      <c r="DK177">
        <v>39</v>
      </c>
      <c r="DN177" s="23"/>
      <c r="DO177" s="42">
        <v>509</v>
      </c>
      <c r="DP177" t="s">
        <v>286</v>
      </c>
    </row>
    <row r="178" spans="1:128" x14ac:dyDescent="0.3">
      <c r="A178" s="2">
        <v>41717</v>
      </c>
      <c r="B178" s="21">
        <f t="shared" si="10"/>
        <v>169</v>
      </c>
      <c r="D178" s="71">
        <v>4.0199999999999996</v>
      </c>
      <c r="E178" s="74">
        <v>135085</v>
      </c>
      <c r="F178" s="10">
        <v>66210</v>
      </c>
      <c r="G178" s="10">
        <f t="shared" si="11"/>
        <v>68875</v>
      </c>
      <c r="U178" s="74">
        <v>4094.4</v>
      </c>
      <c r="AI178" s="80">
        <v>1.0999999999999999E-2</v>
      </c>
      <c r="AJ178" s="10">
        <v>0.39749999999999996</v>
      </c>
      <c r="AK178" s="10">
        <v>1.5887500000000001</v>
      </c>
      <c r="AL178">
        <v>2905</v>
      </c>
      <c r="AN178" s="80">
        <v>10473</v>
      </c>
      <c r="AP178">
        <v>241900</v>
      </c>
      <c r="AQ178" s="10">
        <f t="shared" si="12"/>
        <v>136274.4</v>
      </c>
      <c r="AX178" s="10">
        <v>3.2639999999999998</v>
      </c>
      <c r="AZ178" s="10">
        <v>191</v>
      </c>
      <c r="BA178" s="10">
        <v>7.1139999999999999</v>
      </c>
      <c r="BB178">
        <v>3.2370000000000001</v>
      </c>
      <c r="BD178">
        <v>269.71699999999998</v>
      </c>
      <c r="BE178">
        <v>9.7579999999999991</v>
      </c>
      <c r="BF178" s="10">
        <v>3.2930000000000001</v>
      </c>
      <c r="BH178" s="10">
        <v>241</v>
      </c>
      <c r="BI178" s="10">
        <v>9.1750000000000007</v>
      </c>
      <c r="BJ178">
        <v>3.6110000000000002</v>
      </c>
      <c r="BM178">
        <v>1002</v>
      </c>
      <c r="BN178">
        <v>5.4450000000000003</v>
      </c>
      <c r="BO178" s="10">
        <v>13.61</v>
      </c>
      <c r="BP178">
        <v>68875</v>
      </c>
      <c r="CB178">
        <v>15</v>
      </c>
      <c r="CC178">
        <v>31828</v>
      </c>
      <c r="CD178">
        <v>4953</v>
      </c>
      <c r="CE178">
        <v>5624</v>
      </c>
      <c r="CF178">
        <v>6816</v>
      </c>
      <c r="CG178">
        <v>5512</v>
      </c>
      <c r="CH178">
        <v>11340</v>
      </c>
      <c r="CI178">
        <v>29292</v>
      </c>
      <c r="CK178">
        <v>0</v>
      </c>
      <c r="CL178">
        <v>26000</v>
      </c>
      <c r="CM178">
        <v>0</v>
      </c>
      <c r="CN178">
        <v>25000</v>
      </c>
      <c r="CO178">
        <v>0</v>
      </c>
      <c r="CP178">
        <v>21000</v>
      </c>
      <c r="CQ178">
        <v>116</v>
      </c>
      <c r="CR178">
        <v>59000</v>
      </c>
      <c r="CS178">
        <v>0</v>
      </c>
      <c r="CU178">
        <v>0</v>
      </c>
      <c r="CW178">
        <v>0</v>
      </c>
      <c r="CY178">
        <v>26.6</v>
      </c>
      <c r="CZ178">
        <v>7.4</v>
      </c>
      <c r="DA178">
        <v>24.5</v>
      </c>
      <c r="DB178">
        <v>8739</v>
      </c>
      <c r="DC178">
        <v>59.384999999999998</v>
      </c>
      <c r="DD178">
        <v>40.683999999999997</v>
      </c>
      <c r="DE178">
        <v>6.0000000000000001E-3</v>
      </c>
      <c r="DF178">
        <v>7540</v>
      </c>
      <c r="DH178">
        <v>198.5</v>
      </c>
      <c r="DI178">
        <v>31020</v>
      </c>
      <c r="DJ178">
        <v>20.6</v>
      </c>
      <c r="DK178">
        <v>38</v>
      </c>
      <c r="DN178" s="23"/>
      <c r="DO178" s="42">
        <v>502.3</v>
      </c>
      <c r="DP178" t="s">
        <v>286</v>
      </c>
    </row>
    <row r="179" spans="1:128" x14ac:dyDescent="0.3">
      <c r="A179" s="2">
        <v>41718</v>
      </c>
      <c r="B179" s="21">
        <f t="shared" si="10"/>
        <v>170</v>
      </c>
      <c r="D179" s="71">
        <v>0</v>
      </c>
      <c r="E179" s="74">
        <v>113498</v>
      </c>
      <c r="F179" s="10">
        <v>64048</v>
      </c>
      <c r="G179" s="10">
        <f t="shared" si="11"/>
        <v>49450</v>
      </c>
      <c r="U179" s="74">
        <v>4160.2</v>
      </c>
      <c r="AF179" s="80">
        <v>2852</v>
      </c>
      <c r="AG179" s="80">
        <v>17.2</v>
      </c>
      <c r="AH179" s="80">
        <v>77</v>
      </c>
      <c r="AI179" s="80">
        <v>4.2999999999999997E-2</v>
      </c>
      <c r="AJ179" s="10">
        <v>0.32041666666666663</v>
      </c>
      <c r="AK179" s="10">
        <v>1.552083333333333</v>
      </c>
      <c r="AL179">
        <v>1545</v>
      </c>
      <c r="AP179">
        <v>99359</v>
      </c>
      <c r="AQ179" s="10">
        <f t="shared" si="12"/>
        <v>116113.2</v>
      </c>
      <c r="AX179" s="10">
        <v>3.39</v>
      </c>
      <c r="AZ179" s="10">
        <v>100</v>
      </c>
      <c r="BA179" s="10">
        <v>8.4920000000000009</v>
      </c>
      <c r="BB179">
        <v>3.4</v>
      </c>
      <c r="BD179">
        <v>141.24600000000001</v>
      </c>
      <c r="BE179">
        <v>10.252000000000001</v>
      </c>
      <c r="BF179" s="10">
        <v>3.28</v>
      </c>
      <c r="BH179" s="10">
        <v>141</v>
      </c>
      <c r="BI179" s="10">
        <v>10.624000000000001</v>
      </c>
      <c r="BJ179">
        <v>3.82</v>
      </c>
      <c r="BL179">
        <v>126</v>
      </c>
      <c r="BM179">
        <v>503.88299999999998</v>
      </c>
      <c r="BN179">
        <v>5.8460000000000001</v>
      </c>
      <c r="BO179" s="10">
        <v>13.412000000000001</v>
      </c>
      <c r="BP179">
        <v>49450</v>
      </c>
      <c r="CB179">
        <v>7</v>
      </c>
      <c r="CC179">
        <v>9073</v>
      </c>
      <c r="CD179">
        <v>2780</v>
      </c>
      <c r="CE179">
        <v>2650</v>
      </c>
      <c r="CF179">
        <v>2728</v>
      </c>
      <c r="CG179">
        <v>2538</v>
      </c>
      <c r="CH179">
        <v>5048</v>
      </c>
      <c r="CI179">
        <v>12964</v>
      </c>
      <c r="CK179">
        <v>79</v>
      </c>
      <c r="CL179">
        <v>26000</v>
      </c>
      <c r="CM179">
        <v>0</v>
      </c>
      <c r="CN179">
        <v>25000</v>
      </c>
      <c r="CO179">
        <v>0</v>
      </c>
      <c r="CP179">
        <v>21000</v>
      </c>
      <c r="CQ179">
        <v>76</v>
      </c>
      <c r="CR179">
        <v>59000</v>
      </c>
      <c r="CS179">
        <v>0</v>
      </c>
      <c r="CU179">
        <v>0</v>
      </c>
      <c r="CW179">
        <v>0</v>
      </c>
      <c r="CY179">
        <v>38</v>
      </c>
      <c r="CZ179">
        <v>3.7</v>
      </c>
      <c r="DA179">
        <v>28</v>
      </c>
      <c r="DB179">
        <v>11183</v>
      </c>
      <c r="DC179">
        <v>59.201000000000001</v>
      </c>
      <c r="DD179">
        <v>41.142000000000003</v>
      </c>
      <c r="DE179">
        <v>7.0000000000000001E-3</v>
      </c>
      <c r="DF179">
        <v>9885</v>
      </c>
      <c r="DH179">
        <v>247.8</v>
      </c>
      <c r="DI179">
        <v>105640</v>
      </c>
      <c r="DJ179">
        <v>20.6</v>
      </c>
      <c r="DK179">
        <v>38</v>
      </c>
      <c r="DN179" s="23"/>
      <c r="DO179" s="42">
        <v>601.70000000000005</v>
      </c>
      <c r="DP179" t="s">
        <v>286</v>
      </c>
    </row>
    <row r="180" spans="1:128" x14ac:dyDescent="0.3">
      <c r="A180" s="2">
        <v>41719</v>
      </c>
      <c r="B180" s="21">
        <f t="shared" si="10"/>
        <v>171</v>
      </c>
      <c r="D180" s="71">
        <v>11.86</v>
      </c>
      <c r="E180" s="74">
        <v>126100</v>
      </c>
      <c r="F180" s="10">
        <v>72000</v>
      </c>
      <c r="G180" s="10">
        <f t="shared" si="11"/>
        <v>54100</v>
      </c>
      <c r="H180" s="80">
        <v>501</v>
      </c>
      <c r="J180" s="80">
        <v>56.9</v>
      </c>
      <c r="K180" s="80">
        <v>8.0299999999999994</v>
      </c>
      <c r="M180" s="10">
        <v>274495</v>
      </c>
      <c r="N180">
        <v>3958</v>
      </c>
      <c r="P180" s="80">
        <v>240</v>
      </c>
      <c r="R180" s="80">
        <v>25.8</v>
      </c>
      <c r="S180" s="80">
        <v>4.7</v>
      </c>
      <c r="U180" s="74">
        <v>3924.2</v>
      </c>
      <c r="AI180" s="80">
        <v>1.4999999999999999E-2</v>
      </c>
      <c r="AJ180" s="10">
        <v>0.25875000000000004</v>
      </c>
      <c r="AK180" s="10">
        <v>1.5079166666666666</v>
      </c>
      <c r="AL180">
        <v>1425</v>
      </c>
      <c r="AP180">
        <v>131441</v>
      </c>
      <c r="AQ180" s="10">
        <f t="shared" si="12"/>
        <v>128599.2</v>
      </c>
      <c r="AR180" s="80">
        <v>160</v>
      </c>
      <c r="AT180" s="80">
        <v>24.1</v>
      </c>
      <c r="AU180" s="80">
        <v>4</v>
      </c>
      <c r="AV180" s="80">
        <v>82</v>
      </c>
      <c r="AX180" s="10">
        <v>3.2909999999999999</v>
      </c>
      <c r="AZ180" s="10">
        <v>109.934</v>
      </c>
      <c r="BA180" s="10">
        <v>7.9880000000000004</v>
      </c>
      <c r="BB180">
        <v>3.2330000000000001</v>
      </c>
      <c r="BD180">
        <v>140.53700000000001</v>
      </c>
      <c r="BE180">
        <v>9.9960000000000004</v>
      </c>
      <c r="BF180" s="10">
        <v>3.274</v>
      </c>
      <c r="BH180" s="10">
        <v>148</v>
      </c>
      <c r="BI180" s="10">
        <v>9.8130000000000006</v>
      </c>
      <c r="BJ180">
        <v>3.7589999999999999</v>
      </c>
      <c r="BM180">
        <v>514.88300000000004</v>
      </c>
      <c r="BN180">
        <v>5.61</v>
      </c>
      <c r="BO180" s="10">
        <v>13.875999999999999</v>
      </c>
      <c r="BP180">
        <v>54100</v>
      </c>
      <c r="BR180">
        <v>44</v>
      </c>
      <c r="BS180">
        <v>3</v>
      </c>
      <c r="BT180">
        <v>2.4</v>
      </c>
      <c r="BU180">
        <v>0.44</v>
      </c>
      <c r="BV180">
        <v>0.52</v>
      </c>
      <c r="BW180">
        <v>5.2</v>
      </c>
      <c r="BX180">
        <v>1.7</v>
      </c>
      <c r="BY180">
        <v>2.2000000000000002</v>
      </c>
      <c r="BZ180">
        <v>9</v>
      </c>
      <c r="CA180">
        <v>0.49</v>
      </c>
      <c r="CB180">
        <v>8</v>
      </c>
      <c r="CC180">
        <v>9380</v>
      </c>
      <c r="CD180">
        <v>2838</v>
      </c>
      <c r="CE180">
        <v>2672</v>
      </c>
      <c r="CF180">
        <v>2830</v>
      </c>
      <c r="CG180">
        <v>2534</v>
      </c>
      <c r="CH180">
        <v>5400</v>
      </c>
      <c r="CI180">
        <v>13436</v>
      </c>
      <c r="CK180">
        <v>78</v>
      </c>
      <c r="CL180">
        <v>26000</v>
      </c>
      <c r="CM180">
        <v>0</v>
      </c>
      <c r="CN180">
        <v>25000</v>
      </c>
      <c r="CO180">
        <v>0</v>
      </c>
      <c r="CP180">
        <v>21000</v>
      </c>
      <c r="CQ180">
        <v>38</v>
      </c>
      <c r="CR180">
        <v>59000</v>
      </c>
      <c r="CS180">
        <v>0</v>
      </c>
      <c r="CU180">
        <v>0</v>
      </c>
      <c r="CW180">
        <v>0</v>
      </c>
      <c r="CY180">
        <v>33.299999999999997</v>
      </c>
      <c r="CZ180">
        <v>3.7</v>
      </c>
      <c r="DA180">
        <v>27.2</v>
      </c>
      <c r="DB180">
        <v>10595</v>
      </c>
      <c r="DC180">
        <v>57.552999999999997</v>
      </c>
      <c r="DD180">
        <v>41.823999999999998</v>
      </c>
      <c r="DE180">
        <v>8.0000000000000002E-3</v>
      </c>
      <c r="DF180">
        <v>10285</v>
      </c>
      <c r="DH180">
        <v>226.3</v>
      </c>
      <c r="DI180">
        <v>64520</v>
      </c>
      <c r="DJ180">
        <v>20.6</v>
      </c>
      <c r="DK180">
        <v>38</v>
      </c>
      <c r="DN180" s="23"/>
      <c r="DO180" s="42">
        <v>495</v>
      </c>
      <c r="DP180" t="s">
        <v>286</v>
      </c>
      <c r="DQ180" s="80">
        <v>3250</v>
      </c>
      <c r="DR180" s="80">
        <v>378</v>
      </c>
      <c r="DS180" s="80">
        <v>180</v>
      </c>
      <c r="DT180" s="80">
        <v>4.5999999999999996</v>
      </c>
      <c r="DU180" s="80">
        <v>73</v>
      </c>
      <c r="DV180" s="80">
        <v>24</v>
      </c>
      <c r="DW180" s="80">
        <v>170</v>
      </c>
      <c r="DX180" s="80">
        <v>2800</v>
      </c>
    </row>
    <row r="181" spans="1:128" x14ac:dyDescent="0.3">
      <c r="A181" s="2">
        <v>41720</v>
      </c>
      <c r="B181" s="21">
        <f t="shared" si="10"/>
        <v>172</v>
      </c>
      <c r="D181" s="71">
        <v>5.72</v>
      </c>
      <c r="E181" s="74">
        <v>221100</v>
      </c>
      <c r="F181" s="10">
        <v>23700</v>
      </c>
      <c r="G181" s="10">
        <f t="shared" si="11"/>
        <v>197400</v>
      </c>
      <c r="U181" s="74">
        <v>4131.75</v>
      </c>
      <c r="AI181" s="80">
        <v>6.2E-2</v>
      </c>
      <c r="AJ181" s="10">
        <v>0.80583333333333329</v>
      </c>
      <c r="AK181" s="10">
        <v>1.815833333333333</v>
      </c>
      <c r="AL181">
        <v>1438</v>
      </c>
      <c r="AP181">
        <v>118750</v>
      </c>
      <c r="AQ181" s="10">
        <f t="shared" si="12"/>
        <v>223793.75</v>
      </c>
      <c r="AX181" s="10">
        <v>3.242</v>
      </c>
      <c r="AZ181" s="10">
        <v>140.74199999999999</v>
      </c>
      <c r="BA181" s="10">
        <v>7.2969999999999997</v>
      </c>
      <c r="BB181">
        <v>3.2389999999999999</v>
      </c>
      <c r="BD181">
        <v>143.5</v>
      </c>
      <c r="BE181">
        <v>10.089</v>
      </c>
      <c r="BF181" s="10">
        <v>3.11</v>
      </c>
      <c r="BH181" s="10">
        <v>160</v>
      </c>
      <c r="BI181" s="10">
        <v>8.1379999999999999</v>
      </c>
      <c r="BJ181">
        <v>3.2719999999999998</v>
      </c>
      <c r="BM181">
        <v>554.89800000000002</v>
      </c>
      <c r="BN181">
        <v>5.4020000000000001</v>
      </c>
      <c r="BO181" s="10">
        <v>12.605</v>
      </c>
      <c r="BP181">
        <v>197400</v>
      </c>
      <c r="CB181">
        <v>10</v>
      </c>
      <c r="CC181">
        <v>17890</v>
      </c>
      <c r="CD181">
        <v>2097</v>
      </c>
      <c r="CE181">
        <v>3638.5</v>
      </c>
      <c r="CF181">
        <v>3710</v>
      </c>
      <c r="CG181">
        <v>3658.5</v>
      </c>
      <c r="CH181">
        <v>7327</v>
      </c>
      <c r="CI181">
        <v>18334</v>
      </c>
      <c r="CK181">
        <v>110</v>
      </c>
      <c r="CL181">
        <v>26000</v>
      </c>
      <c r="CM181">
        <v>0</v>
      </c>
      <c r="CN181">
        <v>25000</v>
      </c>
      <c r="CO181">
        <v>0</v>
      </c>
      <c r="CP181">
        <v>21000</v>
      </c>
      <c r="CQ181">
        <v>72</v>
      </c>
      <c r="CR181">
        <v>59000</v>
      </c>
      <c r="CS181">
        <v>0</v>
      </c>
      <c r="CU181">
        <v>0</v>
      </c>
      <c r="CW181">
        <v>0</v>
      </c>
      <c r="CY181">
        <v>29.6</v>
      </c>
      <c r="CZ181">
        <v>0</v>
      </c>
      <c r="DA181">
        <v>27.2</v>
      </c>
      <c r="DB181">
        <v>10080</v>
      </c>
      <c r="DC181">
        <v>59.134</v>
      </c>
      <c r="DD181">
        <v>40.304000000000002</v>
      </c>
      <c r="DE181">
        <v>5.0000000000000001E-3</v>
      </c>
      <c r="DF181">
        <v>9560</v>
      </c>
      <c r="DH181">
        <v>236.9</v>
      </c>
      <c r="DI181">
        <v>104560</v>
      </c>
      <c r="DJ181">
        <v>20.6</v>
      </c>
      <c r="DK181">
        <v>38</v>
      </c>
      <c r="DN181" s="23"/>
      <c r="DO181" s="42">
        <v>539.29999999999995</v>
      </c>
      <c r="DP181" t="s">
        <v>286</v>
      </c>
    </row>
    <row r="182" spans="1:128" x14ac:dyDescent="0.3">
      <c r="A182" s="2">
        <v>41721</v>
      </c>
      <c r="B182" s="21">
        <f t="shared" si="10"/>
        <v>173</v>
      </c>
      <c r="D182" s="71">
        <v>2.2400000000000002</v>
      </c>
      <c r="E182" s="74">
        <v>134852</v>
      </c>
      <c r="F182" s="10">
        <v>71852</v>
      </c>
      <c r="G182" s="10">
        <f t="shared" si="11"/>
        <v>63000</v>
      </c>
      <c r="U182" s="74">
        <v>4206.3500000000004</v>
      </c>
      <c r="AI182" s="80">
        <v>1.7999999999999999E-2</v>
      </c>
      <c r="AJ182" s="10">
        <v>0.41625000000000006</v>
      </c>
      <c r="AK182" s="10">
        <v>1.534583333333333</v>
      </c>
      <c r="AL182">
        <v>1438</v>
      </c>
      <c r="AP182">
        <v>112150</v>
      </c>
      <c r="AQ182" s="10">
        <f t="shared" si="12"/>
        <v>137620.35</v>
      </c>
      <c r="AX182" s="10">
        <v>3.597</v>
      </c>
      <c r="AZ182" s="10">
        <v>141.20699999999999</v>
      </c>
      <c r="BA182" s="10">
        <v>8.6750000000000007</v>
      </c>
      <c r="BB182">
        <v>3.4649999999999999</v>
      </c>
      <c r="BD182">
        <v>140</v>
      </c>
      <c r="BE182">
        <v>10.843</v>
      </c>
      <c r="BF182" s="10">
        <v>3.6</v>
      </c>
      <c r="BH182" s="10">
        <v>161.26599999999999</v>
      </c>
      <c r="BI182" s="10">
        <v>10.260999999999999</v>
      </c>
      <c r="BJ182">
        <v>3.8380000000000001</v>
      </c>
      <c r="BM182">
        <v>554.92200000000003</v>
      </c>
      <c r="BN182">
        <v>5.9790000000000001</v>
      </c>
      <c r="BO182" s="10">
        <v>12.576000000000001</v>
      </c>
      <c r="BP182">
        <v>63000</v>
      </c>
      <c r="CB182">
        <v>7</v>
      </c>
      <c r="CC182">
        <v>10712</v>
      </c>
      <c r="CD182">
        <v>3051</v>
      </c>
      <c r="CE182">
        <v>3131.5</v>
      </c>
      <c r="CF182">
        <v>3176</v>
      </c>
      <c r="CG182">
        <v>2961.5</v>
      </c>
      <c r="CH182">
        <v>6021</v>
      </c>
      <c r="CI182">
        <v>15290</v>
      </c>
      <c r="CK182">
        <v>0</v>
      </c>
      <c r="CL182">
        <v>26000</v>
      </c>
      <c r="CM182">
        <v>0</v>
      </c>
      <c r="CN182">
        <v>25000</v>
      </c>
      <c r="CO182">
        <v>0</v>
      </c>
      <c r="CP182">
        <v>21000</v>
      </c>
      <c r="CQ182">
        <v>0</v>
      </c>
      <c r="CR182">
        <v>59000</v>
      </c>
      <c r="CS182">
        <v>0</v>
      </c>
      <c r="CU182">
        <v>0</v>
      </c>
      <c r="CW182">
        <v>0</v>
      </c>
      <c r="CY182">
        <v>33.299999999999997</v>
      </c>
      <c r="CZ182">
        <v>0</v>
      </c>
      <c r="DA182">
        <v>30.6</v>
      </c>
      <c r="DB182">
        <v>10781</v>
      </c>
      <c r="DC182">
        <v>59.195999999999998</v>
      </c>
      <c r="DD182">
        <v>39.981999999999999</v>
      </c>
      <c r="DE182">
        <v>5.0000000000000001E-3</v>
      </c>
      <c r="DF182">
        <v>9950</v>
      </c>
      <c r="DH182">
        <v>263.3</v>
      </c>
      <c r="DI182">
        <v>35700</v>
      </c>
      <c r="DJ182">
        <v>20.6</v>
      </c>
      <c r="DK182">
        <v>38</v>
      </c>
      <c r="DN182" s="23"/>
      <c r="DO182" s="42">
        <v>91.7</v>
      </c>
      <c r="DP182" t="s">
        <v>286</v>
      </c>
    </row>
    <row r="183" spans="1:128" x14ac:dyDescent="0.3">
      <c r="A183" s="2">
        <v>41722</v>
      </c>
      <c r="B183" s="21">
        <f t="shared" si="10"/>
        <v>174</v>
      </c>
      <c r="D183" s="71">
        <v>2.82</v>
      </c>
      <c r="E183" s="74">
        <v>138100</v>
      </c>
      <c r="F183" s="10">
        <v>67200</v>
      </c>
      <c r="G183" s="10">
        <f t="shared" si="11"/>
        <v>70900</v>
      </c>
      <c r="U183" s="74">
        <v>4074.85</v>
      </c>
      <c r="AF183" s="80">
        <v>3986</v>
      </c>
      <c r="AG183" s="80">
        <v>19.3</v>
      </c>
      <c r="AH183" s="80">
        <v>75</v>
      </c>
      <c r="AI183" s="80">
        <v>1.2999999999999999E-2</v>
      </c>
      <c r="AJ183" s="10">
        <v>0.56874999999999998</v>
      </c>
      <c r="AK183" s="10">
        <v>1.5191666666666663</v>
      </c>
      <c r="AL183">
        <v>1438</v>
      </c>
      <c r="AP183">
        <v>115566</v>
      </c>
      <c r="AQ183" s="10">
        <f t="shared" si="12"/>
        <v>140736.85</v>
      </c>
      <c r="AX183" s="10">
        <v>3.67</v>
      </c>
      <c r="AZ183" s="10">
        <v>170.22300000000001</v>
      </c>
      <c r="BA183" s="10">
        <v>8.0570000000000004</v>
      </c>
      <c r="BB183">
        <v>3.53</v>
      </c>
      <c r="BD183">
        <v>151</v>
      </c>
      <c r="BE183">
        <v>11.073</v>
      </c>
      <c r="BF183" s="10">
        <v>3.34</v>
      </c>
      <c r="BH183" s="10">
        <v>170.26400000000001</v>
      </c>
      <c r="BI183" s="10">
        <v>10.63</v>
      </c>
      <c r="BJ183">
        <v>3.92</v>
      </c>
      <c r="BL183">
        <v>122</v>
      </c>
      <c r="BM183">
        <v>572.92999999999995</v>
      </c>
      <c r="BN183">
        <v>5.7569999999999997</v>
      </c>
      <c r="BO183" s="10">
        <v>12.961</v>
      </c>
      <c r="BP183">
        <v>70900</v>
      </c>
      <c r="CB183">
        <v>9.5429999999999993</v>
      </c>
      <c r="CC183">
        <v>11847</v>
      </c>
      <c r="CD183">
        <v>2367</v>
      </c>
      <c r="CE183">
        <v>3344</v>
      </c>
      <c r="CF183">
        <v>3490</v>
      </c>
      <c r="CG183">
        <v>3304</v>
      </c>
      <c r="CH183">
        <v>6628</v>
      </c>
      <c r="CI183">
        <v>16766</v>
      </c>
      <c r="CK183">
        <v>0</v>
      </c>
      <c r="CL183">
        <v>26000</v>
      </c>
      <c r="CM183">
        <v>72</v>
      </c>
      <c r="CN183">
        <v>25000</v>
      </c>
      <c r="CO183">
        <v>0</v>
      </c>
      <c r="CP183">
        <v>21000</v>
      </c>
      <c r="CQ183">
        <v>0</v>
      </c>
      <c r="CR183">
        <v>59000</v>
      </c>
      <c r="CS183">
        <v>0</v>
      </c>
      <c r="CU183">
        <v>0</v>
      </c>
      <c r="CW183">
        <v>0</v>
      </c>
      <c r="CY183">
        <v>33.299999999999997</v>
      </c>
      <c r="CZ183">
        <v>0</v>
      </c>
      <c r="DA183">
        <v>34</v>
      </c>
      <c r="DB183">
        <v>10496</v>
      </c>
      <c r="DC183">
        <v>57.988</v>
      </c>
      <c r="DD183">
        <v>41.499000000000002</v>
      </c>
      <c r="DE183">
        <v>5.0000000000000001E-3</v>
      </c>
      <c r="DF183">
        <v>10226.625</v>
      </c>
      <c r="DH183">
        <v>192.9</v>
      </c>
      <c r="DI183">
        <v>0</v>
      </c>
      <c r="DJ183">
        <v>20.6</v>
      </c>
      <c r="DK183">
        <v>38</v>
      </c>
      <c r="DN183" s="23"/>
      <c r="DO183" s="42">
        <v>18.7</v>
      </c>
      <c r="DP183" t="s">
        <v>286</v>
      </c>
    </row>
    <row r="184" spans="1:128" x14ac:dyDescent="0.3">
      <c r="A184" s="2">
        <v>41723</v>
      </c>
      <c r="B184" s="21">
        <f t="shared" si="10"/>
        <v>175</v>
      </c>
      <c r="D184" s="71">
        <v>0</v>
      </c>
      <c r="E184" s="74">
        <v>126048</v>
      </c>
      <c r="F184" s="10">
        <v>71748</v>
      </c>
      <c r="G184" s="10">
        <f t="shared" si="11"/>
        <v>54300</v>
      </c>
      <c r="U184" s="74">
        <v>4394.55</v>
      </c>
      <c r="AI184" s="80">
        <v>2.8000000000000001E-2</v>
      </c>
      <c r="AJ184" s="10">
        <v>0.50458333333333338</v>
      </c>
      <c r="AK184" s="10">
        <v>1.5116666666666667</v>
      </c>
      <c r="AL184">
        <v>1438</v>
      </c>
      <c r="AP184">
        <v>108368</v>
      </c>
      <c r="AQ184" s="10">
        <f t="shared" si="12"/>
        <v>129004.55</v>
      </c>
      <c r="AX184" s="10">
        <v>3.37</v>
      </c>
      <c r="AZ184" s="10">
        <v>205.13499999999999</v>
      </c>
      <c r="BA184" s="10">
        <v>8.1720000000000006</v>
      </c>
      <c r="BB184">
        <v>3.2570000000000001</v>
      </c>
      <c r="BD184">
        <v>161</v>
      </c>
      <c r="BE184">
        <v>10.188000000000001</v>
      </c>
      <c r="BF184" s="10">
        <v>3.2919999999999998</v>
      </c>
      <c r="BH184" s="10">
        <v>180.27500000000001</v>
      </c>
      <c r="BI184" s="10">
        <v>10.063000000000001</v>
      </c>
      <c r="BJ184">
        <v>3.746</v>
      </c>
      <c r="BM184">
        <v>574.89800000000002</v>
      </c>
      <c r="BN184">
        <v>5.7140000000000004</v>
      </c>
      <c r="BO184" s="10">
        <v>13.28</v>
      </c>
      <c r="BP184">
        <v>54300</v>
      </c>
      <c r="CB184">
        <v>8</v>
      </c>
      <c r="CC184">
        <v>10284</v>
      </c>
      <c r="CD184">
        <v>2898</v>
      </c>
      <c r="CE184">
        <v>2610</v>
      </c>
      <c r="CF184">
        <v>2788</v>
      </c>
      <c r="CG184">
        <v>2578</v>
      </c>
      <c r="CH184">
        <v>5384</v>
      </c>
      <c r="CI184">
        <v>13360</v>
      </c>
      <c r="CK184">
        <v>0</v>
      </c>
      <c r="CL184">
        <v>26000</v>
      </c>
      <c r="CM184">
        <v>147</v>
      </c>
      <c r="CN184">
        <v>25000</v>
      </c>
      <c r="CO184">
        <v>0</v>
      </c>
      <c r="CP184">
        <v>21000</v>
      </c>
      <c r="CQ184">
        <v>105</v>
      </c>
      <c r="CR184">
        <v>59000</v>
      </c>
      <c r="CS184">
        <v>0</v>
      </c>
      <c r="CU184">
        <v>0</v>
      </c>
      <c r="CW184">
        <v>0</v>
      </c>
      <c r="CY184">
        <v>30.4</v>
      </c>
      <c r="CZ184">
        <v>2.8</v>
      </c>
      <c r="DA184">
        <v>36</v>
      </c>
      <c r="DB184">
        <v>10332</v>
      </c>
      <c r="DC184">
        <v>56.515000000000001</v>
      </c>
      <c r="DD184">
        <v>35.726999999999997</v>
      </c>
      <c r="DE184">
        <v>5.0000000000000001E-3</v>
      </c>
      <c r="DF184">
        <v>9538.375</v>
      </c>
      <c r="DH184">
        <v>263.3</v>
      </c>
      <c r="DI184">
        <v>104860</v>
      </c>
      <c r="DJ184">
        <v>20.6</v>
      </c>
      <c r="DK184">
        <v>38</v>
      </c>
      <c r="DN184" s="23"/>
      <c r="DO184" s="42">
        <v>480.7</v>
      </c>
      <c r="DP184" t="s">
        <v>286</v>
      </c>
    </row>
    <row r="185" spans="1:128" x14ac:dyDescent="0.3">
      <c r="A185" s="2">
        <v>41724</v>
      </c>
      <c r="B185" s="21">
        <f t="shared" si="10"/>
        <v>176</v>
      </c>
      <c r="D185" s="71">
        <v>0.01</v>
      </c>
      <c r="E185" s="74">
        <v>124676</v>
      </c>
      <c r="F185" s="10">
        <v>72000</v>
      </c>
      <c r="G185" s="10">
        <f t="shared" si="11"/>
        <v>52676</v>
      </c>
      <c r="U185" s="74">
        <v>4465.6000000000004</v>
      </c>
      <c r="AI185" s="80">
        <v>2.5000000000000001E-2</v>
      </c>
      <c r="AJ185" s="10">
        <v>0.44041666666666662</v>
      </c>
      <c r="AK185" s="10">
        <v>1.5583333333333333</v>
      </c>
      <c r="AL185">
        <v>1438</v>
      </c>
      <c r="AN185" s="80">
        <v>11201</v>
      </c>
      <c r="AP185">
        <v>103866</v>
      </c>
      <c r="AQ185" s="10">
        <f t="shared" si="12"/>
        <v>127703.6</v>
      </c>
      <c r="AX185" s="10">
        <v>3.149</v>
      </c>
      <c r="AZ185" s="10">
        <v>230</v>
      </c>
      <c r="BA185" s="10">
        <v>7.5510000000000002</v>
      </c>
      <c r="BB185">
        <v>3.161</v>
      </c>
      <c r="BD185">
        <v>160</v>
      </c>
      <c r="BE185">
        <v>9.7949999999999999</v>
      </c>
      <c r="BF185" s="10">
        <v>3.0939999999999999</v>
      </c>
      <c r="BH185" s="10">
        <v>190.27699999999999</v>
      </c>
      <c r="BI185" s="10">
        <v>9.3309999999999995</v>
      </c>
      <c r="BJ185">
        <v>3.6389999999999998</v>
      </c>
      <c r="BM185">
        <v>592.94500000000005</v>
      </c>
      <c r="BN185">
        <v>5.4569999999999999</v>
      </c>
      <c r="BO185" s="10">
        <v>13.433</v>
      </c>
      <c r="BP185">
        <v>52676</v>
      </c>
      <c r="CB185">
        <v>8</v>
      </c>
      <c r="CC185">
        <v>8895</v>
      </c>
      <c r="CD185">
        <v>2983</v>
      </c>
      <c r="CE185">
        <v>2561</v>
      </c>
      <c r="CF185">
        <v>2736</v>
      </c>
      <c r="CG185">
        <v>2512</v>
      </c>
      <c r="CH185">
        <v>5264</v>
      </c>
      <c r="CI185">
        <v>13073</v>
      </c>
      <c r="CK185">
        <v>0</v>
      </c>
      <c r="CL185">
        <v>26000</v>
      </c>
      <c r="CM185">
        <v>75</v>
      </c>
      <c r="CN185">
        <v>25000</v>
      </c>
      <c r="CO185">
        <v>75</v>
      </c>
      <c r="CP185">
        <v>21000</v>
      </c>
      <c r="CQ185">
        <v>72</v>
      </c>
      <c r="CR185">
        <v>59000</v>
      </c>
      <c r="CS185">
        <v>0</v>
      </c>
      <c r="CU185">
        <v>0</v>
      </c>
      <c r="CW185">
        <v>0</v>
      </c>
      <c r="CY185">
        <v>26.6</v>
      </c>
      <c r="CZ185">
        <v>5.6</v>
      </c>
      <c r="DA185">
        <v>39.6</v>
      </c>
      <c r="DB185">
        <v>10357</v>
      </c>
      <c r="DC185">
        <v>59.101999999999997</v>
      </c>
      <c r="DD185">
        <v>40.682000000000002</v>
      </c>
      <c r="DE185">
        <v>6.0000000000000001E-3</v>
      </c>
      <c r="DF185">
        <v>9845</v>
      </c>
      <c r="DH185">
        <v>254.5</v>
      </c>
      <c r="DI185">
        <v>102120</v>
      </c>
      <c r="DJ185">
        <v>22.4</v>
      </c>
      <c r="DK185">
        <v>40</v>
      </c>
      <c r="DN185" s="23"/>
      <c r="DO185" s="42">
        <v>480.3</v>
      </c>
      <c r="DP185" t="s">
        <v>286</v>
      </c>
    </row>
    <row r="186" spans="1:128" x14ac:dyDescent="0.3">
      <c r="A186" s="2">
        <v>41725</v>
      </c>
      <c r="B186" s="21">
        <f t="shared" si="10"/>
        <v>177</v>
      </c>
      <c r="D186" s="71">
        <v>1.4</v>
      </c>
      <c r="E186" s="74">
        <v>136100</v>
      </c>
      <c r="F186" s="10">
        <v>64100</v>
      </c>
      <c r="G186" s="10">
        <f t="shared" si="11"/>
        <v>72000</v>
      </c>
      <c r="H186" s="80">
        <v>569</v>
      </c>
      <c r="J186" s="80">
        <v>47.1</v>
      </c>
      <c r="K186" s="80">
        <v>7.74</v>
      </c>
      <c r="M186" s="10">
        <v>376667</v>
      </c>
      <c r="N186">
        <v>3472</v>
      </c>
      <c r="P186" s="80">
        <v>320</v>
      </c>
      <c r="R186" s="80">
        <v>26.4</v>
      </c>
      <c r="S186" s="80">
        <v>4.8</v>
      </c>
      <c r="U186" s="74">
        <v>4189.8999999999996</v>
      </c>
      <c r="AF186" s="80">
        <v>3270</v>
      </c>
      <c r="AG186" s="80">
        <v>17.600000000000001</v>
      </c>
      <c r="AH186" s="80">
        <v>70</v>
      </c>
      <c r="AI186" s="80">
        <v>2.3E-2</v>
      </c>
      <c r="AJ186" s="10">
        <v>0.58666666666666678</v>
      </c>
      <c r="AK186" s="10">
        <v>1.490833333333333</v>
      </c>
      <c r="AL186">
        <v>1313</v>
      </c>
      <c r="AP186">
        <v>118916</v>
      </c>
      <c r="AQ186" s="10">
        <f t="shared" si="12"/>
        <v>138976.9</v>
      </c>
      <c r="AR186" s="80">
        <v>160</v>
      </c>
      <c r="AT186" s="80">
        <v>23.5</v>
      </c>
      <c r="AU186" s="80">
        <v>3.5</v>
      </c>
      <c r="AV186" s="80">
        <v>83</v>
      </c>
      <c r="AX186" s="10">
        <v>3.1819999999999999</v>
      </c>
      <c r="AY186" s="10">
        <v>22</v>
      </c>
      <c r="AZ186" s="10">
        <v>204</v>
      </c>
      <c r="BA186" s="10">
        <v>7.032</v>
      </c>
      <c r="BB186">
        <v>3.1749999999999998</v>
      </c>
      <c r="BC186">
        <v>21</v>
      </c>
      <c r="BD186">
        <v>146</v>
      </c>
      <c r="BE186">
        <v>9.9190000000000005</v>
      </c>
      <c r="BF186" s="10">
        <v>3.0379999999999998</v>
      </c>
      <c r="BG186" s="10">
        <v>21</v>
      </c>
      <c r="BH186" s="10">
        <v>154.39599999999999</v>
      </c>
      <c r="BI186" s="10">
        <v>9.5039999999999996</v>
      </c>
      <c r="BJ186">
        <v>3.5270000000000001</v>
      </c>
      <c r="BK186">
        <v>21</v>
      </c>
      <c r="BM186">
        <v>548.94500000000005</v>
      </c>
      <c r="BN186">
        <v>5.1340000000000003</v>
      </c>
      <c r="BO186" s="10">
        <v>13.313000000000001</v>
      </c>
      <c r="BP186">
        <v>72000</v>
      </c>
      <c r="BR186">
        <v>40</v>
      </c>
      <c r="BS186">
        <v>4</v>
      </c>
      <c r="BT186">
        <v>3.1</v>
      </c>
      <c r="BU186">
        <v>1.1000000000000001</v>
      </c>
      <c r="BV186">
        <v>0.87</v>
      </c>
      <c r="BW186">
        <v>7.6</v>
      </c>
      <c r="BX186">
        <v>1.4</v>
      </c>
      <c r="BY186">
        <v>1.5</v>
      </c>
      <c r="BZ186">
        <v>5.4</v>
      </c>
      <c r="CA186">
        <v>0.5</v>
      </c>
      <c r="CB186">
        <v>7</v>
      </c>
      <c r="CC186">
        <v>11902</v>
      </c>
      <c r="CD186">
        <v>2413</v>
      </c>
      <c r="CE186">
        <v>3026</v>
      </c>
      <c r="CF186">
        <v>3104</v>
      </c>
      <c r="CG186">
        <v>2840</v>
      </c>
      <c r="CH186">
        <v>5916</v>
      </c>
      <c r="CI186">
        <v>14886</v>
      </c>
      <c r="CK186">
        <v>0</v>
      </c>
      <c r="CL186">
        <v>26000</v>
      </c>
      <c r="CM186">
        <v>0</v>
      </c>
      <c r="CN186">
        <v>25000</v>
      </c>
      <c r="CO186">
        <v>111</v>
      </c>
      <c r="CP186">
        <v>21000</v>
      </c>
      <c r="CQ186">
        <v>73</v>
      </c>
      <c r="CR186">
        <v>59000</v>
      </c>
      <c r="CS186">
        <v>0</v>
      </c>
      <c r="CU186">
        <v>0</v>
      </c>
      <c r="CW186">
        <v>0</v>
      </c>
      <c r="CY186">
        <v>22.8</v>
      </c>
      <c r="CZ186">
        <v>5.6</v>
      </c>
      <c r="DA186">
        <v>36</v>
      </c>
      <c r="DB186">
        <v>10186</v>
      </c>
      <c r="DC186">
        <v>59.512</v>
      </c>
      <c r="DD186">
        <v>40.521000000000001</v>
      </c>
      <c r="DE186">
        <v>6.0000000000000001E-3</v>
      </c>
      <c r="DF186">
        <v>9450</v>
      </c>
      <c r="DH186">
        <v>263.60000000000002</v>
      </c>
      <c r="DI186">
        <v>100540</v>
      </c>
      <c r="DJ186">
        <v>22.4</v>
      </c>
      <c r="DK186">
        <v>40</v>
      </c>
      <c r="DN186" s="23"/>
      <c r="DO186" s="42">
        <v>524</v>
      </c>
      <c r="DP186" t="s">
        <v>286</v>
      </c>
      <c r="DQ186" s="80">
        <v>1880</v>
      </c>
      <c r="DR186" s="80">
        <v>254</v>
      </c>
      <c r="DS186" s="80">
        <v>130</v>
      </c>
      <c r="DT186" s="80">
        <v>4.9000000000000004</v>
      </c>
      <c r="DU186" s="80">
        <v>63</v>
      </c>
      <c r="DV186" s="80">
        <v>33</v>
      </c>
      <c r="DW186" s="80">
        <v>120</v>
      </c>
      <c r="DX186" s="80">
        <v>1600</v>
      </c>
    </row>
    <row r="187" spans="1:128" x14ac:dyDescent="0.3">
      <c r="A187" s="2">
        <v>41726</v>
      </c>
      <c r="B187" s="21">
        <f t="shared" si="10"/>
        <v>178</v>
      </c>
      <c r="D187" s="71">
        <v>0.73</v>
      </c>
      <c r="E187" s="74">
        <v>123526</v>
      </c>
      <c r="F187" s="10">
        <v>70952</v>
      </c>
      <c r="G187" s="10">
        <f t="shared" si="11"/>
        <v>52574</v>
      </c>
      <c r="U187" s="74">
        <v>3635.25</v>
      </c>
      <c r="AI187" s="80">
        <v>1.4E-2</v>
      </c>
      <c r="AJ187" s="10">
        <v>0.47916666666666669</v>
      </c>
      <c r="AK187" s="10">
        <v>1.5445833333333336</v>
      </c>
      <c r="AL187">
        <v>1345</v>
      </c>
      <c r="AP187">
        <v>129859</v>
      </c>
      <c r="AQ187" s="10">
        <f t="shared" si="12"/>
        <v>125816.25</v>
      </c>
      <c r="AX187" s="10">
        <v>3.1480000000000001</v>
      </c>
      <c r="AZ187" s="10">
        <v>189</v>
      </c>
      <c r="BA187" s="10">
        <v>7.4790000000000001</v>
      </c>
      <c r="BB187">
        <v>3.1560000000000001</v>
      </c>
      <c r="BD187">
        <v>146</v>
      </c>
      <c r="BE187">
        <v>9.8230000000000004</v>
      </c>
      <c r="BF187" s="10">
        <v>3.0379999999999998</v>
      </c>
      <c r="BH187" s="10">
        <v>147</v>
      </c>
      <c r="BI187" s="10">
        <v>9.2799999999999994</v>
      </c>
      <c r="BJ187">
        <v>3.6360000000000001</v>
      </c>
      <c r="BM187">
        <v>428</v>
      </c>
      <c r="BN187">
        <v>5.2469999999999999</v>
      </c>
      <c r="BO187" s="10">
        <v>13.257</v>
      </c>
      <c r="BP187">
        <v>52574</v>
      </c>
      <c r="CB187">
        <v>7</v>
      </c>
      <c r="CC187">
        <v>13232</v>
      </c>
      <c r="CD187">
        <v>2456</v>
      </c>
      <c r="CE187">
        <v>2529</v>
      </c>
      <c r="CF187">
        <v>2715</v>
      </c>
      <c r="CG187">
        <v>2481</v>
      </c>
      <c r="CH187">
        <v>5115</v>
      </c>
      <c r="CI187">
        <v>12840</v>
      </c>
      <c r="CK187">
        <v>0</v>
      </c>
      <c r="CL187">
        <v>26000</v>
      </c>
      <c r="CM187">
        <v>0</v>
      </c>
      <c r="CN187">
        <v>25000</v>
      </c>
      <c r="CO187">
        <v>111</v>
      </c>
      <c r="CP187">
        <v>21000</v>
      </c>
      <c r="CQ187">
        <v>73</v>
      </c>
      <c r="CR187">
        <v>59000</v>
      </c>
      <c r="CS187">
        <v>0</v>
      </c>
      <c r="CU187">
        <v>0</v>
      </c>
      <c r="CW187">
        <v>0</v>
      </c>
      <c r="CY187">
        <v>23.4</v>
      </c>
      <c r="CZ187">
        <v>11.4</v>
      </c>
      <c r="DA187">
        <v>36</v>
      </c>
      <c r="DB187">
        <v>11410</v>
      </c>
      <c r="DC187">
        <v>59.418999999999997</v>
      </c>
      <c r="DD187">
        <v>40.494999999999997</v>
      </c>
      <c r="DE187">
        <v>7.0000000000000001E-3</v>
      </c>
      <c r="DF187">
        <v>7890</v>
      </c>
      <c r="DH187">
        <v>200.2</v>
      </c>
      <c r="DI187">
        <v>97640</v>
      </c>
      <c r="DJ187">
        <v>22.4</v>
      </c>
      <c r="DK187">
        <v>40</v>
      </c>
      <c r="DN187" s="23"/>
      <c r="DO187" s="42">
        <v>458</v>
      </c>
      <c r="DP187" t="s">
        <v>286</v>
      </c>
    </row>
    <row r="188" spans="1:128" x14ac:dyDescent="0.3">
      <c r="A188" s="2">
        <v>41727</v>
      </c>
      <c r="B188" s="21">
        <f t="shared" si="10"/>
        <v>179</v>
      </c>
      <c r="D188" s="71">
        <v>0</v>
      </c>
      <c r="E188" s="74">
        <v>123750</v>
      </c>
      <c r="F188" s="10">
        <v>72000</v>
      </c>
      <c r="G188" s="10">
        <f t="shared" si="11"/>
        <v>51750</v>
      </c>
      <c r="U188" s="74">
        <v>4715.1499999999996</v>
      </c>
      <c r="AI188" s="80">
        <v>0.01</v>
      </c>
      <c r="AJ188" s="10">
        <v>0.61166666666666647</v>
      </c>
      <c r="AK188" s="10">
        <v>1.8262499999999997</v>
      </c>
      <c r="AL188">
        <v>1732</v>
      </c>
      <c r="AP188">
        <v>150059</v>
      </c>
      <c r="AQ188" s="10">
        <f t="shared" si="12"/>
        <v>126733.15</v>
      </c>
      <c r="AX188" s="10">
        <v>3.097</v>
      </c>
      <c r="AZ188" s="10">
        <v>220</v>
      </c>
      <c r="BA188" s="10">
        <v>6.9640000000000004</v>
      </c>
      <c r="BB188">
        <v>3.1040000000000001</v>
      </c>
      <c r="BD188">
        <v>160.31299999999999</v>
      </c>
      <c r="BE188">
        <v>9.2110000000000003</v>
      </c>
      <c r="BF188" s="10">
        <v>2.9180000000000001</v>
      </c>
      <c r="BH188" s="10">
        <v>146</v>
      </c>
      <c r="BI188" s="10">
        <v>8.84</v>
      </c>
      <c r="BJ188">
        <v>3.5640000000000001</v>
      </c>
      <c r="BM188">
        <v>633.94500000000005</v>
      </c>
      <c r="BN188">
        <v>5.0890000000000004</v>
      </c>
      <c r="BO188" s="10">
        <v>13.782999999999999</v>
      </c>
      <c r="BP188">
        <v>51750</v>
      </c>
      <c r="CB188">
        <v>8</v>
      </c>
      <c r="CC188">
        <v>12644</v>
      </c>
      <c r="CD188">
        <v>1871</v>
      </c>
      <c r="CE188">
        <v>2726</v>
      </c>
      <c r="CF188">
        <v>2778</v>
      </c>
      <c r="CG188">
        <v>2594.5</v>
      </c>
      <c r="CH188">
        <v>5264</v>
      </c>
      <c r="CI188">
        <v>13363</v>
      </c>
      <c r="CK188">
        <v>0</v>
      </c>
      <c r="CL188">
        <v>26000</v>
      </c>
      <c r="CM188">
        <v>0</v>
      </c>
      <c r="CN188">
        <v>25000</v>
      </c>
      <c r="CO188">
        <v>40</v>
      </c>
      <c r="CP188">
        <v>21000</v>
      </c>
      <c r="CQ188">
        <v>105</v>
      </c>
      <c r="CR188">
        <v>59000</v>
      </c>
      <c r="CS188">
        <v>0</v>
      </c>
      <c r="CU188">
        <v>0</v>
      </c>
      <c r="CW188">
        <v>0</v>
      </c>
      <c r="CY188">
        <v>27.3</v>
      </c>
      <c r="CZ188">
        <v>15.2</v>
      </c>
      <c r="DA188">
        <v>54</v>
      </c>
      <c r="DB188">
        <v>10450</v>
      </c>
      <c r="DC188">
        <v>58.835999999999999</v>
      </c>
      <c r="DD188">
        <v>40.220999999999997</v>
      </c>
      <c r="DE188">
        <v>8.0000000000000002E-3</v>
      </c>
      <c r="DF188">
        <v>8810</v>
      </c>
      <c r="DH188">
        <v>232.2</v>
      </c>
      <c r="DI188">
        <v>34520</v>
      </c>
      <c r="DJ188">
        <v>22.4</v>
      </c>
      <c r="DK188">
        <v>40</v>
      </c>
      <c r="DN188" s="23"/>
      <c r="DO188" s="42">
        <v>511</v>
      </c>
      <c r="DP188" t="s">
        <v>286</v>
      </c>
    </row>
    <row r="189" spans="1:128" x14ac:dyDescent="0.3">
      <c r="A189" s="2">
        <v>41728</v>
      </c>
      <c r="B189" s="21">
        <f t="shared" si="10"/>
        <v>180</v>
      </c>
      <c r="D189" s="71">
        <v>0.01</v>
      </c>
      <c r="E189" s="74">
        <v>122500</v>
      </c>
      <c r="F189" s="10">
        <v>72000</v>
      </c>
      <c r="G189" s="10">
        <f t="shared" si="11"/>
        <v>50500</v>
      </c>
      <c r="U189" s="74">
        <v>4574.1000000000004</v>
      </c>
      <c r="AI189" s="80">
        <v>2.1999999999999999E-2</v>
      </c>
      <c r="AJ189" s="10">
        <v>0.61333333333333329</v>
      </c>
      <c r="AK189" s="10">
        <v>1.5958333333333332</v>
      </c>
      <c r="AL189">
        <v>1576</v>
      </c>
      <c r="AP189">
        <v>148733</v>
      </c>
      <c r="AQ189" s="10">
        <f t="shared" si="12"/>
        <v>125498.1</v>
      </c>
      <c r="AX189" s="10">
        <v>2.988</v>
      </c>
      <c r="AZ189" s="10">
        <v>220</v>
      </c>
      <c r="BA189" s="10">
        <v>6.7469999999999999</v>
      </c>
      <c r="BB189">
        <v>3.081</v>
      </c>
      <c r="BD189">
        <v>161.27500000000001</v>
      </c>
      <c r="BE189">
        <v>8.9879999999999995</v>
      </c>
      <c r="BF189" s="10">
        <v>2.8570000000000002</v>
      </c>
      <c r="BH189" s="10">
        <v>141</v>
      </c>
      <c r="BI189" s="10">
        <v>8.4700000000000006</v>
      </c>
      <c r="BJ189">
        <v>3.52</v>
      </c>
      <c r="BM189">
        <v>632.97699999999998</v>
      </c>
      <c r="BN189">
        <v>4.9050000000000002</v>
      </c>
      <c r="BO189" s="10">
        <v>14.196</v>
      </c>
      <c r="BP189">
        <v>50500</v>
      </c>
      <c r="CB189">
        <v>7</v>
      </c>
      <c r="CC189">
        <v>12108</v>
      </c>
      <c r="CD189">
        <v>1475</v>
      </c>
      <c r="CE189">
        <v>2720</v>
      </c>
      <c r="CF189">
        <v>2802</v>
      </c>
      <c r="CG189">
        <v>2596.5</v>
      </c>
      <c r="CH189">
        <v>5185</v>
      </c>
      <c r="CI189">
        <v>13304</v>
      </c>
      <c r="CK189">
        <v>0</v>
      </c>
      <c r="CL189">
        <v>26000</v>
      </c>
      <c r="CM189">
        <v>0</v>
      </c>
      <c r="CN189">
        <v>25000</v>
      </c>
      <c r="CO189">
        <v>0</v>
      </c>
      <c r="CP189">
        <v>21000</v>
      </c>
      <c r="CQ189">
        <v>0</v>
      </c>
      <c r="CR189">
        <v>59000</v>
      </c>
      <c r="CS189">
        <v>0</v>
      </c>
      <c r="CU189">
        <v>0</v>
      </c>
      <c r="CW189">
        <v>0</v>
      </c>
      <c r="CY189">
        <v>23.4</v>
      </c>
      <c r="CZ189">
        <v>11.4</v>
      </c>
      <c r="DA189">
        <v>46.8</v>
      </c>
      <c r="DB189">
        <v>11981</v>
      </c>
      <c r="DC189">
        <v>58.898000000000003</v>
      </c>
      <c r="DD189">
        <v>41.043999999999997</v>
      </c>
      <c r="DE189">
        <v>8.9999999999999993E-3</v>
      </c>
      <c r="DF189">
        <v>8896.625</v>
      </c>
      <c r="DH189">
        <v>247.2</v>
      </c>
      <c r="DI189">
        <v>0</v>
      </c>
      <c r="DJ189">
        <v>22.4</v>
      </c>
      <c r="DK189">
        <v>40</v>
      </c>
      <c r="DN189" s="23"/>
      <c r="DO189" s="42">
        <v>512.1</v>
      </c>
      <c r="DP189" t="s">
        <v>286</v>
      </c>
    </row>
    <row r="190" spans="1:128" x14ac:dyDescent="0.3">
      <c r="A190" s="2">
        <v>41729</v>
      </c>
      <c r="B190" s="21">
        <f t="shared" si="10"/>
        <v>181</v>
      </c>
      <c r="D190" s="71">
        <v>0.03</v>
      </c>
      <c r="E190" s="74">
        <v>119976</v>
      </c>
      <c r="F190" s="10">
        <v>72000</v>
      </c>
      <c r="G190" s="10">
        <f t="shared" si="11"/>
        <v>47976</v>
      </c>
      <c r="U190" s="74">
        <v>4372.1499999999996</v>
      </c>
      <c r="AF190" s="80">
        <v>2494</v>
      </c>
      <c r="AG190" s="80">
        <v>20.100000000000001</v>
      </c>
      <c r="AH190" s="80">
        <v>72</v>
      </c>
      <c r="AI190" s="80">
        <v>1.7999999999999999E-2</v>
      </c>
      <c r="AJ190" s="10">
        <v>0.43583333333333346</v>
      </c>
      <c r="AK190" s="10">
        <v>1.5345833333333332</v>
      </c>
      <c r="AL190">
        <v>1443</v>
      </c>
      <c r="AM190" s="80">
        <v>9700</v>
      </c>
      <c r="AO190" s="80">
        <v>20</v>
      </c>
      <c r="AP190">
        <v>136183</v>
      </c>
      <c r="AQ190" s="10">
        <f t="shared" si="12"/>
        <v>122905.15</v>
      </c>
      <c r="AX190" s="10">
        <v>2.83</v>
      </c>
      <c r="AZ190" s="10">
        <v>218</v>
      </c>
      <c r="BA190" s="10">
        <v>6.4669999999999996</v>
      </c>
      <c r="BB190">
        <v>2.87</v>
      </c>
      <c r="BD190">
        <v>170.53899999999999</v>
      </c>
      <c r="BE190">
        <v>8.8520000000000003</v>
      </c>
      <c r="BF190" s="10">
        <v>2.66</v>
      </c>
      <c r="BH190" s="10">
        <v>139</v>
      </c>
      <c r="BI190" s="10">
        <v>8.23</v>
      </c>
      <c r="BJ190">
        <v>3.39</v>
      </c>
      <c r="BL190">
        <v>124</v>
      </c>
      <c r="BM190">
        <v>636.94500000000005</v>
      </c>
      <c r="BN190">
        <v>4.7089999999999996</v>
      </c>
      <c r="BO190" s="10">
        <v>14.583</v>
      </c>
      <c r="BP190">
        <v>47976</v>
      </c>
      <c r="CB190">
        <v>7</v>
      </c>
      <c r="CC190">
        <v>10536</v>
      </c>
      <c r="CD190">
        <v>2399</v>
      </c>
      <c r="CE190">
        <v>2680</v>
      </c>
      <c r="CF190">
        <v>2787</v>
      </c>
      <c r="CG190">
        <v>2561.5</v>
      </c>
      <c r="CH190">
        <v>5152</v>
      </c>
      <c r="CI190">
        <v>13181</v>
      </c>
      <c r="CK190">
        <v>0</v>
      </c>
      <c r="CL190">
        <v>26000</v>
      </c>
      <c r="CM190">
        <v>0</v>
      </c>
      <c r="CN190">
        <v>25000</v>
      </c>
      <c r="CO190">
        <v>0</v>
      </c>
      <c r="CP190">
        <v>21000</v>
      </c>
      <c r="CQ190">
        <v>77</v>
      </c>
      <c r="CR190">
        <v>59000</v>
      </c>
      <c r="CS190">
        <v>0</v>
      </c>
      <c r="CU190">
        <v>0</v>
      </c>
      <c r="CW190">
        <v>0</v>
      </c>
      <c r="CY190">
        <v>27.3</v>
      </c>
      <c r="CZ190">
        <v>7.6</v>
      </c>
      <c r="DA190">
        <v>36</v>
      </c>
      <c r="DB190">
        <v>12181</v>
      </c>
      <c r="DC190">
        <v>59.220999999999997</v>
      </c>
      <c r="DD190">
        <v>40.53</v>
      </c>
      <c r="DE190">
        <v>0.01</v>
      </c>
      <c r="DF190">
        <v>9153.375</v>
      </c>
      <c r="DH190">
        <v>242.5</v>
      </c>
      <c r="DI190">
        <v>0</v>
      </c>
      <c r="DJ190">
        <v>22.4</v>
      </c>
      <c r="DK190">
        <v>40</v>
      </c>
      <c r="DN190" s="23"/>
      <c r="DO190" s="42">
        <v>533.9</v>
      </c>
      <c r="DP190" t="s">
        <v>286</v>
      </c>
    </row>
    <row r="191" spans="1:128" x14ac:dyDescent="0.3">
      <c r="A191" s="2">
        <v>41730</v>
      </c>
      <c r="B191" s="21">
        <f t="shared" si="10"/>
        <v>182</v>
      </c>
      <c r="C191" s="15" t="s">
        <v>133</v>
      </c>
      <c r="D191" s="71">
        <v>0</v>
      </c>
      <c r="E191" s="74">
        <v>120774</v>
      </c>
      <c r="F191" s="10">
        <v>72000</v>
      </c>
      <c r="G191" s="10">
        <f t="shared" si="11"/>
        <v>48774</v>
      </c>
      <c r="U191" s="74">
        <v>4360.2</v>
      </c>
      <c r="AI191" s="80">
        <v>1.0999999999999999E-2</v>
      </c>
      <c r="AJ191" s="10">
        <v>0.24750000000000005</v>
      </c>
      <c r="AK191" s="10">
        <v>1.5970833333333332</v>
      </c>
      <c r="AL191">
        <v>1438</v>
      </c>
      <c r="AP191">
        <v>141333</v>
      </c>
      <c r="AQ191" s="10">
        <f t="shared" si="12"/>
        <v>123696.2</v>
      </c>
      <c r="AX191" s="10">
        <v>2.734</v>
      </c>
      <c r="AZ191" s="10">
        <v>190.28899999999999</v>
      </c>
      <c r="BA191" s="10">
        <v>6.1520000000000001</v>
      </c>
      <c r="BB191">
        <v>2.9580000000000002</v>
      </c>
      <c r="BD191">
        <v>151.5</v>
      </c>
      <c r="BE191">
        <v>8.6859999999999999</v>
      </c>
      <c r="BF191" s="10">
        <v>2.7160000000000002</v>
      </c>
      <c r="BH191" s="10">
        <v>119</v>
      </c>
      <c r="BI191" s="10">
        <v>8.18</v>
      </c>
      <c r="BJ191">
        <v>3.3959999999999999</v>
      </c>
      <c r="BM191">
        <v>674.96900000000005</v>
      </c>
      <c r="BN191">
        <v>4.5229999999999997</v>
      </c>
      <c r="BO191" s="10">
        <v>14.932</v>
      </c>
      <c r="BP191">
        <v>48774</v>
      </c>
      <c r="CB191">
        <v>8</v>
      </c>
      <c r="CC191">
        <v>9803</v>
      </c>
      <c r="CD191">
        <v>1856</v>
      </c>
      <c r="CE191">
        <v>2618</v>
      </c>
      <c r="CF191">
        <v>2832</v>
      </c>
      <c r="CG191">
        <v>2590.5</v>
      </c>
      <c r="CH191">
        <v>5236</v>
      </c>
      <c r="CI191">
        <v>13277</v>
      </c>
      <c r="CK191">
        <v>118</v>
      </c>
      <c r="CL191">
        <v>24000</v>
      </c>
      <c r="CM191">
        <v>0</v>
      </c>
      <c r="CN191">
        <v>23000</v>
      </c>
      <c r="CO191">
        <v>0</v>
      </c>
      <c r="CP191">
        <v>23000</v>
      </c>
      <c r="CQ191">
        <v>38</v>
      </c>
      <c r="CR191">
        <v>69000</v>
      </c>
      <c r="CS191">
        <v>0</v>
      </c>
      <c r="CU191">
        <v>0</v>
      </c>
      <c r="CW191">
        <v>0</v>
      </c>
      <c r="CY191">
        <v>22.8</v>
      </c>
      <c r="CZ191">
        <v>3.6</v>
      </c>
      <c r="DA191">
        <v>35</v>
      </c>
      <c r="DB191">
        <v>11025</v>
      </c>
      <c r="DC191">
        <v>59.454000000000001</v>
      </c>
      <c r="DD191">
        <v>39.953000000000003</v>
      </c>
      <c r="DE191">
        <v>1.0999999999999999E-2</v>
      </c>
      <c r="DF191">
        <v>9620</v>
      </c>
      <c r="DH191">
        <v>239.4</v>
      </c>
      <c r="DI191">
        <v>95500</v>
      </c>
      <c r="DJ191">
        <v>22.4</v>
      </c>
      <c r="DK191">
        <v>40</v>
      </c>
      <c r="DN191" s="23"/>
      <c r="DO191" s="42">
        <v>546.29999999999995</v>
      </c>
      <c r="DP191" t="s">
        <v>286</v>
      </c>
    </row>
    <row r="192" spans="1:128" x14ac:dyDescent="0.3">
      <c r="A192" s="2">
        <v>41731</v>
      </c>
      <c r="B192" s="21">
        <f t="shared" si="10"/>
        <v>183</v>
      </c>
      <c r="D192" s="71">
        <v>0</v>
      </c>
      <c r="E192" s="74">
        <v>122600</v>
      </c>
      <c r="F192" s="10">
        <v>72000</v>
      </c>
      <c r="G192" s="10">
        <f t="shared" si="11"/>
        <v>50600</v>
      </c>
      <c r="H192" s="80">
        <v>932</v>
      </c>
      <c r="J192" s="80">
        <v>74.599999999999994</v>
      </c>
      <c r="K192" s="80">
        <v>14.07</v>
      </c>
      <c r="M192" s="10">
        <v>429411</v>
      </c>
      <c r="N192">
        <v>3952</v>
      </c>
      <c r="P192" s="80">
        <v>410</v>
      </c>
      <c r="R192" s="80">
        <v>32.299999999999997</v>
      </c>
      <c r="S192" s="80">
        <v>7.1</v>
      </c>
      <c r="U192" s="74">
        <v>4276.7</v>
      </c>
      <c r="AI192" s="80">
        <v>1.7999999999999999E-2</v>
      </c>
      <c r="AJ192" s="10">
        <v>0.32333333333333342</v>
      </c>
      <c r="AK192" s="10">
        <v>1.4912499999999997</v>
      </c>
      <c r="AL192">
        <v>1438</v>
      </c>
      <c r="AN192" s="80">
        <v>9117</v>
      </c>
      <c r="AP192">
        <v>165417</v>
      </c>
      <c r="AQ192" s="10">
        <f t="shared" si="12"/>
        <v>125438.7</v>
      </c>
      <c r="AR192" s="80">
        <v>160</v>
      </c>
      <c r="AT192" s="80">
        <v>24.2</v>
      </c>
      <c r="AU192" s="80">
        <v>4</v>
      </c>
      <c r="AV192" s="80">
        <v>71</v>
      </c>
      <c r="AX192" s="10">
        <v>2.6160000000000001</v>
      </c>
      <c r="AZ192" s="10">
        <v>161.291</v>
      </c>
      <c r="BA192" s="10">
        <v>5.8650000000000002</v>
      </c>
      <c r="BB192">
        <v>2.9590000000000001</v>
      </c>
      <c r="BD192">
        <v>129</v>
      </c>
      <c r="BE192">
        <v>8.9220000000000006</v>
      </c>
      <c r="BF192" s="10">
        <v>2.7559999999999998</v>
      </c>
      <c r="BH192" s="10">
        <v>100</v>
      </c>
      <c r="BI192" s="10">
        <v>8.202</v>
      </c>
      <c r="BJ192">
        <v>3.3330000000000002</v>
      </c>
      <c r="BM192">
        <v>674</v>
      </c>
      <c r="BN192">
        <v>4.4020000000000001</v>
      </c>
      <c r="BO192" s="10">
        <v>15.16</v>
      </c>
      <c r="BP192">
        <v>50600</v>
      </c>
      <c r="BR192">
        <v>43</v>
      </c>
      <c r="BS192">
        <v>4</v>
      </c>
      <c r="BT192">
        <v>2.6</v>
      </c>
      <c r="BU192">
        <v>0.72</v>
      </c>
      <c r="BV192">
        <v>0.66</v>
      </c>
      <c r="BW192">
        <v>7.1</v>
      </c>
      <c r="BX192">
        <v>2</v>
      </c>
      <c r="BY192">
        <v>2.2000000000000002</v>
      </c>
      <c r="BZ192">
        <v>5.9</v>
      </c>
      <c r="CA192">
        <v>0.5</v>
      </c>
      <c r="CB192">
        <v>7</v>
      </c>
      <c r="CC192">
        <v>11417</v>
      </c>
      <c r="CD192">
        <v>1383</v>
      </c>
      <c r="CE192">
        <v>2626</v>
      </c>
      <c r="CF192">
        <v>2886</v>
      </c>
      <c r="CG192">
        <v>2611.5</v>
      </c>
      <c r="CH192">
        <v>5372</v>
      </c>
      <c r="CI192">
        <v>13496</v>
      </c>
      <c r="CK192">
        <v>183</v>
      </c>
      <c r="CL192">
        <v>24000</v>
      </c>
      <c r="CM192">
        <v>0</v>
      </c>
      <c r="CN192">
        <v>23000</v>
      </c>
      <c r="CO192">
        <v>0</v>
      </c>
      <c r="CP192">
        <v>23000</v>
      </c>
      <c r="CQ192">
        <v>73</v>
      </c>
      <c r="CR192">
        <v>69000</v>
      </c>
      <c r="CS192">
        <v>0</v>
      </c>
      <c r="CU192">
        <v>0</v>
      </c>
      <c r="CW192">
        <v>0</v>
      </c>
      <c r="CY192">
        <v>26.6</v>
      </c>
      <c r="CZ192">
        <v>10.8</v>
      </c>
      <c r="DA192">
        <v>28</v>
      </c>
      <c r="DB192">
        <v>10819</v>
      </c>
      <c r="DC192">
        <v>58.966999999999999</v>
      </c>
      <c r="DD192">
        <v>39.216000000000001</v>
      </c>
      <c r="DE192">
        <v>0.01</v>
      </c>
      <c r="DF192">
        <v>9305</v>
      </c>
      <c r="DH192">
        <v>248.6</v>
      </c>
      <c r="DI192">
        <v>135460</v>
      </c>
      <c r="DJ192">
        <v>20</v>
      </c>
      <c r="DK192">
        <v>38</v>
      </c>
      <c r="DL192">
        <v>1</v>
      </c>
      <c r="DM192">
        <v>10240</v>
      </c>
      <c r="DN192" s="23"/>
      <c r="DO192" s="42">
        <v>552.29999999999995</v>
      </c>
      <c r="DP192" t="s">
        <v>286</v>
      </c>
      <c r="DQ192" s="80">
        <v>1620</v>
      </c>
      <c r="DR192" s="80">
        <v>263</v>
      </c>
      <c r="DS192" s="80">
        <v>160</v>
      </c>
      <c r="DT192" s="80">
        <v>5.6</v>
      </c>
      <c r="DU192" s="80">
        <v>92</v>
      </c>
      <c r="DV192" s="80">
        <v>41</v>
      </c>
      <c r="DW192" s="80">
        <v>110</v>
      </c>
      <c r="DX192" s="80">
        <v>1500</v>
      </c>
    </row>
    <row r="193" spans="1:128" x14ac:dyDescent="0.3">
      <c r="A193" s="2">
        <v>41732</v>
      </c>
      <c r="B193" s="21">
        <f t="shared" si="10"/>
        <v>184</v>
      </c>
      <c r="D193" s="71">
        <v>0.01</v>
      </c>
      <c r="E193" s="74">
        <v>122364</v>
      </c>
      <c r="F193" s="10">
        <v>72048</v>
      </c>
      <c r="G193" s="10">
        <f t="shared" si="11"/>
        <v>50316</v>
      </c>
      <c r="U193" s="74">
        <v>4198.5</v>
      </c>
      <c r="AF193" s="80">
        <v>2824</v>
      </c>
      <c r="AG193" s="80">
        <v>18.5</v>
      </c>
      <c r="AH193" s="80">
        <v>78</v>
      </c>
      <c r="AI193" s="80">
        <v>3.3000000000000002E-2</v>
      </c>
      <c r="AJ193" s="10">
        <v>0.44666666666666671</v>
      </c>
      <c r="AK193" s="10">
        <v>2.179583333333333</v>
      </c>
      <c r="AL193">
        <v>1438</v>
      </c>
      <c r="AP193">
        <v>183800</v>
      </c>
      <c r="AQ193" s="10">
        <f t="shared" si="12"/>
        <v>125124.5</v>
      </c>
      <c r="AX193" s="10">
        <v>2.5499999999999998</v>
      </c>
      <c r="AZ193" s="10">
        <v>140.285</v>
      </c>
      <c r="BA193" s="10">
        <v>5.7030000000000003</v>
      </c>
      <c r="BB193">
        <v>3.53</v>
      </c>
      <c r="BD193">
        <v>109</v>
      </c>
      <c r="BE193">
        <v>9.0020000000000007</v>
      </c>
      <c r="BF193" s="10">
        <v>2.8</v>
      </c>
      <c r="BH193" s="10">
        <v>79.775000000000006</v>
      </c>
      <c r="BI193" s="10">
        <v>8.2249999999999996</v>
      </c>
      <c r="BJ193">
        <v>3.23</v>
      </c>
      <c r="BL193">
        <v>1</v>
      </c>
      <c r="BM193">
        <v>673.96900000000005</v>
      </c>
      <c r="BN193">
        <v>4.2549999999999999</v>
      </c>
      <c r="BO193" s="10">
        <v>15.411</v>
      </c>
      <c r="BP193">
        <v>50316</v>
      </c>
      <c r="CB193">
        <v>8</v>
      </c>
      <c r="CC193">
        <v>11614</v>
      </c>
      <c r="CD193">
        <v>422</v>
      </c>
      <c r="CE193">
        <v>2610</v>
      </c>
      <c r="CF193">
        <v>2904</v>
      </c>
      <c r="CG193">
        <v>2550.5</v>
      </c>
      <c r="CH193">
        <v>5320</v>
      </c>
      <c r="CI193">
        <v>13385</v>
      </c>
      <c r="CK193">
        <v>115</v>
      </c>
      <c r="CL193">
        <v>24000</v>
      </c>
      <c r="CM193">
        <v>0</v>
      </c>
      <c r="CN193">
        <v>23000</v>
      </c>
      <c r="CO193">
        <v>0</v>
      </c>
      <c r="CP193">
        <v>23000</v>
      </c>
      <c r="CQ193">
        <v>75</v>
      </c>
      <c r="CR193">
        <v>69000</v>
      </c>
      <c r="CS193">
        <v>0</v>
      </c>
      <c r="CU193">
        <v>0</v>
      </c>
      <c r="CW193">
        <v>0</v>
      </c>
      <c r="CY193">
        <v>26.6</v>
      </c>
      <c r="CZ193">
        <v>7.2</v>
      </c>
      <c r="DA193">
        <v>28</v>
      </c>
      <c r="DB193">
        <v>10626</v>
      </c>
      <c r="DC193">
        <v>49.884999999999998</v>
      </c>
      <c r="DD193">
        <v>33.564</v>
      </c>
      <c r="DE193">
        <v>8.0000000000000002E-3</v>
      </c>
      <c r="DF193">
        <v>9335</v>
      </c>
      <c r="DH193">
        <v>221.6</v>
      </c>
      <c r="DI193">
        <v>107300</v>
      </c>
      <c r="DJ193">
        <v>20</v>
      </c>
      <c r="DK193">
        <v>38</v>
      </c>
      <c r="DN193" s="23"/>
      <c r="DO193" s="42">
        <v>529.70000000000005</v>
      </c>
      <c r="DP193" t="s">
        <v>286</v>
      </c>
    </row>
    <row r="194" spans="1:128" x14ac:dyDescent="0.3">
      <c r="A194" s="2">
        <v>41733</v>
      </c>
      <c r="B194" s="21">
        <f t="shared" si="10"/>
        <v>185</v>
      </c>
      <c r="D194" s="71">
        <v>0</v>
      </c>
      <c r="E194" s="74">
        <v>120734</v>
      </c>
      <c r="F194" s="10">
        <v>72000</v>
      </c>
      <c r="G194" s="10">
        <f t="shared" si="11"/>
        <v>48734</v>
      </c>
      <c r="U194" s="74">
        <v>3168.05</v>
      </c>
      <c r="AI194" s="80">
        <v>2.7E-2</v>
      </c>
      <c r="AJ194" s="10">
        <v>0.62458333333333338</v>
      </c>
      <c r="AK194" s="10">
        <v>2.4475000000000002</v>
      </c>
      <c r="AL194">
        <v>1443</v>
      </c>
      <c r="AP194">
        <v>191467</v>
      </c>
      <c r="AQ194" s="10">
        <f t="shared" si="12"/>
        <v>122459.05</v>
      </c>
      <c r="AX194" s="10">
        <v>2.5049999999999999</v>
      </c>
      <c r="AZ194" s="10">
        <v>29.035</v>
      </c>
      <c r="BA194" s="10">
        <v>5.8780000000000001</v>
      </c>
      <c r="BB194">
        <v>3.1040000000000001</v>
      </c>
      <c r="BD194">
        <v>29</v>
      </c>
      <c r="BE194">
        <v>8.6910000000000007</v>
      </c>
      <c r="BF194" s="10">
        <v>2.65</v>
      </c>
      <c r="BH194" s="10">
        <v>20</v>
      </c>
      <c r="BI194" s="10">
        <v>8.1639999999999997</v>
      </c>
      <c r="BJ194">
        <v>3.2679999999999998</v>
      </c>
      <c r="BM194">
        <v>250.96899999999999</v>
      </c>
      <c r="BN194">
        <v>4.3079999999999998</v>
      </c>
      <c r="BO194" s="10">
        <v>15.727</v>
      </c>
      <c r="BP194">
        <v>48734</v>
      </c>
      <c r="CB194">
        <v>7</v>
      </c>
      <c r="CC194">
        <v>12959</v>
      </c>
      <c r="CD194">
        <v>118</v>
      </c>
      <c r="CE194">
        <v>2700.5</v>
      </c>
      <c r="CF194">
        <v>2746</v>
      </c>
      <c r="CG194">
        <v>2563</v>
      </c>
      <c r="CH194">
        <v>5303</v>
      </c>
      <c r="CI194">
        <v>13313</v>
      </c>
      <c r="CK194">
        <v>75</v>
      </c>
      <c r="CL194">
        <v>24000</v>
      </c>
      <c r="CM194">
        <v>0</v>
      </c>
      <c r="CN194">
        <v>23000</v>
      </c>
      <c r="CO194">
        <v>0</v>
      </c>
      <c r="CP194">
        <v>23000</v>
      </c>
      <c r="CQ194">
        <v>123</v>
      </c>
      <c r="CR194">
        <v>69000</v>
      </c>
      <c r="CS194">
        <v>0</v>
      </c>
      <c r="CU194">
        <v>0</v>
      </c>
      <c r="CW194">
        <v>0</v>
      </c>
      <c r="CY194">
        <v>26.6</v>
      </c>
      <c r="CZ194">
        <v>7.4</v>
      </c>
      <c r="DA194">
        <v>7.2</v>
      </c>
      <c r="DB194">
        <v>9968</v>
      </c>
      <c r="DC194">
        <v>50.231999999999999</v>
      </c>
      <c r="DD194">
        <v>33.643999999999998</v>
      </c>
      <c r="DE194">
        <v>8.9999999999999993E-3</v>
      </c>
      <c r="DF194">
        <v>8690</v>
      </c>
      <c r="DH194">
        <v>199.4</v>
      </c>
      <c r="DI194">
        <v>70440</v>
      </c>
      <c r="DJ194">
        <v>20</v>
      </c>
      <c r="DK194">
        <v>38</v>
      </c>
      <c r="DN194" s="23"/>
      <c r="DO194" s="42">
        <v>483.7</v>
      </c>
      <c r="DP194" t="s">
        <v>286</v>
      </c>
    </row>
    <row r="195" spans="1:128" x14ac:dyDescent="0.3">
      <c r="A195" s="2">
        <v>41734</v>
      </c>
      <c r="B195" s="21">
        <f t="shared" si="10"/>
        <v>186</v>
      </c>
      <c r="D195" s="71">
        <v>0</v>
      </c>
      <c r="E195" s="74">
        <v>119300</v>
      </c>
      <c r="F195" s="10">
        <v>72000</v>
      </c>
      <c r="G195" s="10">
        <f t="shared" si="11"/>
        <v>47300</v>
      </c>
      <c r="U195" s="74">
        <v>3673.1</v>
      </c>
      <c r="AI195" s="80">
        <v>2.4E-2</v>
      </c>
      <c r="AJ195" s="10">
        <v>0.56666666666666654</v>
      </c>
      <c r="AK195" s="10">
        <v>2.2150000000000003</v>
      </c>
      <c r="AL195">
        <v>1557</v>
      </c>
      <c r="AP195">
        <v>200283</v>
      </c>
      <c r="AQ195" s="10">
        <f t="shared" si="12"/>
        <v>121416.1</v>
      </c>
      <c r="AX195" s="10">
        <v>2.5680000000000001</v>
      </c>
      <c r="AZ195" s="10">
        <v>81</v>
      </c>
      <c r="BA195" s="10">
        <v>5.9580000000000002</v>
      </c>
      <c r="BB195">
        <v>3.0089999999999999</v>
      </c>
      <c r="BD195">
        <v>92</v>
      </c>
      <c r="BE195">
        <v>9.2279999999999998</v>
      </c>
      <c r="BF195" s="10">
        <v>2.694</v>
      </c>
      <c r="BH195" s="10">
        <v>52</v>
      </c>
      <c r="BI195" s="10">
        <v>8.06</v>
      </c>
      <c r="BJ195">
        <v>3.26</v>
      </c>
      <c r="BM195">
        <v>637.67999999999995</v>
      </c>
      <c r="BN195">
        <v>4.18</v>
      </c>
      <c r="BO195" s="10">
        <v>15.768000000000001</v>
      </c>
      <c r="BP195">
        <v>47300</v>
      </c>
      <c r="CB195">
        <v>7</v>
      </c>
      <c r="CC195">
        <v>14249</v>
      </c>
      <c r="CD195">
        <v>112.063</v>
      </c>
      <c r="CE195">
        <v>2531.5</v>
      </c>
      <c r="CF195">
        <v>2808</v>
      </c>
      <c r="CG195">
        <v>2487</v>
      </c>
      <c r="CH195">
        <v>5069</v>
      </c>
      <c r="CI195">
        <v>12896</v>
      </c>
      <c r="CK195">
        <v>0</v>
      </c>
      <c r="CL195">
        <v>24000</v>
      </c>
      <c r="CM195">
        <v>0</v>
      </c>
      <c r="CN195">
        <v>23000</v>
      </c>
      <c r="CO195">
        <v>0</v>
      </c>
      <c r="CP195">
        <v>23000</v>
      </c>
      <c r="CQ195">
        <v>25</v>
      </c>
      <c r="CR195">
        <v>69000</v>
      </c>
      <c r="CS195">
        <v>0</v>
      </c>
      <c r="CU195">
        <v>0</v>
      </c>
      <c r="CW195">
        <v>0</v>
      </c>
      <c r="CY195">
        <v>26.6</v>
      </c>
      <c r="CZ195">
        <v>7.4</v>
      </c>
      <c r="DA195">
        <v>21.6</v>
      </c>
      <c r="DB195">
        <v>8738</v>
      </c>
      <c r="DC195">
        <v>59.814</v>
      </c>
      <c r="DD195">
        <v>39.365000000000002</v>
      </c>
      <c r="DE195">
        <v>8.0000000000000002E-3</v>
      </c>
      <c r="DF195">
        <v>8050</v>
      </c>
      <c r="DH195">
        <v>155.4</v>
      </c>
      <c r="DI195">
        <v>69520</v>
      </c>
      <c r="DJ195">
        <v>20</v>
      </c>
      <c r="DK195">
        <v>38</v>
      </c>
      <c r="DN195" s="23"/>
      <c r="DO195" s="42">
        <v>436.3</v>
      </c>
      <c r="DP195" t="s">
        <v>286</v>
      </c>
    </row>
    <row r="196" spans="1:128" x14ac:dyDescent="0.3">
      <c r="A196" s="2">
        <v>41735</v>
      </c>
      <c r="B196" s="21">
        <f t="shared" si="10"/>
        <v>187</v>
      </c>
      <c r="D196" s="71">
        <v>0.18</v>
      </c>
      <c r="E196" s="74">
        <v>120400</v>
      </c>
      <c r="F196" s="10">
        <v>72000</v>
      </c>
      <c r="G196" s="10">
        <f t="shared" si="11"/>
        <v>48400</v>
      </c>
      <c r="U196" s="74">
        <v>4400.45</v>
      </c>
      <c r="AI196" s="80">
        <v>2.3E-2</v>
      </c>
      <c r="AJ196" s="10">
        <v>0.59583333333333333</v>
      </c>
      <c r="AK196" s="10">
        <v>1.986666666666667</v>
      </c>
      <c r="AL196">
        <v>1748</v>
      </c>
      <c r="AP196">
        <v>192800</v>
      </c>
      <c r="AQ196" s="10">
        <f t="shared" si="12"/>
        <v>123052.45</v>
      </c>
      <c r="AX196" s="10">
        <v>2.7410000000000001</v>
      </c>
      <c r="AZ196" s="10">
        <v>59</v>
      </c>
      <c r="BA196" s="10">
        <v>6.359</v>
      </c>
      <c r="BB196">
        <v>3.0510000000000002</v>
      </c>
      <c r="BD196">
        <v>75</v>
      </c>
      <c r="BE196">
        <v>9.3789999999999996</v>
      </c>
      <c r="BF196" s="10">
        <v>2.6880000000000002</v>
      </c>
      <c r="BH196" s="10">
        <v>60</v>
      </c>
      <c r="BI196" s="10">
        <v>8.1630000000000003</v>
      </c>
      <c r="BJ196">
        <v>3.1880000000000002</v>
      </c>
      <c r="BM196">
        <v>687.28899999999999</v>
      </c>
      <c r="BN196">
        <v>4.0289999999999999</v>
      </c>
      <c r="BO196" s="10">
        <v>15.846</v>
      </c>
      <c r="BP196">
        <v>48400</v>
      </c>
      <c r="CB196">
        <v>7</v>
      </c>
      <c r="CC196">
        <v>15052</v>
      </c>
      <c r="CD196">
        <v>284</v>
      </c>
      <c r="CE196">
        <v>2758</v>
      </c>
      <c r="CF196">
        <v>2970</v>
      </c>
      <c r="CG196">
        <v>2480</v>
      </c>
      <c r="CH196">
        <v>5265</v>
      </c>
      <c r="CI196">
        <v>13473</v>
      </c>
      <c r="CK196">
        <v>0</v>
      </c>
      <c r="CL196">
        <v>24000</v>
      </c>
      <c r="CM196">
        <v>0</v>
      </c>
      <c r="CN196">
        <v>23000</v>
      </c>
      <c r="CO196">
        <v>0</v>
      </c>
      <c r="CP196">
        <v>23000</v>
      </c>
      <c r="CQ196">
        <v>0</v>
      </c>
      <c r="CR196">
        <v>69000</v>
      </c>
      <c r="CS196">
        <v>0</v>
      </c>
      <c r="CU196">
        <v>0</v>
      </c>
      <c r="CW196">
        <v>0</v>
      </c>
      <c r="CY196">
        <v>26.6</v>
      </c>
      <c r="CZ196">
        <v>18.5</v>
      </c>
      <c r="DA196">
        <v>25.2</v>
      </c>
      <c r="DB196">
        <v>8524</v>
      </c>
      <c r="DC196">
        <v>51.347999999999999</v>
      </c>
      <c r="DD196">
        <v>33.799999999999997</v>
      </c>
      <c r="DE196">
        <v>7.0000000000000001E-3</v>
      </c>
      <c r="DF196">
        <v>7745</v>
      </c>
      <c r="DH196">
        <v>194.2</v>
      </c>
      <c r="DI196">
        <v>34020</v>
      </c>
      <c r="DJ196">
        <v>20</v>
      </c>
      <c r="DK196">
        <v>38</v>
      </c>
      <c r="DN196" s="23"/>
      <c r="DO196" s="42">
        <v>478.5</v>
      </c>
      <c r="DP196" t="s">
        <v>286</v>
      </c>
    </row>
    <row r="197" spans="1:128" x14ac:dyDescent="0.3">
      <c r="A197" s="2">
        <v>41736</v>
      </c>
      <c r="B197" s="21">
        <f t="shared" si="10"/>
        <v>188</v>
      </c>
      <c r="D197" s="71">
        <v>0.45</v>
      </c>
      <c r="E197" s="74">
        <v>134820</v>
      </c>
      <c r="F197" s="10">
        <v>67380</v>
      </c>
      <c r="G197" s="10">
        <f t="shared" si="11"/>
        <v>67440</v>
      </c>
      <c r="U197" s="74">
        <v>4171.2</v>
      </c>
      <c r="AF197" s="80">
        <v>2358</v>
      </c>
      <c r="AG197" s="80">
        <v>19.3</v>
      </c>
      <c r="AH197" s="80">
        <v>85</v>
      </c>
      <c r="AI197" s="80">
        <v>1.4999999999999999E-2</v>
      </c>
      <c r="AJ197" s="10">
        <v>0.75083333333333335</v>
      </c>
      <c r="AK197" s="10">
        <v>2.1675</v>
      </c>
      <c r="AL197">
        <v>1989.2</v>
      </c>
      <c r="AP197">
        <v>182133.4</v>
      </c>
      <c r="AQ197" s="10">
        <f t="shared" si="12"/>
        <v>137002</v>
      </c>
      <c r="AX197" s="10">
        <v>2.5499999999999998</v>
      </c>
      <c r="AZ197" s="10">
        <v>49.4</v>
      </c>
      <c r="BA197" s="10">
        <v>6.8659999999999997</v>
      </c>
      <c r="BB197">
        <v>2.97</v>
      </c>
      <c r="BD197">
        <v>68.400000000000006</v>
      </c>
      <c r="BE197">
        <v>8.9640000000000004</v>
      </c>
      <c r="BF197" s="10">
        <v>2.81</v>
      </c>
      <c r="BH197" s="10">
        <v>45.8</v>
      </c>
      <c r="BI197" s="10">
        <v>9.2219999999999995</v>
      </c>
      <c r="BJ197">
        <v>2.96</v>
      </c>
      <c r="BL197">
        <v>132</v>
      </c>
      <c r="BM197">
        <v>635.6</v>
      </c>
      <c r="BN197">
        <v>3.97</v>
      </c>
      <c r="BO197" s="10">
        <v>15.869</v>
      </c>
      <c r="BP197">
        <v>67440</v>
      </c>
      <c r="CB197">
        <v>8.4</v>
      </c>
      <c r="CC197">
        <v>12714</v>
      </c>
      <c r="CD197">
        <v>470.6</v>
      </c>
      <c r="CE197">
        <v>2831</v>
      </c>
      <c r="CF197">
        <v>3033.2</v>
      </c>
      <c r="CG197">
        <v>2766.2</v>
      </c>
      <c r="CH197">
        <v>5516</v>
      </c>
      <c r="CI197">
        <v>14146</v>
      </c>
      <c r="CK197">
        <v>0</v>
      </c>
      <c r="CL197">
        <v>24000</v>
      </c>
      <c r="CM197">
        <v>0</v>
      </c>
      <c r="CN197">
        <v>23000</v>
      </c>
      <c r="CO197">
        <v>0</v>
      </c>
      <c r="CP197">
        <v>23000</v>
      </c>
      <c r="CQ197">
        <v>39</v>
      </c>
      <c r="CR197">
        <v>69000</v>
      </c>
      <c r="CS197">
        <v>0</v>
      </c>
      <c r="CU197">
        <v>0</v>
      </c>
      <c r="CW197">
        <v>0</v>
      </c>
      <c r="CY197">
        <v>30.4</v>
      </c>
      <c r="CZ197">
        <v>14.8</v>
      </c>
      <c r="DA197">
        <v>21.6</v>
      </c>
      <c r="DB197">
        <v>8747</v>
      </c>
      <c r="DC197">
        <v>59.988</v>
      </c>
      <c r="DD197">
        <v>39.4</v>
      </c>
      <c r="DE197">
        <v>8.0000000000000002E-3</v>
      </c>
      <c r="DF197">
        <v>8785</v>
      </c>
      <c r="DH197">
        <v>186.8</v>
      </c>
      <c r="DI197">
        <v>0</v>
      </c>
      <c r="DJ197">
        <v>20</v>
      </c>
      <c r="DK197">
        <v>38</v>
      </c>
      <c r="DN197" s="23"/>
      <c r="DO197" s="42">
        <v>465.8</v>
      </c>
      <c r="DP197" t="s">
        <v>286</v>
      </c>
    </row>
    <row r="198" spans="1:128" x14ac:dyDescent="0.3">
      <c r="A198" s="2">
        <v>41737</v>
      </c>
      <c r="B198" s="21">
        <f t="shared" si="10"/>
        <v>189</v>
      </c>
      <c r="D198" s="71">
        <v>10.08</v>
      </c>
      <c r="E198" s="74">
        <v>134820</v>
      </c>
      <c r="F198" s="10">
        <v>67380</v>
      </c>
      <c r="G198" s="10">
        <f t="shared" si="11"/>
        <v>67440</v>
      </c>
      <c r="H198" s="80">
        <v>957</v>
      </c>
      <c r="I198" s="80">
        <v>355</v>
      </c>
      <c r="J198" s="80">
        <v>63.9</v>
      </c>
      <c r="K198" s="80">
        <v>10.8</v>
      </c>
      <c r="L198" s="80">
        <v>612</v>
      </c>
      <c r="M198" s="10">
        <v>561323</v>
      </c>
      <c r="N198">
        <v>4221</v>
      </c>
      <c r="P198" s="80">
        <v>500</v>
      </c>
      <c r="Q198" s="80">
        <v>180</v>
      </c>
      <c r="R198" s="80">
        <v>34.1</v>
      </c>
      <c r="S198" s="80">
        <v>6.6</v>
      </c>
      <c r="T198" s="80">
        <v>310</v>
      </c>
      <c r="U198" s="74">
        <v>4026.75</v>
      </c>
      <c r="W198" s="80">
        <v>1120</v>
      </c>
      <c r="X198" s="80">
        <v>930</v>
      </c>
      <c r="Y198" s="80">
        <v>87.8</v>
      </c>
      <c r="Z198" s="80">
        <v>1.2</v>
      </c>
      <c r="AA198" s="80">
        <v>0.47</v>
      </c>
      <c r="AB198" s="80">
        <v>19</v>
      </c>
      <c r="AD198" s="80">
        <v>580</v>
      </c>
      <c r="AI198" s="80">
        <v>6.0000000000000001E-3</v>
      </c>
      <c r="AJ198" s="10">
        <v>0.21</v>
      </c>
      <c r="AK198" s="10">
        <v>1.0900000000000001</v>
      </c>
      <c r="AL198">
        <v>1989.2</v>
      </c>
      <c r="AP198">
        <v>182133.4</v>
      </c>
      <c r="AQ198" s="10">
        <f t="shared" si="12"/>
        <v>136857.54999999999</v>
      </c>
      <c r="AR198" s="80">
        <v>210</v>
      </c>
      <c r="AS198" s="80">
        <v>81</v>
      </c>
      <c r="AT198" s="80">
        <v>26.1</v>
      </c>
      <c r="AU198" s="80">
        <v>4</v>
      </c>
      <c r="AV198" s="80">
        <v>110</v>
      </c>
      <c r="AW198" s="6">
        <v>0.01</v>
      </c>
      <c r="AX198" s="10">
        <v>2.4889999999999999</v>
      </c>
      <c r="AY198" s="10">
        <v>22</v>
      </c>
      <c r="AZ198" s="10">
        <v>49.4</v>
      </c>
      <c r="BA198" s="10">
        <v>9.4309999999999992</v>
      </c>
      <c r="BB198">
        <v>2.762</v>
      </c>
      <c r="BC198">
        <v>21</v>
      </c>
      <c r="BD198">
        <v>68.400000000000006</v>
      </c>
      <c r="BE198">
        <v>4.8710000000000004</v>
      </c>
      <c r="BF198" s="10">
        <v>2.492</v>
      </c>
      <c r="BG198" s="10">
        <v>21</v>
      </c>
      <c r="BH198" s="10">
        <v>45.8</v>
      </c>
      <c r="BI198" s="10">
        <v>11.589</v>
      </c>
      <c r="BJ198">
        <v>3.2949999999999999</v>
      </c>
      <c r="BK198">
        <v>27</v>
      </c>
      <c r="BM198">
        <v>635.6</v>
      </c>
      <c r="BN198">
        <v>4.444</v>
      </c>
      <c r="BO198" s="10">
        <v>14.95</v>
      </c>
      <c r="BP198">
        <v>67440</v>
      </c>
      <c r="BR198">
        <v>43</v>
      </c>
      <c r="BS198">
        <v>5</v>
      </c>
      <c r="BT198">
        <v>4.3</v>
      </c>
      <c r="BU198">
        <v>2.2000000000000002</v>
      </c>
      <c r="BV198">
        <v>0.57999999999999996</v>
      </c>
      <c r="BW198">
        <v>7.1</v>
      </c>
      <c r="BX198">
        <v>2.2999999999999998</v>
      </c>
      <c r="BY198">
        <v>2.4</v>
      </c>
      <c r="BZ198">
        <v>8</v>
      </c>
      <c r="CA198">
        <v>0.39</v>
      </c>
      <c r="CB198">
        <v>8.4</v>
      </c>
      <c r="CC198">
        <v>12714</v>
      </c>
      <c r="CD198">
        <v>470.6</v>
      </c>
      <c r="CE198">
        <v>2831</v>
      </c>
      <c r="CF198">
        <v>3033.2</v>
      </c>
      <c r="CG198">
        <v>2766.2</v>
      </c>
      <c r="CH198">
        <v>5516</v>
      </c>
      <c r="CI198">
        <v>14146</v>
      </c>
      <c r="CK198">
        <v>0</v>
      </c>
      <c r="CL198">
        <v>24000</v>
      </c>
      <c r="CM198">
        <v>0</v>
      </c>
      <c r="CN198">
        <v>23000</v>
      </c>
      <c r="CO198">
        <v>0</v>
      </c>
      <c r="CP198">
        <v>23000</v>
      </c>
      <c r="CQ198">
        <v>77</v>
      </c>
      <c r="CR198">
        <v>69000</v>
      </c>
      <c r="CS198">
        <v>0</v>
      </c>
      <c r="CU198">
        <v>0</v>
      </c>
      <c r="CW198">
        <v>0</v>
      </c>
      <c r="CY198">
        <v>22.2</v>
      </c>
      <c r="CZ198">
        <v>14.4</v>
      </c>
      <c r="DA198">
        <v>20.399999999999999</v>
      </c>
      <c r="DB198">
        <v>9067</v>
      </c>
      <c r="DC198">
        <v>59.27</v>
      </c>
      <c r="DD198">
        <v>39.576000000000001</v>
      </c>
      <c r="DE198">
        <v>8.0000000000000002E-3</v>
      </c>
      <c r="DF198">
        <v>8717.5</v>
      </c>
      <c r="DH198">
        <v>176.4</v>
      </c>
      <c r="DI198">
        <v>102020</v>
      </c>
      <c r="DJ198">
        <v>20</v>
      </c>
      <c r="DK198">
        <v>38</v>
      </c>
      <c r="DN198" s="23"/>
      <c r="DO198" s="42">
        <v>435</v>
      </c>
      <c r="DP198" t="s">
        <v>286</v>
      </c>
      <c r="DQ198" s="80">
        <v>1520</v>
      </c>
      <c r="DR198" s="80">
        <v>223</v>
      </c>
      <c r="DS198" s="80">
        <v>130</v>
      </c>
      <c r="DT198" s="80">
        <v>6.2</v>
      </c>
      <c r="DU198" s="80">
        <v>75</v>
      </c>
      <c r="DV198" s="80">
        <v>46</v>
      </c>
      <c r="DW198" s="80">
        <v>100</v>
      </c>
      <c r="DX198" s="80">
        <v>1200</v>
      </c>
    </row>
    <row r="199" spans="1:128" x14ac:dyDescent="0.3">
      <c r="A199" s="2">
        <v>41738</v>
      </c>
      <c r="B199" s="21">
        <f t="shared" si="10"/>
        <v>190</v>
      </c>
      <c r="D199" s="71">
        <v>2.39</v>
      </c>
      <c r="E199" s="74">
        <v>134820</v>
      </c>
      <c r="F199" s="10">
        <v>67380</v>
      </c>
      <c r="G199" s="10">
        <f t="shared" si="11"/>
        <v>67440</v>
      </c>
      <c r="U199" s="74">
        <v>4346.8500000000004</v>
      </c>
      <c r="AI199" s="80">
        <v>6.0000000000000001E-3</v>
      </c>
      <c r="AJ199" s="10">
        <v>0.21</v>
      </c>
      <c r="AK199" s="10">
        <v>1.0900000000000001</v>
      </c>
      <c r="AL199">
        <v>1989.2</v>
      </c>
      <c r="AN199" s="80">
        <v>7438</v>
      </c>
      <c r="AP199">
        <v>182133.4</v>
      </c>
      <c r="AQ199" s="10">
        <f t="shared" si="12"/>
        <v>137177.65</v>
      </c>
      <c r="AX199" s="10">
        <v>2.4889999999999999</v>
      </c>
      <c r="AZ199" s="10">
        <v>49.4</v>
      </c>
      <c r="BA199" s="10">
        <v>9.4309999999999992</v>
      </c>
      <c r="BB199">
        <v>2.762</v>
      </c>
      <c r="BD199">
        <v>68.400000000000006</v>
      </c>
      <c r="BE199">
        <v>4.8710000000000004</v>
      </c>
      <c r="BF199" s="10">
        <v>2.492</v>
      </c>
      <c r="BH199" s="10">
        <v>45.8</v>
      </c>
      <c r="BI199" s="10">
        <v>11.589</v>
      </c>
      <c r="BJ199">
        <v>3.2949999999999999</v>
      </c>
      <c r="BM199">
        <v>635.6</v>
      </c>
      <c r="BN199">
        <v>4.444</v>
      </c>
      <c r="BO199" s="10">
        <v>14.95</v>
      </c>
      <c r="BP199">
        <v>67440</v>
      </c>
      <c r="CB199">
        <v>8.4</v>
      </c>
      <c r="CC199">
        <v>12714</v>
      </c>
      <c r="CD199">
        <v>470.6</v>
      </c>
      <c r="CE199">
        <v>2831</v>
      </c>
      <c r="CF199">
        <v>3033.2</v>
      </c>
      <c r="CG199">
        <v>2766.2</v>
      </c>
      <c r="CH199">
        <v>5516</v>
      </c>
      <c r="CI199">
        <v>14146</v>
      </c>
      <c r="CK199">
        <v>0</v>
      </c>
      <c r="CL199">
        <v>24000</v>
      </c>
      <c r="CM199">
        <v>0</v>
      </c>
      <c r="CN199">
        <v>23000</v>
      </c>
      <c r="CO199">
        <v>0</v>
      </c>
      <c r="CP199">
        <v>23000</v>
      </c>
      <c r="CQ199">
        <v>50</v>
      </c>
      <c r="CR199">
        <v>69000</v>
      </c>
      <c r="CS199">
        <v>0</v>
      </c>
      <c r="CU199">
        <v>0</v>
      </c>
      <c r="CW199">
        <v>0</v>
      </c>
      <c r="CY199">
        <v>29.6</v>
      </c>
      <c r="CZ199">
        <v>18</v>
      </c>
      <c r="DA199">
        <v>20.399999999999999</v>
      </c>
      <c r="DB199">
        <v>10356</v>
      </c>
      <c r="DC199">
        <v>59.752000000000002</v>
      </c>
      <c r="DD199">
        <v>39.927999999999997</v>
      </c>
      <c r="DE199">
        <v>5.0000000000000001E-3</v>
      </c>
      <c r="DF199">
        <v>9462.5</v>
      </c>
      <c r="DH199">
        <v>176.4</v>
      </c>
      <c r="DI199">
        <v>69900</v>
      </c>
      <c r="DJ199">
        <v>20.399999999999999</v>
      </c>
      <c r="DK199">
        <v>38</v>
      </c>
      <c r="DL199">
        <v>1</v>
      </c>
      <c r="DM199">
        <v>10540</v>
      </c>
      <c r="DN199" s="23"/>
      <c r="DO199" s="42">
        <v>490.7</v>
      </c>
      <c r="DP199" t="s">
        <v>286</v>
      </c>
    </row>
    <row r="200" spans="1:128" x14ac:dyDescent="0.3">
      <c r="A200" s="2">
        <v>41739</v>
      </c>
      <c r="B200" s="21">
        <f t="shared" si="10"/>
        <v>191</v>
      </c>
      <c r="D200" s="71">
        <v>0</v>
      </c>
      <c r="E200" s="74">
        <v>134820</v>
      </c>
      <c r="F200" s="10">
        <v>67380</v>
      </c>
      <c r="G200" s="10">
        <f t="shared" si="11"/>
        <v>67440</v>
      </c>
      <c r="U200" s="74">
        <v>4634.1000000000004</v>
      </c>
      <c r="AF200" s="80">
        <v>2484</v>
      </c>
      <c r="AG200" s="80">
        <v>19.399999999999999</v>
      </c>
      <c r="AH200" s="80">
        <v>72</v>
      </c>
      <c r="AI200" s="80">
        <v>6.0000000000000001E-3</v>
      </c>
      <c r="AJ200" s="10">
        <v>0.23749999999999996</v>
      </c>
      <c r="AK200" s="10">
        <v>1.1987500000000002</v>
      </c>
      <c r="AL200">
        <v>1989.2</v>
      </c>
      <c r="AP200">
        <v>182133.4</v>
      </c>
      <c r="AQ200" s="10">
        <f t="shared" si="12"/>
        <v>137464.9</v>
      </c>
      <c r="AX200" s="10">
        <v>3.05</v>
      </c>
      <c r="AZ200" s="10">
        <v>49.4</v>
      </c>
      <c r="BA200" s="10">
        <v>9.4570000000000007</v>
      </c>
      <c r="BB200">
        <v>3.13</v>
      </c>
      <c r="BD200">
        <v>68.400000000000006</v>
      </c>
      <c r="BE200">
        <v>5.45</v>
      </c>
      <c r="BF200" s="10">
        <v>2.8</v>
      </c>
      <c r="BH200" s="10">
        <v>45.8</v>
      </c>
      <c r="BI200" s="10">
        <v>11.416</v>
      </c>
      <c r="BJ200">
        <v>3.28</v>
      </c>
      <c r="BL200">
        <v>137</v>
      </c>
      <c r="BM200">
        <v>635.6</v>
      </c>
      <c r="BN200">
        <v>4.4249999999999998</v>
      </c>
      <c r="BO200" s="10">
        <v>14.962</v>
      </c>
      <c r="BP200">
        <v>67440</v>
      </c>
      <c r="CB200">
        <v>8.4</v>
      </c>
      <c r="CC200">
        <v>12714</v>
      </c>
      <c r="CD200">
        <v>470.6</v>
      </c>
      <c r="CE200">
        <v>2831</v>
      </c>
      <c r="CF200">
        <v>3033.2</v>
      </c>
      <c r="CG200">
        <v>2766.2</v>
      </c>
      <c r="CH200">
        <v>5516</v>
      </c>
      <c r="CI200">
        <v>14148</v>
      </c>
      <c r="CK200">
        <v>0</v>
      </c>
      <c r="CL200">
        <v>24000</v>
      </c>
      <c r="CM200">
        <v>0</v>
      </c>
      <c r="CN200">
        <v>23000</v>
      </c>
      <c r="CO200">
        <v>0</v>
      </c>
      <c r="CP200">
        <v>23000</v>
      </c>
      <c r="CQ200">
        <v>46</v>
      </c>
      <c r="CR200">
        <v>69000</v>
      </c>
      <c r="CS200">
        <v>0</v>
      </c>
      <c r="CU200">
        <v>0</v>
      </c>
      <c r="CW200">
        <v>0</v>
      </c>
      <c r="CY200">
        <v>29.6</v>
      </c>
      <c r="CZ200">
        <v>21.6</v>
      </c>
      <c r="DA200">
        <v>20.399999999999999</v>
      </c>
      <c r="DB200">
        <v>11832</v>
      </c>
      <c r="DC200">
        <v>58.283000000000001</v>
      </c>
      <c r="DD200">
        <v>41.475000000000001</v>
      </c>
      <c r="DE200">
        <v>8.0000000000000002E-3</v>
      </c>
      <c r="DF200">
        <v>10110</v>
      </c>
      <c r="DH200">
        <v>193.8</v>
      </c>
      <c r="DI200">
        <v>63040</v>
      </c>
      <c r="DJ200">
        <v>20.399999999999999</v>
      </c>
      <c r="DK200">
        <v>38</v>
      </c>
      <c r="DN200" s="23"/>
      <c r="DO200" s="42">
        <v>567</v>
      </c>
      <c r="DP200" t="s">
        <v>286</v>
      </c>
    </row>
    <row r="201" spans="1:128" x14ac:dyDescent="0.3">
      <c r="A201" s="2">
        <v>41740</v>
      </c>
      <c r="B201" s="21">
        <f t="shared" si="10"/>
        <v>192</v>
      </c>
      <c r="D201" s="71">
        <v>0.01</v>
      </c>
      <c r="E201" s="74">
        <v>134820</v>
      </c>
      <c r="F201" s="10">
        <v>67380</v>
      </c>
      <c r="G201" s="10">
        <f t="shared" si="11"/>
        <v>67440</v>
      </c>
      <c r="U201" s="74">
        <v>4505.2</v>
      </c>
      <c r="AI201" s="80">
        <v>7.0000000000000001E-3</v>
      </c>
      <c r="AJ201" s="10">
        <v>0.38874999999999993</v>
      </c>
      <c r="AK201" s="10">
        <v>2.742083333333333</v>
      </c>
      <c r="AL201">
        <v>1989.2</v>
      </c>
      <c r="AP201">
        <v>182133.4</v>
      </c>
      <c r="AQ201" s="10">
        <f t="shared" si="12"/>
        <v>137336</v>
      </c>
      <c r="AX201" s="10">
        <v>2.8839999999999999</v>
      </c>
      <c r="AZ201" s="10">
        <v>49.4</v>
      </c>
      <c r="BA201" s="10">
        <v>7.5469999999999997</v>
      </c>
      <c r="BB201">
        <v>3.2290000000000001</v>
      </c>
      <c r="BD201">
        <v>68.400000000000006</v>
      </c>
      <c r="BE201">
        <v>9.3680000000000003</v>
      </c>
      <c r="BF201" s="10">
        <v>3.0179999999999998</v>
      </c>
      <c r="BH201" s="10">
        <v>45.8</v>
      </c>
      <c r="BI201" s="10">
        <v>10.214</v>
      </c>
      <c r="BJ201">
        <v>3.2330000000000001</v>
      </c>
      <c r="BM201">
        <v>635.6</v>
      </c>
      <c r="BN201">
        <v>4.2089999999999996</v>
      </c>
      <c r="BO201" s="10">
        <v>15.545</v>
      </c>
      <c r="BP201">
        <v>67440</v>
      </c>
      <c r="CB201">
        <v>8.4</v>
      </c>
      <c r="CC201">
        <v>12714</v>
      </c>
      <c r="CD201">
        <v>470.6</v>
      </c>
      <c r="CE201">
        <v>2831</v>
      </c>
      <c r="CF201">
        <v>3033.2</v>
      </c>
      <c r="CG201">
        <v>2766.2</v>
      </c>
      <c r="CH201">
        <v>5516</v>
      </c>
      <c r="CI201">
        <v>14146</v>
      </c>
      <c r="CK201">
        <v>0</v>
      </c>
      <c r="CL201">
        <v>24000</v>
      </c>
      <c r="CM201">
        <v>0</v>
      </c>
      <c r="CN201">
        <v>23000</v>
      </c>
      <c r="CO201">
        <v>0</v>
      </c>
      <c r="CP201">
        <v>23000</v>
      </c>
      <c r="CQ201">
        <v>0</v>
      </c>
      <c r="CR201">
        <v>69000</v>
      </c>
      <c r="CS201">
        <v>0</v>
      </c>
      <c r="CU201">
        <v>0</v>
      </c>
      <c r="CW201">
        <v>0</v>
      </c>
      <c r="CY201">
        <v>22.2</v>
      </c>
      <c r="CZ201">
        <v>22.2</v>
      </c>
      <c r="DA201">
        <v>21.6</v>
      </c>
      <c r="DB201">
        <v>10944</v>
      </c>
      <c r="DC201">
        <v>58.204999999999998</v>
      </c>
      <c r="DD201">
        <v>41.298000000000002</v>
      </c>
      <c r="DE201">
        <v>8.0000000000000002E-3</v>
      </c>
      <c r="DF201">
        <v>10920</v>
      </c>
      <c r="DH201">
        <v>142.30000000000001</v>
      </c>
      <c r="DI201">
        <v>67580</v>
      </c>
      <c r="DJ201">
        <v>20.399999999999999</v>
      </c>
      <c r="DK201">
        <v>38</v>
      </c>
      <c r="DN201" s="23"/>
      <c r="DO201" s="42">
        <v>426.5</v>
      </c>
      <c r="DP201" t="s">
        <v>286</v>
      </c>
    </row>
    <row r="202" spans="1:128" x14ac:dyDescent="0.3">
      <c r="A202" s="2">
        <v>41741</v>
      </c>
      <c r="B202" s="21">
        <f t="shared" ref="B202:B265" si="13">A202-$A$9</f>
        <v>193</v>
      </c>
      <c r="D202" s="71">
        <v>0</v>
      </c>
      <c r="E202" s="74">
        <v>119800</v>
      </c>
      <c r="F202" s="10">
        <v>72000</v>
      </c>
      <c r="G202" s="10">
        <f t="shared" si="11"/>
        <v>47800</v>
      </c>
      <c r="U202" s="74">
        <v>4353.0779999999995</v>
      </c>
      <c r="AI202" s="80">
        <v>1.6E-2</v>
      </c>
      <c r="AJ202" s="10">
        <v>0.43458333333333327</v>
      </c>
      <c r="AK202" s="10">
        <v>3.0675000000000003</v>
      </c>
      <c r="AL202">
        <v>2158</v>
      </c>
      <c r="AP202">
        <v>180467</v>
      </c>
      <c r="AQ202" s="10">
        <f t="shared" si="12"/>
        <v>121995.07799999999</v>
      </c>
      <c r="AX202" s="10">
        <v>2.8919999999999999</v>
      </c>
      <c r="AZ202" s="10">
        <v>70</v>
      </c>
      <c r="BA202" s="10">
        <v>6.7809999999999997</v>
      </c>
      <c r="BB202">
        <v>3.31</v>
      </c>
      <c r="BD202">
        <v>64</v>
      </c>
      <c r="BE202">
        <v>10.022</v>
      </c>
      <c r="BF202" s="10">
        <v>3.3279999999999998</v>
      </c>
      <c r="BH202" s="10">
        <v>52</v>
      </c>
      <c r="BI202" s="10">
        <v>9.7720000000000002</v>
      </c>
      <c r="BJ202">
        <v>3.1429999999999998</v>
      </c>
      <c r="BM202">
        <v>663.92200000000003</v>
      </c>
      <c r="BN202">
        <v>3.9969999999999999</v>
      </c>
      <c r="BO202" s="10">
        <v>15.942</v>
      </c>
      <c r="BP202">
        <v>47800</v>
      </c>
      <c r="CB202">
        <v>6.4139999999999997</v>
      </c>
      <c r="CC202">
        <v>10943</v>
      </c>
      <c r="CD202">
        <v>642</v>
      </c>
      <c r="CE202">
        <v>2652</v>
      </c>
      <c r="CF202">
        <v>2886</v>
      </c>
      <c r="CG202">
        <v>3040</v>
      </c>
      <c r="CH202">
        <v>5241</v>
      </c>
      <c r="CI202">
        <v>13819</v>
      </c>
      <c r="CK202">
        <v>0</v>
      </c>
      <c r="CL202">
        <v>24000</v>
      </c>
      <c r="CM202">
        <v>0</v>
      </c>
      <c r="CN202">
        <v>23000</v>
      </c>
      <c r="CO202">
        <v>0</v>
      </c>
      <c r="CP202">
        <v>23000</v>
      </c>
      <c r="CQ202">
        <v>0</v>
      </c>
      <c r="CR202">
        <v>69000</v>
      </c>
      <c r="CS202">
        <v>0</v>
      </c>
      <c r="CU202">
        <v>0</v>
      </c>
      <c r="CW202">
        <v>0</v>
      </c>
      <c r="CY202">
        <v>25.9</v>
      </c>
      <c r="CZ202">
        <v>22.2</v>
      </c>
      <c r="DA202">
        <v>21.6</v>
      </c>
      <c r="DB202">
        <v>9732</v>
      </c>
      <c r="DC202">
        <v>54.787999999999997</v>
      </c>
      <c r="DD202">
        <v>37.945</v>
      </c>
      <c r="DE202">
        <v>7.0000000000000001E-3</v>
      </c>
      <c r="DF202">
        <v>9870</v>
      </c>
      <c r="DH202">
        <v>125.9</v>
      </c>
      <c r="DI202">
        <v>64480</v>
      </c>
      <c r="DJ202">
        <v>20.399999999999999</v>
      </c>
      <c r="DK202">
        <v>38</v>
      </c>
      <c r="DN202" s="23"/>
      <c r="DO202" s="42">
        <v>368.3</v>
      </c>
      <c r="DP202" t="s">
        <v>286</v>
      </c>
    </row>
    <row r="203" spans="1:128" x14ac:dyDescent="0.3">
      <c r="A203" s="2">
        <v>41742</v>
      </c>
      <c r="B203" s="21">
        <f t="shared" si="13"/>
        <v>194</v>
      </c>
      <c r="E203" s="74">
        <v>119700</v>
      </c>
      <c r="F203" s="10">
        <v>72000</v>
      </c>
      <c r="G203" s="10">
        <f t="shared" si="11"/>
        <v>47700</v>
      </c>
      <c r="U203" s="74">
        <v>4315.8720000000003</v>
      </c>
      <c r="AI203" s="80">
        <v>1.6E-2</v>
      </c>
      <c r="AJ203" s="10">
        <v>0.46</v>
      </c>
      <c r="AK203" s="10">
        <v>3.11375</v>
      </c>
      <c r="AL203">
        <v>2156</v>
      </c>
      <c r="AP203">
        <v>178608</v>
      </c>
      <c r="AQ203" s="10">
        <f t="shared" si="12"/>
        <v>121859.872</v>
      </c>
      <c r="AX203" s="10">
        <v>3.1349999999999998</v>
      </c>
      <c r="AZ203" s="10">
        <v>73</v>
      </c>
      <c r="BA203" s="10">
        <v>7.1719999999999997</v>
      </c>
      <c r="BB203">
        <v>3.3370000000000002</v>
      </c>
      <c r="BD203">
        <v>98</v>
      </c>
      <c r="BE203">
        <v>10.194000000000001</v>
      </c>
      <c r="BF203" s="10">
        <v>3.504</v>
      </c>
      <c r="BH203" s="10">
        <v>64</v>
      </c>
      <c r="BI203" s="10">
        <v>10.478</v>
      </c>
      <c r="BJ203">
        <v>3.0539999999999998</v>
      </c>
      <c r="BM203">
        <v>672.94500000000005</v>
      </c>
      <c r="BN203">
        <v>3.8439999999999999</v>
      </c>
      <c r="BO203" s="10">
        <v>16.015000000000001</v>
      </c>
      <c r="BP203">
        <v>47700</v>
      </c>
      <c r="CB203">
        <v>6</v>
      </c>
      <c r="CC203">
        <v>13725</v>
      </c>
      <c r="CD203">
        <v>841</v>
      </c>
      <c r="CE203">
        <v>2899.5</v>
      </c>
      <c r="CF203">
        <v>3094</v>
      </c>
      <c r="CG203">
        <v>3480</v>
      </c>
      <c r="CH203">
        <v>5174</v>
      </c>
      <c r="CI203">
        <v>14648</v>
      </c>
      <c r="CK203">
        <v>0</v>
      </c>
      <c r="CL203">
        <v>24000</v>
      </c>
      <c r="CM203">
        <v>0</v>
      </c>
      <c r="CN203">
        <v>23000</v>
      </c>
      <c r="CO203">
        <v>0</v>
      </c>
      <c r="CP203">
        <v>23000</v>
      </c>
      <c r="CQ203">
        <v>0</v>
      </c>
      <c r="CR203">
        <v>69000</v>
      </c>
      <c r="CS203">
        <v>0</v>
      </c>
      <c r="CU203">
        <v>0</v>
      </c>
      <c r="CW203">
        <v>0</v>
      </c>
      <c r="CY203">
        <v>22.2</v>
      </c>
      <c r="CZ203">
        <v>22.2</v>
      </c>
      <c r="DA203">
        <v>25.2</v>
      </c>
      <c r="DB203">
        <v>8753</v>
      </c>
      <c r="DC203">
        <v>59.107999999999997</v>
      </c>
      <c r="DD203">
        <v>40.299999999999997</v>
      </c>
      <c r="DE203">
        <v>8.0000000000000002E-3</v>
      </c>
      <c r="DF203">
        <v>8465</v>
      </c>
      <c r="DH203">
        <v>99.1</v>
      </c>
      <c r="DI203">
        <v>0</v>
      </c>
      <c r="DJ203">
        <v>20.399999999999999</v>
      </c>
      <c r="DK203">
        <v>38</v>
      </c>
      <c r="DN203" s="23"/>
      <c r="DO203" s="42">
        <v>332.8</v>
      </c>
      <c r="DP203" t="s">
        <v>286</v>
      </c>
    </row>
    <row r="204" spans="1:128" x14ac:dyDescent="0.3">
      <c r="A204" s="2">
        <v>41743</v>
      </c>
      <c r="B204" s="21">
        <f t="shared" si="13"/>
        <v>195</v>
      </c>
      <c r="E204" s="74">
        <v>119186</v>
      </c>
      <c r="F204" s="10">
        <v>72052</v>
      </c>
      <c r="G204" s="10">
        <f t="shared" si="11"/>
        <v>47134</v>
      </c>
      <c r="H204" s="80">
        <v>599</v>
      </c>
      <c r="J204" s="80">
        <v>62</v>
      </c>
      <c r="K204" s="80">
        <v>9.2799999999999994</v>
      </c>
      <c r="M204" s="10">
        <v>277335</v>
      </c>
      <c r="N204">
        <v>3495</v>
      </c>
      <c r="P204" s="80">
        <v>260</v>
      </c>
      <c r="R204" s="80">
        <v>25.9</v>
      </c>
      <c r="S204" s="80">
        <v>5</v>
      </c>
      <c r="U204" s="74">
        <v>3313.55</v>
      </c>
      <c r="AF204" s="80">
        <v>2232</v>
      </c>
      <c r="AG204" s="80">
        <v>18.7</v>
      </c>
      <c r="AH204" s="80">
        <v>90</v>
      </c>
      <c r="AI204" s="80">
        <v>0.01</v>
      </c>
      <c r="AJ204" s="10">
        <v>0.39666666666666672</v>
      </c>
      <c r="AK204" s="10">
        <v>3.0962499999999999</v>
      </c>
      <c r="AL204">
        <v>1167</v>
      </c>
      <c r="AP204">
        <v>168850</v>
      </c>
      <c r="AQ204" s="10">
        <f t="shared" si="12"/>
        <v>121332.55</v>
      </c>
      <c r="AR204" s="80">
        <v>130</v>
      </c>
      <c r="AT204" s="80">
        <v>22.8</v>
      </c>
      <c r="AU204" s="80">
        <v>3.3</v>
      </c>
      <c r="AV204" s="80">
        <v>51</v>
      </c>
      <c r="AX204" s="10">
        <v>2.83</v>
      </c>
      <c r="AZ204" s="10">
        <v>85</v>
      </c>
      <c r="BA204" s="10">
        <v>7.6260000000000003</v>
      </c>
      <c r="BB204">
        <v>3.13</v>
      </c>
      <c r="BD204">
        <v>113</v>
      </c>
      <c r="BE204">
        <v>10.157999999999999</v>
      </c>
      <c r="BF204" s="10">
        <v>2.93</v>
      </c>
      <c r="BH204" s="10">
        <v>100</v>
      </c>
      <c r="BI204" s="10">
        <v>10.282</v>
      </c>
      <c r="BJ204">
        <v>2.78</v>
      </c>
      <c r="BL204">
        <v>129</v>
      </c>
      <c r="BM204">
        <v>660.92200000000003</v>
      </c>
      <c r="BN204">
        <v>3.7189999999999999</v>
      </c>
      <c r="BO204" s="10">
        <v>15.984999999999999</v>
      </c>
      <c r="BP204">
        <v>47134</v>
      </c>
      <c r="BR204">
        <v>38</v>
      </c>
      <c r="BS204">
        <v>2</v>
      </c>
      <c r="BT204">
        <v>2.2999999999999998</v>
      </c>
      <c r="BU204">
        <v>0.41</v>
      </c>
      <c r="BV204">
        <v>0.24</v>
      </c>
      <c r="BW204">
        <v>8.1</v>
      </c>
      <c r="BX204">
        <v>1.6</v>
      </c>
      <c r="BY204">
        <v>2.2000000000000002</v>
      </c>
      <c r="BZ204">
        <v>5.3</v>
      </c>
      <c r="CA204">
        <v>0.64</v>
      </c>
      <c r="CB204">
        <v>6</v>
      </c>
      <c r="CC204">
        <v>13965</v>
      </c>
      <c r="CD204">
        <v>961</v>
      </c>
      <c r="CE204">
        <v>2870</v>
      </c>
      <c r="CF204">
        <v>3027</v>
      </c>
      <c r="CG204">
        <v>3386</v>
      </c>
      <c r="CH204">
        <v>5044</v>
      </c>
      <c r="CI204">
        <v>14327</v>
      </c>
      <c r="CK204">
        <v>0</v>
      </c>
      <c r="CL204">
        <v>24000</v>
      </c>
      <c r="CM204">
        <v>75</v>
      </c>
      <c r="CN204">
        <v>23000</v>
      </c>
      <c r="CO204">
        <v>0</v>
      </c>
      <c r="CP204">
        <v>23000</v>
      </c>
      <c r="CQ204">
        <v>6</v>
      </c>
      <c r="CR204">
        <v>69000</v>
      </c>
      <c r="CS204">
        <v>0</v>
      </c>
      <c r="CU204">
        <v>0</v>
      </c>
      <c r="CW204">
        <v>0</v>
      </c>
      <c r="CY204">
        <v>22.2</v>
      </c>
      <c r="CZ204">
        <v>3.7</v>
      </c>
      <c r="DA204">
        <v>28.8</v>
      </c>
      <c r="DB204">
        <v>7768</v>
      </c>
      <c r="DC204">
        <v>59.476999999999997</v>
      </c>
      <c r="DD204">
        <v>39.987000000000002</v>
      </c>
      <c r="DE204">
        <v>7.0000000000000001E-3</v>
      </c>
      <c r="DF204">
        <v>7920</v>
      </c>
      <c r="DH204">
        <v>103.9</v>
      </c>
      <c r="DI204">
        <v>0</v>
      </c>
      <c r="DJ204">
        <v>20.399999999999999</v>
      </c>
      <c r="DK204">
        <v>38</v>
      </c>
      <c r="DN204" s="23"/>
      <c r="DO204" s="42">
        <v>306.5</v>
      </c>
      <c r="DP204" t="s">
        <v>286</v>
      </c>
      <c r="DQ204" s="80">
        <v>1830</v>
      </c>
      <c r="DR204" s="80">
        <v>202</v>
      </c>
      <c r="DS204" s="80">
        <v>79</v>
      </c>
      <c r="DT204" s="80">
        <v>3.6</v>
      </c>
      <c r="DU204" s="80">
        <v>56</v>
      </c>
      <c r="DV204" s="80">
        <v>33</v>
      </c>
      <c r="DW204" s="80">
        <v>110</v>
      </c>
      <c r="DX204" s="80">
        <v>1400</v>
      </c>
    </row>
    <row r="205" spans="1:128" x14ac:dyDescent="0.3">
      <c r="A205" s="2">
        <v>41744</v>
      </c>
      <c r="B205" s="21">
        <f t="shared" si="13"/>
        <v>196</v>
      </c>
      <c r="E205" s="74">
        <v>121990</v>
      </c>
      <c r="F205" s="10">
        <v>72000</v>
      </c>
      <c r="G205" s="10">
        <f t="shared" ref="G205:G220" si="14">E205-F205</f>
        <v>49990</v>
      </c>
      <c r="U205" s="74">
        <v>3854</v>
      </c>
      <c r="AI205" s="80">
        <v>8.9999999999999993E-3</v>
      </c>
      <c r="AJ205" s="10">
        <v>0.4645833333333334</v>
      </c>
      <c r="AK205" s="10">
        <v>3.1033333333333331</v>
      </c>
      <c r="AL205">
        <v>1155</v>
      </c>
      <c r="AP205">
        <v>160358</v>
      </c>
      <c r="AQ205" s="10">
        <f t="shared" si="12"/>
        <v>124689</v>
      </c>
      <c r="AX205" s="10">
        <v>3.0489999999999999</v>
      </c>
      <c r="AZ205" s="10">
        <v>83</v>
      </c>
      <c r="BA205" s="10">
        <v>8.016</v>
      </c>
      <c r="BB205">
        <v>3.2530000000000001</v>
      </c>
      <c r="BD205">
        <v>111</v>
      </c>
      <c r="BE205">
        <v>9.8680000000000003</v>
      </c>
      <c r="BF205" s="10">
        <v>3.2240000000000002</v>
      </c>
      <c r="BH205" s="10">
        <v>100</v>
      </c>
      <c r="BI205" s="10">
        <v>10.61</v>
      </c>
      <c r="BJ205">
        <v>2.899</v>
      </c>
      <c r="BM205">
        <v>660</v>
      </c>
      <c r="BN205">
        <v>3.4820000000000002</v>
      </c>
      <c r="BO205" s="10">
        <v>15.615</v>
      </c>
      <c r="BP205">
        <v>49990</v>
      </c>
      <c r="CB205">
        <v>6.93</v>
      </c>
      <c r="CC205">
        <v>13336</v>
      </c>
      <c r="CD205">
        <v>1365</v>
      </c>
      <c r="CE205">
        <v>3056.5</v>
      </c>
      <c r="CF205">
        <v>2859</v>
      </c>
      <c r="CG205">
        <v>3187</v>
      </c>
      <c r="CH205">
        <v>4717</v>
      </c>
      <c r="CI205">
        <v>13820</v>
      </c>
      <c r="CK205">
        <v>0</v>
      </c>
      <c r="CL205">
        <v>24000</v>
      </c>
      <c r="CM205">
        <v>76</v>
      </c>
      <c r="CN205">
        <v>23000</v>
      </c>
      <c r="CO205">
        <v>0</v>
      </c>
      <c r="CP205">
        <v>23000</v>
      </c>
      <c r="CQ205">
        <v>142</v>
      </c>
      <c r="CR205">
        <v>69000</v>
      </c>
      <c r="CS205">
        <v>0</v>
      </c>
      <c r="CU205">
        <v>0</v>
      </c>
      <c r="CW205">
        <v>0</v>
      </c>
      <c r="CY205">
        <v>40.700000000000003</v>
      </c>
      <c r="CZ205">
        <v>3.8</v>
      </c>
      <c r="DA205">
        <v>24.5</v>
      </c>
      <c r="DB205">
        <v>8865</v>
      </c>
      <c r="DC205">
        <v>60.866</v>
      </c>
      <c r="DD205">
        <v>39.073</v>
      </c>
      <c r="DE205">
        <v>6.0000000000000001E-3</v>
      </c>
      <c r="DF205">
        <v>8015</v>
      </c>
      <c r="DH205">
        <v>169.2</v>
      </c>
      <c r="DI205">
        <v>103300</v>
      </c>
      <c r="DJ205">
        <v>20.399999999999999</v>
      </c>
      <c r="DK205">
        <v>38</v>
      </c>
      <c r="DN205" s="23"/>
      <c r="DO205" s="42">
        <v>558</v>
      </c>
      <c r="DP205" t="s">
        <v>286</v>
      </c>
    </row>
    <row r="206" spans="1:128" x14ac:dyDescent="0.3">
      <c r="A206" s="2">
        <v>41745</v>
      </c>
      <c r="B206" s="21">
        <f t="shared" si="13"/>
        <v>197</v>
      </c>
      <c r="E206" s="74">
        <v>119752</v>
      </c>
      <c r="F206" s="10">
        <v>72000</v>
      </c>
      <c r="G206" s="10">
        <f t="shared" si="14"/>
        <v>47752</v>
      </c>
      <c r="U206" s="74">
        <v>4063.55</v>
      </c>
      <c r="AI206" s="80">
        <v>8.0000000000000002E-3</v>
      </c>
      <c r="AJ206" s="10">
        <v>0.52666666666666673</v>
      </c>
      <c r="AK206" s="10">
        <v>2.9008333333333334</v>
      </c>
      <c r="AL206">
        <v>1292</v>
      </c>
      <c r="AN206" s="80">
        <v>7944</v>
      </c>
      <c r="AP206">
        <v>166017</v>
      </c>
      <c r="AQ206" s="10">
        <f t="shared" si="12"/>
        <v>122523.55</v>
      </c>
      <c r="AX206" s="10">
        <v>3.0179999999999998</v>
      </c>
      <c r="AZ206" s="10">
        <v>101</v>
      </c>
      <c r="BA206" s="10">
        <v>7.8230000000000004</v>
      </c>
      <c r="BB206">
        <v>3.1880000000000002</v>
      </c>
      <c r="BD206">
        <v>121</v>
      </c>
      <c r="BE206">
        <v>9.5749999999999993</v>
      </c>
      <c r="BF206" s="10">
        <v>3.1930000000000001</v>
      </c>
      <c r="BH206" s="10">
        <v>99.914000000000001</v>
      </c>
      <c r="BI206" s="10">
        <v>11.432</v>
      </c>
      <c r="BJ206">
        <v>2.802</v>
      </c>
      <c r="BM206">
        <v>621</v>
      </c>
      <c r="BN206">
        <v>3.323</v>
      </c>
      <c r="BO206" s="10">
        <v>15.442</v>
      </c>
      <c r="BP206">
        <v>47752</v>
      </c>
      <c r="CB206">
        <v>6.07</v>
      </c>
      <c r="CC206">
        <v>10383</v>
      </c>
      <c r="CD206">
        <v>1716</v>
      </c>
      <c r="CE206">
        <v>3076</v>
      </c>
      <c r="CF206">
        <v>2872</v>
      </c>
      <c r="CG206">
        <v>2847</v>
      </c>
      <c r="CH206">
        <v>4644</v>
      </c>
      <c r="CI206">
        <v>13439</v>
      </c>
      <c r="CK206">
        <v>0</v>
      </c>
      <c r="CL206">
        <v>24000</v>
      </c>
      <c r="CM206">
        <v>75</v>
      </c>
      <c r="CN206">
        <v>23000</v>
      </c>
      <c r="CO206">
        <v>0</v>
      </c>
      <c r="CP206">
        <v>23000</v>
      </c>
      <c r="CQ206">
        <v>109</v>
      </c>
      <c r="CR206">
        <v>69000</v>
      </c>
      <c r="CS206">
        <v>0</v>
      </c>
      <c r="CU206">
        <v>0</v>
      </c>
      <c r="CW206">
        <v>0</v>
      </c>
      <c r="CY206">
        <v>48.1</v>
      </c>
      <c r="CZ206">
        <v>0</v>
      </c>
      <c r="DA206">
        <v>28</v>
      </c>
      <c r="DB206">
        <v>10206</v>
      </c>
      <c r="DC206">
        <v>61.896999999999998</v>
      </c>
      <c r="DD206">
        <v>38.554000000000002</v>
      </c>
      <c r="DE206">
        <v>6.0000000000000001E-3</v>
      </c>
      <c r="DF206">
        <v>9270</v>
      </c>
      <c r="DH206">
        <v>173.2</v>
      </c>
      <c r="DI206">
        <v>69480</v>
      </c>
      <c r="DJ206">
        <v>19.5</v>
      </c>
      <c r="DK206">
        <v>38</v>
      </c>
      <c r="DN206" s="23"/>
      <c r="DO206" s="42">
        <v>501.5</v>
      </c>
      <c r="DP206" t="s">
        <v>286</v>
      </c>
    </row>
    <row r="207" spans="1:128" x14ac:dyDescent="0.3">
      <c r="A207" s="2">
        <v>41746</v>
      </c>
      <c r="B207" s="21">
        <f t="shared" si="13"/>
        <v>198</v>
      </c>
      <c r="E207" s="74">
        <v>122924</v>
      </c>
      <c r="F207" s="10">
        <v>72000</v>
      </c>
      <c r="G207" s="10">
        <f t="shared" si="14"/>
        <v>50924</v>
      </c>
      <c r="U207" s="74">
        <v>4190.9139999999998</v>
      </c>
      <c r="AF207" s="80">
        <v>2956</v>
      </c>
      <c r="AG207" s="80">
        <v>19.3</v>
      </c>
      <c r="AH207" s="80">
        <v>95</v>
      </c>
      <c r="AI207" s="80">
        <v>8.0000000000000002E-3</v>
      </c>
      <c r="AJ207" s="10">
        <v>0.49916666666666676</v>
      </c>
      <c r="AK207" s="10">
        <v>2.1470833333333328</v>
      </c>
      <c r="AL207">
        <v>1577</v>
      </c>
      <c r="AP207">
        <v>165567</v>
      </c>
      <c r="AQ207" s="10">
        <f t="shared" si="12"/>
        <v>125537.914</v>
      </c>
      <c r="AX207" s="10">
        <v>3.18</v>
      </c>
      <c r="AZ207" s="10">
        <v>111</v>
      </c>
      <c r="BA207" s="10">
        <v>7.99</v>
      </c>
      <c r="BB207">
        <v>2.78</v>
      </c>
      <c r="BD207">
        <v>130</v>
      </c>
      <c r="BE207">
        <v>13.781000000000001</v>
      </c>
      <c r="BF207" s="10">
        <v>3.73</v>
      </c>
      <c r="BH207" s="10">
        <v>100.254</v>
      </c>
      <c r="BI207" s="10">
        <v>10.500999999999999</v>
      </c>
      <c r="BJ207">
        <v>2.72</v>
      </c>
      <c r="BL207">
        <v>143</v>
      </c>
      <c r="BM207">
        <v>580.84400000000005</v>
      </c>
      <c r="BN207">
        <v>3.2109999999999999</v>
      </c>
      <c r="BO207" s="10">
        <v>15.63</v>
      </c>
      <c r="BP207">
        <v>50924</v>
      </c>
      <c r="CB207">
        <v>7</v>
      </c>
      <c r="CC207">
        <v>9823</v>
      </c>
      <c r="CD207">
        <v>1710</v>
      </c>
      <c r="CE207">
        <v>3146</v>
      </c>
      <c r="CF207">
        <v>2796</v>
      </c>
      <c r="CG207">
        <v>3030</v>
      </c>
      <c r="CH207">
        <v>4588</v>
      </c>
      <c r="CI207">
        <v>13560</v>
      </c>
      <c r="CK207">
        <v>0</v>
      </c>
      <c r="CL207">
        <v>24000</v>
      </c>
      <c r="CM207">
        <v>35</v>
      </c>
      <c r="CN207">
        <v>23000</v>
      </c>
      <c r="CO207">
        <v>0</v>
      </c>
      <c r="CP207">
        <v>23000</v>
      </c>
      <c r="CQ207">
        <v>109</v>
      </c>
      <c r="CR207">
        <v>69000</v>
      </c>
      <c r="CS207">
        <v>0</v>
      </c>
      <c r="CU207">
        <v>0</v>
      </c>
      <c r="CW207">
        <v>0</v>
      </c>
      <c r="CY207">
        <v>51.8</v>
      </c>
      <c r="CZ207">
        <v>7.6</v>
      </c>
      <c r="DA207">
        <v>28</v>
      </c>
      <c r="DB207">
        <v>9899</v>
      </c>
      <c r="DC207">
        <v>55.408999999999999</v>
      </c>
      <c r="DD207">
        <v>35.436999999999998</v>
      </c>
      <c r="DE207">
        <v>7.0000000000000001E-3</v>
      </c>
      <c r="DF207">
        <v>9430</v>
      </c>
      <c r="DH207">
        <v>185.8</v>
      </c>
      <c r="DI207">
        <v>31500</v>
      </c>
      <c r="DJ207">
        <v>19.5</v>
      </c>
      <c r="DK207">
        <v>38</v>
      </c>
      <c r="DN207" s="23"/>
      <c r="DO207" s="42">
        <v>377</v>
      </c>
      <c r="DP207" t="s">
        <v>286</v>
      </c>
    </row>
    <row r="208" spans="1:128" x14ac:dyDescent="0.3">
      <c r="A208" s="2">
        <v>41747</v>
      </c>
      <c r="B208" s="21">
        <f t="shared" si="13"/>
        <v>199</v>
      </c>
      <c r="E208" s="74">
        <v>121366</v>
      </c>
      <c r="F208" s="10">
        <v>72000</v>
      </c>
      <c r="G208" s="10">
        <f t="shared" si="14"/>
        <v>49366</v>
      </c>
      <c r="U208" s="74">
        <v>4604.2359999999999</v>
      </c>
      <c r="AI208" s="80">
        <v>8.0000000000000002E-3</v>
      </c>
      <c r="AJ208" s="10">
        <v>0.48666666666666658</v>
      </c>
      <c r="AK208" s="10">
        <v>2.5783333333333336</v>
      </c>
      <c r="AL208">
        <v>1929</v>
      </c>
      <c r="AP208">
        <v>186933</v>
      </c>
      <c r="AQ208" s="10">
        <f t="shared" si="12"/>
        <v>124041.236</v>
      </c>
      <c r="AX208" s="10">
        <v>2.9329999999999998</v>
      </c>
      <c r="AZ208" s="10">
        <v>122</v>
      </c>
      <c r="BA208" s="10">
        <v>7.92</v>
      </c>
      <c r="BB208">
        <v>2.8140000000000001</v>
      </c>
      <c r="BD208">
        <v>121</v>
      </c>
      <c r="BE208">
        <v>10.195</v>
      </c>
      <c r="BF208" s="10">
        <v>3.1629999999999998</v>
      </c>
      <c r="BH208" s="10">
        <v>100.238</v>
      </c>
      <c r="BI208" s="10">
        <v>10.503</v>
      </c>
      <c r="BJ208">
        <v>2.6480000000000001</v>
      </c>
      <c r="BM208">
        <v>540.82799999999997</v>
      </c>
      <c r="BN208">
        <v>3.1190000000000002</v>
      </c>
      <c r="BO208" s="10">
        <v>15.817</v>
      </c>
      <c r="BP208">
        <v>49366</v>
      </c>
      <c r="CB208">
        <v>6</v>
      </c>
      <c r="CC208">
        <v>10050</v>
      </c>
      <c r="CD208">
        <v>495</v>
      </c>
      <c r="CE208">
        <v>3162</v>
      </c>
      <c r="CF208">
        <v>2894</v>
      </c>
      <c r="CG208">
        <v>2976</v>
      </c>
      <c r="CH208">
        <v>4598</v>
      </c>
      <c r="CI208">
        <v>13630</v>
      </c>
      <c r="CK208">
        <v>75</v>
      </c>
      <c r="CL208">
        <v>24000</v>
      </c>
      <c r="CM208">
        <v>36</v>
      </c>
      <c r="CN208">
        <v>23000</v>
      </c>
      <c r="CO208">
        <v>0</v>
      </c>
      <c r="CP208">
        <v>23000</v>
      </c>
      <c r="CQ208">
        <v>34</v>
      </c>
      <c r="CR208">
        <v>69000</v>
      </c>
      <c r="CS208">
        <v>0</v>
      </c>
      <c r="CU208">
        <v>0</v>
      </c>
      <c r="CW208">
        <v>0</v>
      </c>
      <c r="CY208">
        <v>55.5</v>
      </c>
      <c r="CZ208">
        <v>22.2</v>
      </c>
      <c r="DA208">
        <v>23.8</v>
      </c>
      <c r="DB208">
        <v>10365</v>
      </c>
      <c r="DC208">
        <v>53.656999999999996</v>
      </c>
      <c r="DD208">
        <v>31.43</v>
      </c>
      <c r="DE208">
        <v>5.0000000000000001E-3</v>
      </c>
      <c r="DF208">
        <v>9700</v>
      </c>
      <c r="DH208">
        <v>187.1</v>
      </c>
      <c r="DI208">
        <v>67780</v>
      </c>
      <c r="DJ208">
        <v>19.5</v>
      </c>
      <c r="DK208">
        <v>38</v>
      </c>
      <c r="DN208" s="23"/>
      <c r="DO208" s="42">
        <v>561.79999999999995</v>
      </c>
      <c r="DP208" t="s">
        <v>286</v>
      </c>
    </row>
    <row r="209" spans="1:128" x14ac:dyDescent="0.3">
      <c r="A209" s="2">
        <v>41748</v>
      </c>
      <c r="B209" s="21">
        <f t="shared" si="13"/>
        <v>200</v>
      </c>
      <c r="E209" s="74">
        <v>120582</v>
      </c>
      <c r="F209" s="10">
        <v>72048</v>
      </c>
      <c r="G209" s="10">
        <f t="shared" si="14"/>
        <v>48534</v>
      </c>
      <c r="U209" s="74">
        <v>5056.8</v>
      </c>
      <c r="AI209" s="80">
        <v>8.9999999999999993E-3</v>
      </c>
      <c r="AJ209" s="10">
        <v>0.34083333333333332</v>
      </c>
      <c r="AK209" s="10">
        <v>2.42625</v>
      </c>
      <c r="AL209">
        <v>2157</v>
      </c>
      <c r="AP209">
        <v>173850</v>
      </c>
      <c r="AQ209" s="10">
        <f t="shared" si="12"/>
        <v>123481.8</v>
      </c>
      <c r="AX209" s="10">
        <v>2.9220000000000002</v>
      </c>
      <c r="AZ209" s="10">
        <v>141</v>
      </c>
      <c r="BA209" s="10">
        <v>7.7720000000000002</v>
      </c>
      <c r="BB209">
        <v>2.919</v>
      </c>
      <c r="BD209">
        <v>120.91</v>
      </c>
      <c r="BE209">
        <v>8.9499999999999993</v>
      </c>
      <c r="BF209" s="10">
        <v>3.1309999999999998</v>
      </c>
      <c r="BH209" s="10">
        <v>123.18600000000001</v>
      </c>
      <c r="BI209" s="10">
        <v>10.215</v>
      </c>
      <c r="BJ209">
        <v>2.5859999999999999</v>
      </c>
      <c r="BM209">
        <v>523.78899999999999</v>
      </c>
      <c r="BN209">
        <v>2.9729999999999999</v>
      </c>
      <c r="BO209" s="10">
        <v>15.795999999999999</v>
      </c>
      <c r="BP209">
        <v>48534</v>
      </c>
      <c r="CB209">
        <v>7</v>
      </c>
      <c r="CC209">
        <v>7242</v>
      </c>
      <c r="CD209">
        <v>850</v>
      </c>
      <c r="CE209">
        <v>2955.5</v>
      </c>
      <c r="CF209">
        <v>2726</v>
      </c>
      <c r="CG209">
        <v>2798</v>
      </c>
      <c r="CH209">
        <v>4278</v>
      </c>
      <c r="CI209">
        <v>12758</v>
      </c>
      <c r="CK209">
        <v>115</v>
      </c>
      <c r="CL209">
        <v>24000</v>
      </c>
      <c r="CM209">
        <v>0</v>
      </c>
      <c r="CN209">
        <v>23000</v>
      </c>
      <c r="CO209">
        <v>0</v>
      </c>
      <c r="CP209">
        <v>23000</v>
      </c>
      <c r="CQ209">
        <v>73</v>
      </c>
      <c r="CR209">
        <v>69000</v>
      </c>
      <c r="CS209">
        <v>0</v>
      </c>
      <c r="CU209">
        <v>0</v>
      </c>
      <c r="CW209">
        <v>0</v>
      </c>
      <c r="CY209">
        <v>51.8</v>
      </c>
      <c r="CZ209">
        <v>29.6</v>
      </c>
      <c r="DA209">
        <v>23.8</v>
      </c>
      <c r="DB209">
        <v>11227</v>
      </c>
      <c r="DC209">
        <v>66.921000000000006</v>
      </c>
      <c r="DD209">
        <v>38.697000000000003</v>
      </c>
      <c r="DE209">
        <v>6.0000000000000001E-3</v>
      </c>
      <c r="DF209">
        <v>10585</v>
      </c>
      <c r="DH209">
        <v>206.7</v>
      </c>
      <c r="DI209">
        <v>98500</v>
      </c>
      <c r="DJ209">
        <v>19.5</v>
      </c>
      <c r="DK209">
        <v>38</v>
      </c>
      <c r="DN209" s="23"/>
      <c r="DO209" s="42">
        <v>622</v>
      </c>
      <c r="DP209" t="s">
        <v>286</v>
      </c>
    </row>
    <row r="210" spans="1:128" x14ac:dyDescent="0.3">
      <c r="A210" s="2">
        <v>41749</v>
      </c>
      <c r="B210" s="21">
        <f t="shared" si="13"/>
        <v>201</v>
      </c>
      <c r="E210" s="74">
        <v>118500</v>
      </c>
      <c r="F210" s="10">
        <v>72000</v>
      </c>
      <c r="G210" s="10">
        <f t="shared" si="14"/>
        <v>46500</v>
      </c>
      <c r="H210" s="80">
        <v>650</v>
      </c>
      <c r="J210" s="80">
        <v>66.099999999999994</v>
      </c>
      <c r="K210" s="80">
        <v>10.43</v>
      </c>
      <c r="M210" s="10">
        <v>295164</v>
      </c>
      <c r="N210">
        <v>3906</v>
      </c>
      <c r="P210" s="80">
        <v>280</v>
      </c>
      <c r="R210" s="80">
        <v>27.7</v>
      </c>
      <c r="S210" s="80">
        <v>5.8</v>
      </c>
      <c r="U210" s="74">
        <v>4711.75</v>
      </c>
      <c r="AI210" s="80">
        <v>8.0000000000000002E-3</v>
      </c>
      <c r="AJ210" s="10">
        <v>0.30249999999999999</v>
      </c>
      <c r="AK210" s="10">
        <v>2.4499999999999997</v>
      </c>
      <c r="AL210">
        <v>2158</v>
      </c>
      <c r="AP210">
        <v>165800</v>
      </c>
      <c r="AQ210" s="10">
        <f t="shared" si="12"/>
        <v>121053.75</v>
      </c>
      <c r="AR210" s="80">
        <v>140</v>
      </c>
      <c r="AT210" s="80">
        <v>23.8</v>
      </c>
      <c r="AU210" s="80">
        <v>4.5999999999999996</v>
      </c>
      <c r="AV210" s="80">
        <v>33</v>
      </c>
      <c r="AX210" s="10">
        <v>2.911</v>
      </c>
      <c r="AY210" s="10">
        <v>22</v>
      </c>
      <c r="AZ210" s="10">
        <v>141</v>
      </c>
      <c r="BA210" s="10">
        <v>7.6360000000000001</v>
      </c>
      <c r="BB210">
        <v>2.9540000000000002</v>
      </c>
      <c r="BC210">
        <v>21</v>
      </c>
      <c r="BD210">
        <v>121.26600000000001</v>
      </c>
      <c r="BE210">
        <v>8.8879999999999999</v>
      </c>
      <c r="BF210" s="10">
        <v>3.12</v>
      </c>
      <c r="BG210" s="10">
        <v>21</v>
      </c>
      <c r="BH210" s="10">
        <v>129</v>
      </c>
      <c r="BI210" s="10">
        <v>10.145</v>
      </c>
      <c r="BJ210">
        <v>2.64</v>
      </c>
      <c r="BK210">
        <v>22</v>
      </c>
      <c r="BM210">
        <v>522.80499999999995</v>
      </c>
      <c r="BN210">
        <v>2.996</v>
      </c>
      <c r="BO210" s="10">
        <v>15.93</v>
      </c>
      <c r="BP210">
        <v>46500</v>
      </c>
      <c r="BR210">
        <v>41</v>
      </c>
      <c r="BS210">
        <v>2</v>
      </c>
      <c r="BT210">
        <v>2.9</v>
      </c>
      <c r="BU210">
        <v>0.57999999999999996</v>
      </c>
      <c r="BV210">
        <v>0.32</v>
      </c>
      <c r="BW210">
        <v>8.6999999999999993</v>
      </c>
      <c r="BX210">
        <v>2.7</v>
      </c>
      <c r="BY210">
        <v>2.81</v>
      </c>
      <c r="BZ210" s="15">
        <v>4</v>
      </c>
      <c r="CA210">
        <v>0.55000000000000004</v>
      </c>
      <c r="CB210">
        <v>6</v>
      </c>
      <c r="CC210">
        <v>6937</v>
      </c>
      <c r="CD210">
        <v>1210</v>
      </c>
      <c r="CE210">
        <v>2972.5</v>
      </c>
      <c r="CF210">
        <v>2796</v>
      </c>
      <c r="CG210">
        <v>2746.5</v>
      </c>
      <c r="CH210">
        <v>4494</v>
      </c>
      <c r="CI210">
        <v>13009</v>
      </c>
      <c r="CK210">
        <v>0</v>
      </c>
      <c r="CL210">
        <v>24000</v>
      </c>
      <c r="CM210">
        <v>0</v>
      </c>
      <c r="CN210">
        <v>23000</v>
      </c>
      <c r="CO210">
        <v>0</v>
      </c>
      <c r="CP210">
        <v>23000</v>
      </c>
      <c r="CQ210">
        <v>0</v>
      </c>
      <c r="CR210">
        <v>69000</v>
      </c>
      <c r="CS210">
        <v>0</v>
      </c>
      <c r="CU210">
        <v>0</v>
      </c>
      <c r="CW210">
        <v>0</v>
      </c>
      <c r="CY210">
        <v>44.4</v>
      </c>
      <c r="CZ210">
        <v>25.9</v>
      </c>
      <c r="DA210">
        <v>23.8</v>
      </c>
      <c r="DB210">
        <v>10721</v>
      </c>
      <c r="DC210">
        <v>66.009</v>
      </c>
      <c r="DD210">
        <v>39.287999999999997</v>
      </c>
      <c r="DE210">
        <v>8.0000000000000002E-3</v>
      </c>
      <c r="DF210">
        <v>10540</v>
      </c>
      <c r="DH210">
        <v>153.4</v>
      </c>
      <c r="DI210">
        <v>71240</v>
      </c>
      <c r="DJ210">
        <v>19.5</v>
      </c>
      <c r="DK210">
        <v>38</v>
      </c>
      <c r="DN210" s="23"/>
      <c r="DO210" s="42">
        <v>498</v>
      </c>
      <c r="DP210" t="s">
        <v>286</v>
      </c>
      <c r="DQ210" s="80">
        <v>1470</v>
      </c>
      <c r="DR210" s="80">
        <v>231</v>
      </c>
      <c r="DS210" s="80">
        <v>140</v>
      </c>
      <c r="DT210" s="80">
        <v>4</v>
      </c>
      <c r="DU210" s="80">
        <v>79</v>
      </c>
      <c r="DV210" s="80">
        <v>46</v>
      </c>
      <c r="DW210" s="80">
        <v>98</v>
      </c>
      <c r="DX210" s="80">
        <v>1000</v>
      </c>
    </row>
    <row r="211" spans="1:128" x14ac:dyDescent="0.3">
      <c r="A211" s="2">
        <v>41750</v>
      </c>
      <c r="B211" s="21">
        <f t="shared" si="13"/>
        <v>202</v>
      </c>
      <c r="E211" s="74">
        <v>114600</v>
      </c>
      <c r="F211" s="10">
        <v>72000</v>
      </c>
      <c r="G211" s="10">
        <f t="shared" si="14"/>
        <v>42600</v>
      </c>
      <c r="U211" s="74">
        <v>4674.5</v>
      </c>
      <c r="AF211" s="80">
        <v>1882</v>
      </c>
      <c r="AG211" s="80">
        <v>16.600000000000001</v>
      </c>
      <c r="AH211" s="80">
        <v>74</v>
      </c>
      <c r="AI211" s="80">
        <v>8.0000000000000002E-3</v>
      </c>
      <c r="AJ211" s="10">
        <v>0.27541666666666664</v>
      </c>
      <c r="AK211" s="10">
        <v>2.5154166666666664</v>
      </c>
      <c r="AL211">
        <v>2158</v>
      </c>
      <c r="AP211">
        <v>140716</v>
      </c>
      <c r="AQ211" s="10">
        <f t="shared" si="12"/>
        <v>117116.5</v>
      </c>
      <c r="AX211" s="10">
        <v>2.57</v>
      </c>
      <c r="AZ211" s="10">
        <v>141.887</v>
      </c>
      <c r="BA211" s="10">
        <v>7.5179999999999998</v>
      </c>
      <c r="BB211">
        <v>2.68</v>
      </c>
      <c r="BD211">
        <v>121.27</v>
      </c>
      <c r="BE211">
        <v>8.8010000000000002</v>
      </c>
      <c r="BF211" s="10">
        <v>2.82</v>
      </c>
      <c r="BH211" s="10">
        <v>121</v>
      </c>
      <c r="BI211" s="10">
        <v>9.9589999999999996</v>
      </c>
      <c r="BJ211">
        <v>2.56</v>
      </c>
      <c r="BL211">
        <v>141</v>
      </c>
      <c r="BM211">
        <v>522.80499999999995</v>
      </c>
      <c r="BN211">
        <v>3.0009999999999999</v>
      </c>
      <c r="BO211" s="10">
        <v>16.241</v>
      </c>
      <c r="BP211">
        <v>42600</v>
      </c>
      <c r="CB211">
        <v>6</v>
      </c>
      <c r="CC211">
        <v>7637</v>
      </c>
      <c r="CD211">
        <v>2120</v>
      </c>
      <c r="CE211">
        <v>2856</v>
      </c>
      <c r="CF211">
        <v>2650</v>
      </c>
      <c r="CG211">
        <v>2672.5</v>
      </c>
      <c r="CH211">
        <v>4184</v>
      </c>
      <c r="CI211">
        <v>12363</v>
      </c>
      <c r="CK211">
        <v>0</v>
      </c>
      <c r="CL211">
        <v>24000</v>
      </c>
      <c r="CM211">
        <v>0</v>
      </c>
      <c r="CN211">
        <v>23000</v>
      </c>
      <c r="CO211">
        <v>0</v>
      </c>
      <c r="CP211">
        <v>23000</v>
      </c>
      <c r="CQ211">
        <v>0</v>
      </c>
      <c r="CR211">
        <v>69000</v>
      </c>
      <c r="CS211">
        <v>0</v>
      </c>
      <c r="CU211">
        <v>0</v>
      </c>
      <c r="CW211">
        <v>0</v>
      </c>
      <c r="CY211">
        <v>37</v>
      </c>
      <c r="CZ211">
        <v>29.6</v>
      </c>
      <c r="DA211">
        <v>23.8</v>
      </c>
      <c r="DB211">
        <v>9976</v>
      </c>
      <c r="DC211">
        <v>65.375</v>
      </c>
      <c r="DD211">
        <v>39.247</v>
      </c>
      <c r="DE211">
        <v>8.9999999999999993E-3</v>
      </c>
      <c r="DF211">
        <v>9565</v>
      </c>
      <c r="DH211">
        <v>143</v>
      </c>
      <c r="DI211">
        <v>0</v>
      </c>
      <c r="DJ211">
        <v>19.5</v>
      </c>
      <c r="DK211">
        <v>38</v>
      </c>
      <c r="DN211" s="23"/>
      <c r="DO211" s="42">
        <v>448.7</v>
      </c>
      <c r="DP211" t="s">
        <v>286</v>
      </c>
    </row>
    <row r="212" spans="1:128" x14ac:dyDescent="0.3">
      <c r="A212" s="2">
        <v>41751</v>
      </c>
      <c r="B212" s="21">
        <f t="shared" si="13"/>
        <v>203</v>
      </c>
      <c r="E212" s="74">
        <v>118324</v>
      </c>
      <c r="F212" s="10">
        <v>72000</v>
      </c>
      <c r="G212" s="10">
        <f t="shared" si="14"/>
        <v>46324</v>
      </c>
      <c r="U212" s="74">
        <v>4015.5</v>
      </c>
      <c r="AI212" s="80">
        <v>8.0000000000000002E-3</v>
      </c>
      <c r="AJ212" s="10">
        <v>0.24791666666666665</v>
      </c>
      <c r="AK212" s="10">
        <v>2.2824999999999998</v>
      </c>
      <c r="AL212">
        <v>1680.5</v>
      </c>
      <c r="AP212">
        <v>132859</v>
      </c>
      <c r="AQ212" s="10">
        <f t="shared" si="12"/>
        <v>120659</v>
      </c>
      <c r="AX212" s="10">
        <v>2.867</v>
      </c>
      <c r="AZ212" s="10">
        <v>141.25399999999999</v>
      </c>
      <c r="BA212" s="10">
        <v>7.4029999999999996</v>
      </c>
      <c r="BB212">
        <v>2.95</v>
      </c>
      <c r="BD212">
        <v>127.125</v>
      </c>
      <c r="BE212">
        <v>8.8879999999999999</v>
      </c>
      <c r="BF212" s="10">
        <v>3.1150000000000002</v>
      </c>
      <c r="BH212" s="10">
        <v>122</v>
      </c>
      <c r="BI212" s="10">
        <v>10.02</v>
      </c>
      <c r="BJ212">
        <v>2.6389999999999998</v>
      </c>
      <c r="BM212">
        <v>521.78899999999999</v>
      </c>
      <c r="BN212">
        <v>3.0169999999999999</v>
      </c>
      <c r="BO212" s="10">
        <v>16.297999999999998</v>
      </c>
      <c r="BP212">
        <v>46324</v>
      </c>
      <c r="CB212">
        <v>7</v>
      </c>
      <c r="CC212">
        <v>10003</v>
      </c>
      <c r="CD212">
        <v>2144</v>
      </c>
      <c r="CE212">
        <v>3130</v>
      </c>
      <c r="CF212">
        <v>2904</v>
      </c>
      <c r="CG212">
        <v>3023</v>
      </c>
      <c r="CH212">
        <v>4737</v>
      </c>
      <c r="CI212">
        <v>13794</v>
      </c>
      <c r="CK212">
        <v>114</v>
      </c>
      <c r="CL212">
        <v>24000</v>
      </c>
      <c r="CM212">
        <v>0</v>
      </c>
      <c r="CN212">
        <v>23000</v>
      </c>
      <c r="CO212">
        <v>0</v>
      </c>
      <c r="CP212">
        <v>23000</v>
      </c>
      <c r="CQ212">
        <v>0</v>
      </c>
      <c r="CR212">
        <v>69000</v>
      </c>
      <c r="CS212">
        <v>0</v>
      </c>
      <c r="CU212">
        <v>0</v>
      </c>
      <c r="CW212">
        <v>0</v>
      </c>
      <c r="CY212">
        <v>29.6</v>
      </c>
      <c r="CZ212">
        <v>14.8</v>
      </c>
      <c r="DA212">
        <v>23.8</v>
      </c>
      <c r="DB212">
        <v>9217</v>
      </c>
      <c r="DC212">
        <v>65.456999999999994</v>
      </c>
      <c r="DD212">
        <v>39.027000000000001</v>
      </c>
      <c r="DE212">
        <v>8.0000000000000002E-3</v>
      </c>
      <c r="DF212">
        <v>8880</v>
      </c>
      <c r="DH212">
        <v>123.4</v>
      </c>
      <c r="DI212">
        <v>72880</v>
      </c>
      <c r="DJ212">
        <v>19.5</v>
      </c>
      <c r="DK212">
        <v>38</v>
      </c>
      <c r="DN212" s="23"/>
      <c r="DO212" s="42">
        <v>383.7</v>
      </c>
      <c r="DP212" t="s">
        <v>286</v>
      </c>
    </row>
    <row r="213" spans="1:128" x14ac:dyDescent="0.3">
      <c r="A213" s="2">
        <v>41752</v>
      </c>
      <c r="B213" s="21">
        <f t="shared" si="13"/>
        <v>204</v>
      </c>
      <c r="E213" s="74">
        <v>120652</v>
      </c>
      <c r="F213" s="10">
        <v>72000</v>
      </c>
      <c r="G213" s="10">
        <f t="shared" si="14"/>
        <v>48652</v>
      </c>
      <c r="U213" s="74">
        <v>3670.9</v>
      </c>
      <c r="AI213" s="80">
        <v>0.01</v>
      </c>
      <c r="AJ213" s="10">
        <v>0.21833333333333338</v>
      </c>
      <c r="AK213" s="10">
        <v>2.8987499999999997</v>
      </c>
      <c r="AL213">
        <v>1304.5</v>
      </c>
      <c r="AP213">
        <v>151542</v>
      </c>
      <c r="AQ213" s="10">
        <f t="shared" si="12"/>
        <v>123018.4</v>
      </c>
      <c r="AX213" s="10">
        <v>2.8290000000000002</v>
      </c>
      <c r="AZ213" s="10">
        <v>150.21700000000001</v>
      </c>
      <c r="BA213" s="10">
        <v>7.3289999999999997</v>
      </c>
      <c r="BB213">
        <v>2.9409999999999998</v>
      </c>
      <c r="BD213">
        <v>137</v>
      </c>
      <c r="BE213">
        <v>8.9649999999999999</v>
      </c>
      <c r="BF213" s="10">
        <v>3.0590000000000002</v>
      </c>
      <c r="BH213" s="10">
        <v>131</v>
      </c>
      <c r="BI213" s="10">
        <v>9.9610000000000003</v>
      </c>
      <c r="BJ213">
        <v>2.5920000000000001</v>
      </c>
      <c r="BM213">
        <v>492.53100000000001</v>
      </c>
      <c r="BN213">
        <v>2.9660000000000002</v>
      </c>
      <c r="BO213" s="10">
        <v>16.474</v>
      </c>
      <c r="BP213">
        <v>48652</v>
      </c>
      <c r="CB213">
        <v>6</v>
      </c>
      <c r="CC213">
        <v>12328</v>
      </c>
      <c r="CD213">
        <v>1714</v>
      </c>
      <c r="CE213">
        <v>3236</v>
      </c>
      <c r="CF213">
        <v>2929.5</v>
      </c>
      <c r="CG213">
        <v>2942</v>
      </c>
      <c r="CH213">
        <v>4660</v>
      </c>
      <c r="CI213">
        <v>13768</v>
      </c>
      <c r="CK213">
        <v>76</v>
      </c>
      <c r="CL213">
        <v>24000</v>
      </c>
      <c r="CM213">
        <v>0</v>
      </c>
      <c r="CN213">
        <v>23000</v>
      </c>
      <c r="CO213">
        <v>0</v>
      </c>
      <c r="CP213">
        <v>23000</v>
      </c>
      <c r="CQ213">
        <v>146</v>
      </c>
      <c r="CR213">
        <v>69000</v>
      </c>
      <c r="CS213">
        <v>0</v>
      </c>
      <c r="CU213">
        <v>0</v>
      </c>
      <c r="CW213">
        <v>0</v>
      </c>
      <c r="CY213">
        <v>33.299999999999997</v>
      </c>
      <c r="CZ213">
        <v>3.7</v>
      </c>
      <c r="DA213">
        <v>27.2</v>
      </c>
      <c r="DB213">
        <v>8440</v>
      </c>
      <c r="DC213">
        <v>66.171000000000006</v>
      </c>
      <c r="DD213">
        <v>38.999000000000002</v>
      </c>
      <c r="DE213">
        <v>8.9999999999999993E-3</v>
      </c>
      <c r="DF213">
        <v>8150</v>
      </c>
      <c r="DH213">
        <v>141.80000000000001</v>
      </c>
      <c r="DI213">
        <v>101500</v>
      </c>
      <c r="DJ213">
        <v>20.2</v>
      </c>
      <c r="DK213">
        <v>38</v>
      </c>
      <c r="DN213" s="23"/>
      <c r="DO213" s="42">
        <v>435</v>
      </c>
      <c r="DP213" t="s">
        <v>286</v>
      </c>
    </row>
    <row r="214" spans="1:128" x14ac:dyDescent="0.3">
      <c r="A214" s="2">
        <v>41753</v>
      </c>
      <c r="B214" s="21">
        <f t="shared" si="13"/>
        <v>205</v>
      </c>
      <c r="E214" s="74">
        <v>120574</v>
      </c>
      <c r="F214" s="10">
        <v>72000</v>
      </c>
      <c r="G214" s="10">
        <f t="shared" si="14"/>
        <v>48574</v>
      </c>
      <c r="U214" s="74">
        <v>3705.3</v>
      </c>
      <c r="AI214" s="80">
        <v>1.0999999999999999E-2</v>
      </c>
      <c r="AJ214" s="10">
        <v>0.26333333333333331</v>
      </c>
      <c r="AK214" s="10">
        <v>2.9708333333333332</v>
      </c>
      <c r="AL214">
        <v>1197</v>
      </c>
      <c r="AP214">
        <v>177933</v>
      </c>
      <c r="AQ214" s="10">
        <f t="shared" si="12"/>
        <v>123082.3</v>
      </c>
      <c r="AX214" s="10">
        <v>2.7810000000000001</v>
      </c>
      <c r="AZ214" s="10">
        <v>176.184</v>
      </c>
      <c r="BA214" s="10">
        <v>7.2309999999999999</v>
      </c>
      <c r="BB214">
        <v>2.9159999999999999</v>
      </c>
      <c r="BD214">
        <v>132</v>
      </c>
      <c r="BE214">
        <v>8.9689999999999994</v>
      </c>
      <c r="BF214" s="10">
        <v>3.004</v>
      </c>
      <c r="BH214" s="10">
        <v>131</v>
      </c>
      <c r="BI214" s="10">
        <v>9.8460000000000001</v>
      </c>
      <c r="BJ214">
        <v>2.5409999999999999</v>
      </c>
      <c r="BM214">
        <v>471.74200000000002</v>
      </c>
      <c r="BN214">
        <v>2.8780000000000001</v>
      </c>
      <c r="BO214" s="10">
        <v>16.798999999999999</v>
      </c>
      <c r="BP214">
        <v>48574</v>
      </c>
      <c r="CB214">
        <v>7</v>
      </c>
      <c r="CC214">
        <v>12572</v>
      </c>
      <c r="CD214">
        <v>1041.4380000000001</v>
      </c>
      <c r="CE214">
        <v>3050.5</v>
      </c>
      <c r="CF214">
        <v>2769.5</v>
      </c>
      <c r="CG214">
        <v>2824</v>
      </c>
      <c r="CH214">
        <v>4507</v>
      </c>
      <c r="CI214">
        <v>13151</v>
      </c>
      <c r="CK214">
        <v>79</v>
      </c>
      <c r="CL214">
        <v>24000</v>
      </c>
      <c r="CM214">
        <v>0</v>
      </c>
      <c r="CN214">
        <v>23000</v>
      </c>
      <c r="CO214">
        <v>39</v>
      </c>
      <c r="CP214">
        <v>23000</v>
      </c>
      <c r="CQ214">
        <v>37</v>
      </c>
      <c r="CR214">
        <v>69000</v>
      </c>
      <c r="CS214">
        <v>0</v>
      </c>
      <c r="CU214">
        <v>0</v>
      </c>
      <c r="CW214">
        <v>0</v>
      </c>
      <c r="CY214">
        <v>37</v>
      </c>
      <c r="CZ214">
        <v>0</v>
      </c>
      <c r="DA214">
        <v>23.8</v>
      </c>
      <c r="DB214">
        <v>9002</v>
      </c>
      <c r="DC214">
        <v>66.350999999999999</v>
      </c>
      <c r="DD214">
        <v>39.104999999999997</v>
      </c>
      <c r="DE214">
        <v>0.01</v>
      </c>
      <c r="DF214">
        <v>8130</v>
      </c>
      <c r="DH214">
        <v>147.9</v>
      </c>
      <c r="DI214">
        <v>61780</v>
      </c>
      <c r="DJ214">
        <v>20.2</v>
      </c>
      <c r="DK214">
        <v>38</v>
      </c>
      <c r="DN214" s="23"/>
      <c r="DO214" s="42">
        <v>501.8</v>
      </c>
      <c r="DP214" t="s">
        <v>286</v>
      </c>
    </row>
    <row r="215" spans="1:128" x14ac:dyDescent="0.3">
      <c r="A215" s="2">
        <v>41754</v>
      </c>
      <c r="B215" s="21">
        <f t="shared" si="13"/>
        <v>206</v>
      </c>
      <c r="E215" s="74">
        <v>120322</v>
      </c>
      <c r="F215" s="10">
        <v>72048</v>
      </c>
      <c r="G215" s="10">
        <f t="shared" si="14"/>
        <v>48274</v>
      </c>
      <c r="U215" s="74">
        <v>3472.95</v>
      </c>
      <c r="AI215" s="80">
        <v>8.9999999999999993E-3</v>
      </c>
      <c r="AJ215" s="10">
        <v>0.26916666666666672</v>
      </c>
      <c r="AK215" s="10">
        <v>2.9220833333333331</v>
      </c>
      <c r="AL215">
        <v>1196</v>
      </c>
      <c r="AP215">
        <v>198950</v>
      </c>
      <c r="AQ215" s="10">
        <f t="shared" si="12"/>
        <v>122598.95</v>
      </c>
      <c r="AX215" s="10">
        <v>2.7869999999999999</v>
      </c>
      <c r="AZ215" s="10">
        <v>191.5</v>
      </c>
      <c r="BA215" s="10">
        <v>7.1040000000000001</v>
      </c>
      <c r="BB215">
        <v>2.956</v>
      </c>
      <c r="BD215">
        <v>161</v>
      </c>
      <c r="BE215">
        <v>8.798</v>
      </c>
      <c r="BF215" s="10">
        <v>3.0129999999999999</v>
      </c>
      <c r="BH215" s="10">
        <v>130.94499999999999</v>
      </c>
      <c r="BI215" s="10">
        <v>9.6140000000000008</v>
      </c>
      <c r="BJ215">
        <v>2.552</v>
      </c>
      <c r="BM215">
        <v>441.72699999999998</v>
      </c>
      <c r="BN215">
        <v>2.9590000000000001</v>
      </c>
      <c r="BO215" s="10">
        <v>17.059999999999999</v>
      </c>
      <c r="BP215">
        <v>48274</v>
      </c>
      <c r="CB215">
        <v>6</v>
      </c>
      <c r="CC215">
        <v>14289</v>
      </c>
      <c r="CD215">
        <v>174.18799999999999</v>
      </c>
      <c r="CE215">
        <v>2981.5</v>
      </c>
      <c r="CF215">
        <v>2871</v>
      </c>
      <c r="CG215">
        <v>2789.5</v>
      </c>
      <c r="CH215">
        <v>4758</v>
      </c>
      <c r="CI215">
        <v>13400</v>
      </c>
      <c r="CK215">
        <v>0</v>
      </c>
      <c r="CL215">
        <v>24000</v>
      </c>
      <c r="CM215">
        <v>0</v>
      </c>
      <c r="CN215">
        <v>23000</v>
      </c>
      <c r="CO215">
        <v>186</v>
      </c>
      <c r="CP215">
        <v>23000</v>
      </c>
      <c r="CQ215">
        <v>37</v>
      </c>
      <c r="CR215">
        <v>69000</v>
      </c>
      <c r="CS215">
        <v>0</v>
      </c>
      <c r="CU215">
        <v>0</v>
      </c>
      <c r="CW215">
        <v>0</v>
      </c>
      <c r="CY215">
        <v>26.6</v>
      </c>
      <c r="CZ215">
        <v>3.9</v>
      </c>
      <c r="DA215">
        <v>25.9</v>
      </c>
      <c r="DB215">
        <v>7875</v>
      </c>
      <c r="DC215">
        <v>65.13</v>
      </c>
      <c r="DD215">
        <v>39.067999999999998</v>
      </c>
      <c r="DE215">
        <v>8.9999999999999993E-3</v>
      </c>
      <c r="DF215">
        <v>7955</v>
      </c>
      <c r="DH215">
        <v>141</v>
      </c>
      <c r="DI215">
        <v>69180</v>
      </c>
      <c r="DJ215">
        <v>20.2</v>
      </c>
      <c r="DK215">
        <v>38</v>
      </c>
      <c r="DL215">
        <v>1</v>
      </c>
      <c r="DM215">
        <v>9480</v>
      </c>
      <c r="DN215" s="23"/>
      <c r="DO215" s="42">
        <v>424.5</v>
      </c>
      <c r="DP215" t="s">
        <v>286</v>
      </c>
    </row>
    <row r="216" spans="1:128" x14ac:dyDescent="0.3">
      <c r="A216" s="2">
        <v>41755</v>
      </c>
      <c r="B216" s="21">
        <f t="shared" si="13"/>
        <v>207</v>
      </c>
      <c r="E216" s="74">
        <v>117576</v>
      </c>
      <c r="F216" s="10">
        <v>72000</v>
      </c>
      <c r="G216" s="10">
        <f t="shared" si="14"/>
        <v>45576</v>
      </c>
      <c r="H216" s="80">
        <v>627</v>
      </c>
      <c r="J216" s="80">
        <v>64.7</v>
      </c>
      <c r="K216" s="80">
        <v>10.84</v>
      </c>
      <c r="M216" s="10">
        <v>280318</v>
      </c>
      <c r="N216">
        <v>3991</v>
      </c>
      <c r="P216" s="80">
        <v>270</v>
      </c>
      <c r="R216" s="80">
        <v>26.6</v>
      </c>
      <c r="S216" s="80">
        <v>6.1</v>
      </c>
      <c r="U216" s="74">
        <v>3635.45</v>
      </c>
      <c r="AI216" s="80">
        <v>7.0000000000000001E-3</v>
      </c>
      <c r="AJ216" s="10">
        <v>0.24333333333333337</v>
      </c>
      <c r="AK216" s="10">
        <v>3.0329166666666665</v>
      </c>
      <c r="AL216">
        <v>1284</v>
      </c>
      <c r="AP216">
        <v>188375</v>
      </c>
      <c r="AQ216" s="10">
        <f t="shared" si="12"/>
        <v>119927.45</v>
      </c>
      <c r="AR216" s="80">
        <v>160</v>
      </c>
      <c r="AT216" s="80">
        <v>24.9</v>
      </c>
      <c r="AU216" s="80">
        <v>5.3</v>
      </c>
      <c r="AV216" s="80">
        <v>65</v>
      </c>
      <c r="AX216" s="10">
        <v>2.7210000000000001</v>
      </c>
      <c r="AZ216" s="10">
        <v>201.5</v>
      </c>
      <c r="BA216" s="10">
        <v>6.5730000000000004</v>
      </c>
      <c r="BB216">
        <v>2.9430000000000001</v>
      </c>
      <c r="BD216">
        <v>171</v>
      </c>
      <c r="BE216">
        <v>8.9290000000000003</v>
      </c>
      <c r="BF216" s="10">
        <v>3.0859999999999999</v>
      </c>
      <c r="BH216" s="10">
        <v>141.256</v>
      </c>
      <c r="BI216" s="10">
        <v>9.0960000000000001</v>
      </c>
      <c r="BJ216">
        <v>2.5649999999999999</v>
      </c>
      <c r="BM216">
        <v>383.40600000000001</v>
      </c>
      <c r="BN216">
        <v>2.9990000000000001</v>
      </c>
      <c r="BO216" s="10">
        <v>17.379000000000001</v>
      </c>
      <c r="BP216">
        <v>45576</v>
      </c>
      <c r="BR216">
        <v>44</v>
      </c>
      <c r="BS216">
        <v>3</v>
      </c>
      <c r="BT216">
        <v>2.5</v>
      </c>
      <c r="BU216">
        <v>0.64</v>
      </c>
      <c r="BV216">
        <v>0.22</v>
      </c>
      <c r="BW216">
        <v>7</v>
      </c>
      <c r="BX216">
        <v>2.9</v>
      </c>
      <c r="BY216">
        <v>3.1</v>
      </c>
      <c r="BZ216" s="15">
        <v>4</v>
      </c>
      <c r="CA216">
        <v>0.51</v>
      </c>
      <c r="CB216">
        <v>3</v>
      </c>
      <c r="CC216">
        <v>15192</v>
      </c>
      <c r="CD216">
        <v>145.375</v>
      </c>
      <c r="CE216">
        <v>2709.5</v>
      </c>
      <c r="CF216">
        <v>2862</v>
      </c>
      <c r="CG216">
        <v>2634.5</v>
      </c>
      <c r="CH216">
        <v>5248</v>
      </c>
      <c r="CI216">
        <v>13454</v>
      </c>
      <c r="CK216">
        <v>0</v>
      </c>
      <c r="CL216">
        <v>24000</v>
      </c>
      <c r="CM216">
        <v>0</v>
      </c>
      <c r="CN216">
        <v>23000</v>
      </c>
      <c r="CO216">
        <v>75</v>
      </c>
      <c r="CP216">
        <v>23000</v>
      </c>
      <c r="CQ216">
        <v>38</v>
      </c>
      <c r="CR216">
        <v>69000</v>
      </c>
      <c r="CS216">
        <v>0</v>
      </c>
      <c r="CU216">
        <v>0</v>
      </c>
      <c r="CW216">
        <v>0</v>
      </c>
      <c r="CY216">
        <v>38</v>
      </c>
      <c r="CZ216">
        <v>0</v>
      </c>
      <c r="DA216">
        <v>29.6</v>
      </c>
      <c r="DB216">
        <v>7994</v>
      </c>
      <c r="DC216">
        <v>65.263999999999996</v>
      </c>
      <c r="DD216">
        <v>39.317</v>
      </c>
      <c r="DE216">
        <v>8.9999999999999993E-3</v>
      </c>
      <c r="DF216">
        <v>7595</v>
      </c>
      <c r="DH216">
        <v>175.3</v>
      </c>
      <c r="DI216">
        <v>67900</v>
      </c>
      <c r="DJ216">
        <v>20.2</v>
      </c>
      <c r="DK216">
        <v>38</v>
      </c>
      <c r="DN216" s="23"/>
      <c r="DO216" s="42">
        <v>351.3</v>
      </c>
      <c r="DP216" t="s">
        <v>286</v>
      </c>
      <c r="DQ216" s="80">
        <v>1440</v>
      </c>
      <c r="DR216" s="80">
        <v>223</v>
      </c>
      <c r="DS216" s="80">
        <v>120</v>
      </c>
      <c r="DT216" s="80">
        <v>3.2</v>
      </c>
      <c r="DU216" s="80">
        <v>90</v>
      </c>
      <c r="DV216" s="80">
        <v>47</v>
      </c>
      <c r="DW216" s="80">
        <v>99</v>
      </c>
      <c r="DX216" s="80">
        <v>1100</v>
      </c>
    </row>
    <row r="217" spans="1:128" x14ac:dyDescent="0.3">
      <c r="A217" s="2">
        <v>41756</v>
      </c>
      <c r="B217" s="21">
        <f t="shared" si="13"/>
        <v>208</v>
      </c>
      <c r="E217" s="74">
        <v>118400</v>
      </c>
      <c r="F217" s="10">
        <v>72000</v>
      </c>
      <c r="G217" s="10">
        <f t="shared" si="14"/>
        <v>46400</v>
      </c>
      <c r="U217" s="74">
        <v>3511.4</v>
      </c>
      <c r="AI217" s="80">
        <v>8.0000000000000002E-3</v>
      </c>
      <c r="AJ217" s="10">
        <v>0.18625000000000005</v>
      </c>
      <c r="AK217" s="10">
        <v>3.0429166666666672</v>
      </c>
      <c r="AL217">
        <v>1317</v>
      </c>
      <c r="AP217">
        <v>188008</v>
      </c>
      <c r="AQ217" s="10">
        <f t="shared" si="12"/>
        <v>120594.4</v>
      </c>
      <c r="AX217" s="10">
        <v>2.5259999999999998</v>
      </c>
      <c r="AZ217" s="10">
        <v>200</v>
      </c>
      <c r="BA217" s="10">
        <v>6.1059999999999999</v>
      </c>
      <c r="BB217">
        <v>2.7829999999999999</v>
      </c>
      <c r="BD217">
        <v>170</v>
      </c>
      <c r="BE217">
        <v>8.609</v>
      </c>
      <c r="BF217" s="10">
        <v>2.9329999999999998</v>
      </c>
      <c r="BH217" s="10">
        <v>140.30500000000001</v>
      </c>
      <c r="BI217" s="10">
        <v>8.8019999999999996</v>
      </c>
      <c r="BJ217">
        <v>2.5739999999999998</v>
      </c>
      <c r="BM217">
        <v>383.69499999999999</v>
      </c>
      <c r="BN217">
        <v>3.0369999999999999</v>
      </c>
      <c r="BO217" s="10">
        <v>17.495000000000001</v>
      </c>
      <c r="BP217">
        <v>46400</v>
      </c>
      <c r="CB217">
        <v>4</v>
      </c>
      <c r="CC217">
        <v>14675</v>
      </c>
      <c r="CD217">
        <v>268</v>
      </c>
      <c r="CE217">
        <v>2576.5</v>
      </c>
      <c r="CF217">
        <v>2728</v>
      </c>
      <c r="CG217">
        <v>2485</v>
      </c>
      <c r="CH217">
        <v>5052</v>
      </c>
      <c r="CI217">
        <v>12842</v>
      </c>
      <c r="CK217">
        <v>0</v>
      </c>
      <c r="CL217">
        <v>24000</v>
      </c>
      <c r="CM217">
        <v>0</v>
      </c>
      <c r="CN217">
        <v>23000</v>
      </c>
      <c r="CO217">
        <v>0</v>
      </c>
      <c r="CP217">
        <v>23000</v>
      </c>
      <c r="CQ217">
        <v>0</v>
      </c>
      <c r="CR217">
        <v>69000</v>
      </c>
      <c r="CS217">
        <v>0</v>
      </c>
      <c r="CU217">
        <v>0</v>
      </c>
      <c r="CW217">
        <v>0</v>
      </c>
      <c r="CY217">
        <v>45.6</v>
      </c>
      <c r="CZ217">
        <v>0</v>
      </c>
      <c r="DA217">
        <v>25.9</v>
      </c>
      <c r="DB217">
        <v>7741</v>
      </c>
      <c r="DC217">
        <v>65.614999999999995</v>
      </c>
      <c r="DD217">
        <v>39.067</v>
      </c>
      <c r="DE217">
        <v>8.0000000000000002E-3</v>
      </c>
      <c r="DF217">
        <v>7425</v>
      </c>
      <c r="DH217">
        <v>158.5</v>
      </c>
      <c r="DI217">
        <v>0</v>
      </c>
      <c r="DJ217">
        <v>20.2</v>
      </c>
      <c r="DK217">
        <v>38</v>
      </c>
      <c r="DN217" s="23"/>
      <c r="DO217" s="42">
        <v>433.4</v>
      </c>
      <c r="DP217" t="s">
        <v>286</v>
      </c>
    </row>
    <row r="218" spans="1:128" x14ac:dyDescent="0.3">
      <c r="A218" s="2">
        <v>41757</v>
      </c>
      <c r="B218" s="21">
        <f t="shared" si="13"/>
        <v>209</v>
      </c>
      <c r="E218" s="74">
        <v>119350</v>
      </c>
      <c r="F218" s="10">
        <v>72000</v>
      </c>
      <c r="G218" s="10">
        <f t="shared" si="14"/>
        <v>47350</v>
      </c>
      <c r="U218" s="74">
        <v>3620.1</v>
      </c>
      <c r="AI218" s="80">
        <v>8.0000000000000002E-3</v>
      </c>
      <c r="AJ218" s="10">
        <v>0.23875000000000002</v>
      </c>
      <c r="AK218" s="10">
        <v>3.0458333333333325</v>
      </c>
      <c r="AL218">
        <v>1316</v>
      </c>
      <c r="AP218">
        <v>190467</v>
      </c>
      <c r="AQ218" s="10">
        <f t="shared" si="12"/>
        <v>121654.1</v>
      </c>
      <c r="AX218" s="10">
        <v>2.4790000000000001</v>
      </c>
      <c r="AZ218" s="10">
        <v>200</v>
      </c>
      <c r="BA218" s="10">
        <v>5.8550000000000004</v>
      </c>
      <c r="BB218">
        <v>2.8140000000000001</v>
      </c>
      <c r="BD218">
        <v>170.922</v>
      </c>
      <c r="BE218">
        <v>8.5649999999999995</v>
      </c>
      <c r="BF218" s="10">
        <v>2.9830000000000001</v>
      </c>
      <c r="BH218" s="10">
        <v>148.11099999999999</v>
      </c>
      <c r="BI218" s="10">
        <v>8.8550000000000004</v>
      </c>
      <c r="BJ218">
        <v>2.698</v>
      </c>
      <c r="BM218">
        <v>383.69499999999999</v>
      </c>
      <c r="BN218">
        <v>3.2330000000000001</v>
      </c>
      <c r="BO218" s="10">
        <v>17.440999999999999</v>
      </c>
      <c r="BP218">
        <v>47350</v>
      </c>
      <c r="CB218">
        <v>3</v>
      </c>
      <c r="CC218">
        <v>14640</v>
      </c>
      <c r="CD218">
        <v>410.875</v>
      </c>
      <c r="CE218">
        <v>2746</v>
      </c>
      <c r="CF218">
        <v>2950</v>
      </c>
      <c r="CG218">
        <v>2680</v>
      </c>
      <c r="CH218">
        <v>5540</v>
      </c>
      <c r="CI218">
        <v>13916</v>
      </c>
      <c r="CK218">
        <v>0</v>
      </c>
      <c r="CL218">
        <v>24000</v>
      </c>
      <c r="CM218">
        <v>0</v>
      </c>
      <c r="CN218">
        <v>23000</v>
      </c>
      <c r="CO218">
        <v>0</v>
      </c>
      <c r="CP218">
        <v>23000</v>
      </c>
      <c r="CQ218">
        <v>39</v>
      </c>
      <c r="CR218">
        <v>69000</v>
      </c>
      <c r="CS218">
        <v>0</v>
      </c>
      <c r="CU218">
        <v>0</v>
      </c>
      <c r="CW218">
        <v>0</v>
      </c>
      <c r="CY218">
        <v>45.6</v>
      </c>
      <c r="CZ218">
        <v>0</v>
      </c>
      <c r="DA218">
        <v>25.9</v>
      </c>
      <c r="DB218">
        <v>7994</v>
      </c>
      <c r="DC218">
        <v>65.698999999999998</v>
      </c>
      <c r="DD218">
        <v>39.055</v>
      </c>
      <c r="DE218">
        <v>8.9999999999999993E-3</v>
      </c>
      <c r="DF218">
        <v>7785</v>
      </c>
      <c r="DH218">
        <v>168.2</v>
      </c>
      <c r="DI218">
        <v>0</v>
      </c>
      <c r="DJ218">
        <v>20.2</v>
      </c>
      <c r="DK218">
        <v>38</v>
      </c>
      <c r="DN218" s="23"/>
      <c r="DO218" s="42">
        <v>451.9</v>
      </c>
      <c r="DP218" t="s">
        <v>286</v>
      </c>
    </row>
    <row r="219" spans="1:128" x14ac:dyDescent="0.3">
      <c r="A219" s="2">
        <v>41758</v>
      </c>
      <c r="B219" s="21">
        <f t="shared" si="13"/>
        <v>210</v>
      </c>
      <c r="C219" s="15" t="s">
        <v>130</v>
      </c>
      <c r="E219" s="74">
        <v>111102</v>
      </c>
      <c r="F219" s="10">
        <v>63752</v>
      </c>
      <c r="G219" s="10">
        <f t="shared" si="14"/>
        <v>47350</v>
      </c>
      <c r="U219" s="74">
        <v>3438.75</v>
      </c>
      <c r="AI219" s="80">
        <v>1.4E-2</v>
      </c>
      <c r="AJ219" s="10">
        <v>0.22500000000000009</v>
      </c>
      <c r="AK219" s="10">
        <v>2.6891666666666669</v>
      </c>
      <c r="AL219">
        <v>1317</v>
      </c>
      <c r="AP219">
        <v>190100</v>
      </c>
      <c r="AQ219" s="10">
        <f t="shared" si="12"/>
        <v>113223.75</v>
      </c>
      <c r="AX219" s="10">
        <v>2.3889999999999998</v>
      </c>
      <c r="AZ219" s="10">
        <v>199</v>
      </c>
      <c r="BA219" s="10">
        <v>6.5549999999999997</v>
      </c>
      <c r="BB219">
        <v>2.7709999999999999</v>
      </c>
      <c r="BD219">
        <v>167.64099999999999</v>
      </c>
      <c r="BE219">
        <v>9.3309999999999995</v>
      </c>
      <c r="BF219" s="10">
        <v>2.8879999999999999</v>
      </c>
      <c r="BH219" s="10">
        <v>146</v>
      </c>
      <c r="BI219" s="10">
        <v>11.353999999999999</v>
      </c>
      <c r="BJ219">
        <v>3.2040000000000002</v>
      </c>
      <c r="BM219">
        <v>381.69499999999999</v>
      </c>
      <c r="BN219">
        <v>3.2210000000000001</v>
      </c>
      <c r="BO219" s="10">
        <v>17.268000000000001</v>
      </c>
      <c r="BP219">
        <v>47350</v>
      </c>
      <c r="CB219">
        <v>4</v>
      </c>
      <c r="CC219">
        <v>12296.5</v>
      </c>
      <c r="CD219">
        <v>1063</v>
      </c>
      <c r="CE219">
        <v>2548</v>
      </c>
      <c r="CF219">
        <v>2772</v>
      </c>
      <c r="CG219">
        <v>2471</v>
      </c>
      <c r="CH219">
        <v>4917</v>
      </c>
      <c r="CI219">
        <v>12708</v>
      </c>
      <c r="CK219">
        <v>0</v>
      </c>
      <c r="CL219">
        <v>24000</v>
      </c>
      <c r="CM219">
        <v>0</v>
      </c>
      <c r="CN219">
        <v>23000</v>
      </c>
      <c r="CO219">
        <v>0</v>
      </c>
      <c r="CP219">
        <v>23000</v>
      </c>
      <c r="CQ219">
        <v>73</v>
      </c>
      <c r="CR219">
        <v>69000</v>
      </c>
      <c r="CS219">
        <v>0</v>
      </c>
      <c r="CU219">
        <v>0</v>
      </c>
      <c r="CW219">
        <v>0</v>
      </c>
      <c r="CY219">
        <v>34.1</v>
      </c>
      <c r="CZ219">
        <v>0</v>
      </c>
      <c r="DA219">
        <v>25.9</v>
      </c>
      <c r="DB219">
        <v>8372</v>
      </c>
      <c r="DC219">
        <v>65.594999999999999</v>
      </c>
      <c r="DD219">
        <v>39.244999999999997</v>
      </c>
      <c r="DE219">
        <v>8.9999999999999993E-3</v>
      </c>
      <c r="DF219">
        <v>8365</v>
      </c>
      <c r="DH219">
        <v>160.5</v>
      </c>
      <c r="DI219">
        <v>146360</v>
      </c>
      <c r="DJ219">
        <v>20.2</v>
      </c>
      <c r="DK219">
        <v>38</v>
      </c>
      <c r="DN219" s="23"/>
      <c r="DO219" s="42">
        <v>450</v>
      </c>
      <c r="DP219" t="s">
        <v>286</v>
      </c>
    </row>
    <row r="220" spans="1:128" x14ac:dyDescent="0.3">
      <c r="A220" s="2">
        <v>41759</v>
      </c>
      <c r="B220" s="21">
        <f t="shared" si="13"/>
        <v>211</v>
      </c>
      <c r="E220" s="74">
        <v>123800</v>
      </c>
      <c r="F220" s="10">
        <v>59500</v>
      </c>
      <c r="G220" s="10">
        <f t="shared" si="14"/>
        <v>64300</v>
      </c>
      <c r="U220" s="74">
        <v>3379.55</v>
      </c>
      <c r="AI220" s="80">
        <v>8.0000000000000002E-3</v>
      </c>
      <c r="AJ220" s="10">
        <v>0.91875000000000018</v>
      </c>
      <c r="AK220" s="10">
        <v>2.6879166666666663</v>
      </c>
      <c r="AL220">
        <v>1329</v>
      </c>
      <c r="AM220" s="80">
        <v>7700</v>
      </c>
      <c r="AO220" s="80">
        <v>24</v>
      </c>
      <c r="AP220">
        <v>196450</v>
      </c>
      <c r="AQ220" s="10">
        <f t="shared" si="12"/>
        <v>125850.55</v>
      </c>
      <c r="AX220" s="10">
        <v>2.6110000000000002</v>
      </c>
      <c r="AZ220" s="10">
        <v>191</v>
      </c>
      <c r="BA220" s="10">
        <v>7.4489999999999998</v>
      </c>
      <c r="BB220">
        <v>2.8559999999999999</v>
      </c>
      <c r="BD220">
        <v>140</v>
      </c>
      <c r="BE220">
        <v>9.0299999999999994</v>
      </c>
      <c r="BF220" s="10">
        <v>3.0369999999999999</v>
      </c>
      <c r="BH220" s="10">
        <v>142</v>
      </c>
      <c r="BI220" s="10">
        <v>8.7750000000000004</v>
      </c>
      <c r="BJ220">
        <v>3.35</v>
      </c>
      <c r="BM220">
        <v>342.66399999999999</v>
      </c>
      <c r="BN220">
        <v>3.262</v>
      </c>
      <c r="BO220" s="10">
        <v>17.004999999999999</v>
      </c>
      <c r="BP220">
        <v>64300</v>
      </c>
      <c r="CB220">
        <v>7</v>
      </c>
      <c r="CC220">
        <v>18303.5</v>
      </c>
      <c r="CD220">
        <v>1164</v>
      </c>
      <c r="CE220">
        <v>3316</v>
      </c>
      <c r="CF220">
        <v>3466</v>
      </c>
      <c r="CG220">
        <v>3245</v>
      </c>
      <c r="CH220">
        <v>6895</v>
      </c>
      <c r="CI220">
        <v>16922</v>
      </c>
      <c r="CK220">
        <v>0</v>
      </c>
      <c r="CL220">
        <v>24000</v>
      </c>
      <c r="CM220">
        <v>0</v>
      </c>
      <c r="CN220">
        <v>23000</v>
      </c>
      <c r="CO220">
        <v>0</v>
      </c>
      <c r="CP220">
        <v>23000</v>
      </c>
      <c r="CQ220">
        <v>71</v>
      </c>
      <c r="CR220">
        <v>69000</v>
      </c>
      <c r="CS220">
        <v>0</v>
      </c>
      <c r="CU220">
        <v>0</v>
      </c>
      <c r="CW220">
        <v>0</v>
      </c>
      <c r="CY220">
        <v>34.1</v>
      </c>
      <c r="CZ220">
        <v>0</v>
      </c>
      <c r="DA220">
        <v>22.2</v>
      </c>
      <c r="DB220">
        <v>7948</v>
      </c>
      <c r="DC220">
        <v>65.34</v>
      </c>
      <c r="DD220">
        <v>39.307000000000002</v>
      </c>
      <c r="DE220">
        <v>8.0000000000000002E-3</v>
      </c>
      <c r="DF220">
        <v>7725</v>
      </c>
      <c r="DH220">
        <v>173.5</v>
      </c>
      <c r="DI220">
        <v>67520</v>
      </c>
      <c r="DJ220">
        <v>21.5</v>
      </c>
      <c r="DK220">
        <v>37</v>
      </c>
      <c r="DN220" s="23"/>
      <c r="DO220" s="42">
        <v>437.3</v>
      </c>
      <c r="DP220" t="s">
        <v>286</v>
      </c>
    </row>
    <row r="221" spans="1:128" x14ac:dyDescent="0.3">
      <c r="A221" s="2">
        <v>41760</v>
      </c>
      <c r="B221" s="21">
        <f t="shared" si="13"/>
        <v>212</v>
      </c>
      <c r="E221" s="74"/>
      <c r="AJ221" s="10">
        <v>0.24416666666666673</v>
      </c>
      <c r="AK221" s="10">
        <v>1.3812500000000003</v>
      </c>
      <c r="DN221" s="23"/>
      <c r="DO221" s="42">
        <v>540.5</v>
      </c>
      <c r="DP221" t="s">
        <v>286</v>
      </c>
    </row>
    <row r="222" spans="1:128" x14ac:dyDescent="0.3">
      <c r="A222" s="2">
        <v>41761</v>
      </c>
      <c r="B222" s="21">
        <f t="shared" si="13"/>
        <v>213</v>
      </c>
      <c r="AJ222" s="10">
        <v>0.26333333333333336</v>
      </c>
      <c r="AK222" s="10">
        <v>1.2391666666666663</v>
      </c>
      <c r="DN222" s="23"/>
      <c r="DO222" s="42">
        <v>466.8</v>
      </c>
      <c r="DP222" t="s">
        <v>286</v>
      </c>
      <c r="DQ222" s="80">
        <v>1230</v>
      </c>
      <c r="DR222" s="80">
        <v>210</v>
      </c>
      <c r="DS222" s="80">
        <v>130</v>
      </c>
      <c r="DT222" s="80">
        <v>3.6</v>
      </c>
      <c r="DU222" s="80">
        <v>80</v>
      </c>
      <c r="DV222" s="80">
        <v>58</v>
      </c>
      <c r="DW222" s="80">
        <v>100</v>
      </c>
      <c r="DX222" s="80">
        <v>680</v>
      </c>
    </row>
    <row r="223" spans="1:128" x14ac:dyDescent="0.3">
      <c r="A223" s="2">
        <v>41762</v>
      </c>
      <c r="B223" s="21">
        <f t="shared" si="13"/>
        <v>214</v>
      </c>
      <c r="AJ223" s="10">
        <v>0.23458333333333339</v>
      </c>
      <c r="AK223" s="10">
        <v>1.14375</v>
      </c>
      <c r="DN223" s="23"/>
      <c r="DO223" s="42">
        <v>423.8</v>
      </c>
      <c r="DP223" t="s">
        <v>286</v>
      </c>
    </row>
    <row r="224" spans="1:128" x14ac:dyDescent="0.3">
      <c r="A224" s="2">
        <v>41763</v>
      </c>
      <c r="B224" s="21">
        <f t="shared" si="13"/>
        <v>215</v>
      </c>
      <c r="AJ224" s="10">
        <v>0.24750000000000005</v>
      </c>
      <c r="AK224" s="10">
        <v>1.18875</v>
      </c>
      <c r="DN224" s="23"/>
      <c r="DO224" s="42">
        <v>427.5</v>
      </c>
      <c r="DP224" t="s">
        <v>286</v>
      </c>
    </row>
    <row r="225" spans="1:128" x14ac:dyDescent="0.3">
      <c r="A225" s="2">
        <v>41764</v>
      </c>
      <c r="B225" s="21">
        <f t="shared" si="13"/>
        <v>216</v>
      </c>
      <c r="AJ225" s="10">
        <v>0.26208333333333339</v>
      </c>
      <c r="AK225" s="10">
        <v>1.1795833333333332</v>
      </c>
      <c r="DN225" s="23"/>
      <c r="DO225" s="42">
        <v>445.3</v>
      </c>
      <c r="DP225" t="s">
        <v>286</v>
      </c>
    </row>
    <row r="226" spans="1:128" x14ac:dyDescent="0.3">
      <c r="A226" s="2">
        <v>41765</v>
      </c>
      <c r="B226" s="21">
        <f t="shared" si="13"/>
        <v>217</v>
      </c>
      <c r="AJ226" s="10">
        <v>0.22708333333333339</v>
      </c>
      <c r="AK226" s="10">
        <v>1.2529166666666667</v>
      </c>
      <c r="DN226" s="23"/>
      <c r="DO226" s="42">
        <v>545.9</v>
      </c>
      <c r="DP226" t="s">
        <v>286</v>
      </c>
    </row>
    <row r="227" spans="1:128" x14ac:dyDescent="0.3">
      <c r="A227" s="2">
        <v>41766</v>
      </c>
      <c r="B227" s="21">
        <f t="shared" si="13"/>
        <v>218</v>
      </c>
      <c r="AJ227" s="10">
        <v>0.33958333333333335</v>
      </c>
      <c r="AK227" s="10">
        <v>1.2166666666666666</v>
      </c>
      <c r="DN227" s="23"/>
      <c r="DO227" s="42">
        <v>514.6</v>
      </c>
      <c r="DP227" t="s">
        <v>286</v>
      </c>
    </row>
    <row r="228" spans="1:128" x14ac:dyDescent="0.3">
      <c r="A228" s="2">
        <v>41767</v>
      </c>
      <c r="B228" s="21">
        <f t="shared" si="13"/>
        <v>219</v>
      </c>
      <c r="AJ228" s="10">
        <v>0.46416666666666667</v>
      </c>
      <c r="AK228" s="10">
        <v>1.0241666666666667</v>
      </c>
      <c r="DN228" s="23"/>
      <c r="DO228" s="42">
        <v>611.4</v>
      </c>
      <c r="DP228" t="s">
        <v>286</v>
      </c>
      <c r="DQ228" s="80">
        <v>910</v>
      </c>
      <c r="DR228" s="80">
        <v>212</v>
      </c>
      <c r="DS228" s="80">
        <v>130</v>
      </c>
      <c r="DT228" s="80">
        <v>3.1</v>
      </c>
      <c r="DU228" s="80">
        <v>81</v>
      </c>
      <c r="DV228" s="80">
        <v>59</v>
      </c>
      <c r="DW228" s="80">
        <v>86</v>
      </c>
      <c r="DX228" s="80">
        <v>530</v>
      </c>
    </row>
    <row r="229" spans="1:128" x14ac:dyDescent="0.3">
      <c r="A229" s="2">
        <v>41768</v>
      </c>
      <c r="B229" s="21">
        <f t="shared" si="13"/>
        <v>220</v>
      </c>
      <c r="AJ229" s="10">
        <v>0.76833333333333342</v>
      </c>
      <c r="AK229" s="10">
        <v>1.0933333333333333</v>
      </c>
      <c r="DN229" s="23"/>
      <c r="DO229" s="42">
        <v>626.29999999999995</v>
      </c>
      <c r="DP229" t="s">
        <v>286</v>
      </c>
    </row>
    <row r="230" spans="1:128" x14ac:dyDescent="0.3">
      <c r="A230" s="2">
        <v>41769</v>
      </c>
      <c r="B230" s="21">
        <f t="shared" si="13"/>
        <v>221</v>
      </c>
      <c r="AJ230" s="10">
        <v>1.0054166666666664</v>
      </c>
      <c r="AK230" s="10">
        <v>1.0750000000000004</v>
      </c>
      <c r="DN230" s="23"/>
      <c r="DO230" s="42">
        <v>615</v>
      </c>
      <c r="DP230" t="s">
        <v>286</v>
      </c>
    </row>
    <row r="231" spans="1:128" x14ac:dyDescent="0.3">
      <c r="A231" s="2">
        <v>41770</v>
      </c>
      <c r="B231" s="21">
        <f t="shared" si="13"/>
        <v>222</v>
      </c>
      <c r="AJ231" s="10">
        <v>0.92375000000000007</v>
      </c>
      <c r="AK231" s="10">
        <v>1.0125000000000002</v>
      </c>
      <c r="DN231" s="23"/>
      <c r="DO231" s="42">
        <v>526.29999999999995</v>
      </c>
      <c r="DP231" t="s">
        <v>286</v>
      </c>
    </row>
    <row r="232" spans="1:128" x14ac:dyDescent="0.3">
      <c r="A232" s="2">
        <v>41771</v>
      </c>
      <c r="B232" s="21">
        <f t="shared" si="13"/>
        <v>223</v>
      </c>
      <c r="AJ232" s="10">
        <v>1.0370833333333331</v>
      </c>
      <c r="AK232" s="10">
        <v>0.98833333333333317</v>
      </c>
      <c r="DN232" s="23"/>
      <c r="DO232" s="42">
        <v>526.9</v>
      </c>
      <c r="DP232" t="s">
        <v>286</v>
      </c>
    </row>
    <row r="233" spans="1:128" x14ac:dyDescent="0.3">
      <c r="A233" s="2">
        <v>41772</v>
      </c>
      <c r="B233" s="21">
        <f t="shared" si="13"/>
        <v>224</v>
      </c>
      <c r="AJ233" s="10">
        <v>0.91625000000000012</v>
      </c>
      <c r="AK233" s="10">
        <v>1.4245833333333333</v>
      </c>
      <c r="DN233" s="23"/>
      <c r="DO233" s="42">
        <v>531.29999999999995</v>
      </c>
      <c r="DP233" t="s">
        <v>286</v>
      </c>
    </row>
    <row r="234" spans="1:128" x14ac:dyDescent="0.3">
      <c r="A234" s="2">
        <v>41773</v>
      </c>
      <c r="B234" s="21">
        <f t="shared" si="13"/>
        <v>225</v>
      </c>
      <c r="AJ234" s="10">
        <v>0.79666666666666675</v>
      </c>
      <c r="AK234" s="10">
        <v>1.0362499999999999</v>
      </c>
      <c r="DN234" s="23"/>
      <c r="DO234" s="42">
        <v>219.5</v>
      </c>
      <c r="DP234" t="s">
        <v>286</v>
      </c>
      <c r="DQ234" s="80">
        <v>2350</v>
      </c>
      <c r="DR234" s="80">
        <v>295</v>
      </c>
      <c r="DS234" s="80">
        <v>150</v>
      </c>
      <c r="DT234" s="80">
        <v>5.4</v>
      </c>
      <c r="DU234" s="80">
        <v>93</v>
      </c>
      <c r="DV234" s="80">
        <v>55</v>
      </c>
      <c r="DW234" s="80">
        <v>140</v>
      </c>
      <c r="DX234" s="80">
        <v>2100</v>
      </c>
    </row>
    <row r="235" spans="1:128" x14ac:dyDescent="0.3">
      <c r="A235" s="2">
        <v>41774</v>
      </c>
      <c r="B235" s="21">
        <f t="shared" si="13"/>
        <v>226</v>
      </c>
      <c r="AJ235" s="10">
        <v>0.77666666666666673</v>
      </c>
      <c r="AK235" s="10">
        <v>0.92666666666666642</v>
      </c>
      <c r="DN235" s="23"/>
      <c r="DO235" s="42">
        <v>530</v>
      </c>
      <c r="DP235" t="s">
        <v>286</v>
      </c>
    </row>
    <row r="236" spans="1:128" x14ac:dyDescent="0.3">
      <c r="A236" s="2">
        <v>41775</v>
      </c>
      <c r="B236" s="21">
        <f t="shared" si="13"/>
        <v>227</v>
      </c>
      <c r="AJ236" s="10">
        <v>0.6</v>
      </c>
      <c r="AK236" s="10">
        <v>1.10375</v>
      </c>
      <c r="DN236" s="23"/>
      <c r="DO236" s="42">
        <v>594</v>
      </c>
      <c r="DP236" t="s">
        <v>286</v>
      </c>
    </row>
    <row r="237" spans="1:128" x14ac:dyDescent="0.3">
      <c r="A237" s="2">
        <v>41776</v>
      </c>
      <c r="B237" s="21">
        <f t="shared" si="13"/>
        <v>228</v>
      </c>
      <c r="AJ237" s="10">
        <v>0.58750000000000002</v>
      </c>
      <c r="AK237" s="10">
        <v>1.00125</v>
      </c>
      <c r="DN237" s="23"/>
      <c r="DO237" s="42">
        <v>565.29999999999995</v>
      </c>
      <c r="DP237" t="s">
        <v>286</v>
      </c>
    </row>
    <row r="238" spans="1:128" x14ac:dyDescent="0.3">
      <c r="A238" s="2">
        <v>41777</v>
      </c>
      <c r="B238" s="21">
        <f t="shared" si="13"/>
        <v>229</v>
      </c>
      <c r="AJ238" s="10">
        <v>0.93</v>
      </c>
      <c r="AK238" s="10">
        <v>1.0845833333333335</v>
      </c>
      <c r="DN238" s="23"/>
      <c r="DO238" s="42">
        <v>606.9</v>
      </c>
      <c r="DP238" t="s">
        <v>286</v>
      </c>
    </row>
    <row r="239" spans="1:128" x14ac:dyDescent="0.3">
      <c r="A239" s="2">
        <v>41778</v>
      </c>
      <c r="B239" s="21">
        <f t="shared" si="13"/>
        <v>230</v>
      </c>
      <c r="AJ239" s="10">
        <v>0.91749999999999987</v>
      </c>
      <c r="AK239" s="10">
        <v>1.0633333333333332</v>
      </c>
      <c r="DN239" s="23"/>
      <c r="DO239" s="42">
        <v>270.3</v>
      </c>
      <c r="DP239" t="s">
        <v>286</v>
      </c>
    </row>
    <row r="240" spans="1:128" x14ac:dyDescent="0.3">
      <c r="A240" s="2">
        <v>41779</v>
      </c>
      <c r="B240" s="21">
        <f t="shared" si="13"/>
        <v>231</v>
      </c>
      <c r="AJ240" s="10">
        <v>0.99624999999999986</v>
      </c>
      <c r="AK240" s="10">
        <v>1.3329166666666667</v>
      </c>
      <c r="DN240" s="23"/>
      <c r="DO240" s="42">
        <v>525.5</v>
      </c>
      <c r="DP240" t="s">
        <v>286</v>
      </c>
      <c r="DQ240" s="80">
        <v>1390</v>
      </c>
      <c r="DR240" s="80">
        <v>217</v>
      </c>
      <c r="DS240" s="80">
        <v>120</v>
      </c>
      <c r="DT240" s="80">
        <v>4.9000000000000004</v>
      </c>
      <c r="DU240" s="80">
        <v>76</v>
      </c>
      <c r="DV240" s="80">
        <v>49</v>
      </c>
      <c r="DW240" s="80">
        <v>110</v>
      </c>
      <c r="DX240" s="80">
        <v>1500</v>
      </c>
    </row>
    <row r="241" spans="1:128" x14ac:dyDescent="0.3">
      <c r="A241" s="2">
        <v>41780</v>
      </c>
      <c r="B241" s="21">
        <f t="shared" si="13"/>
        <v>232</v>
      </c>
      <c r="AJ241" s="10">
        <v>0.87333333333333341</v>
      </c>
      <c r="AK241" s="10">
        <v>1.6341666666666665</v>
      </c>
      <c r="DN241" s="23"/>
      <c r="DO241" s="42">
        <v>489</v>
      </c>
      <c r="DP241" t="s">
        <v>286</v>
      </c>
    </row>
    <row r="242" spans="1:128" x14ac:dyDescent="0.3">
      <c r="A242" s="2">
        <v>41781</v>
      </c>
      <c r="B242" s="21">
        <f t="shared" si="13"/>
        <v>233</v>
      </c>
      <c r="AJ242" s="10">
        <v>0.47833333333333328</v>
      </c>
      <c r="AK242" s="10">
        <v>1.6216666666666664</v>
      </c>
      <c r="DN242" s="23"/>
      <c r="DO242" s="42">
        <v>624.70000000000005</v>
      </c>
      <c r="DP242" t="s">
        <v>286</v>
      </c>
    </row>
    <row r="243" spans="1:128" x14ac:dyDescent="0.3">
      <c r="A243" s="2">
        <v>41782</v>
      </c>
      <c r="B243" s="21">
        <f t="shared" si="13"/>
        <v>234</v>
      </c>
      <c r="AJ243" s="10">
        <v>0.36708333333333337</v>
      </c>
      <c r="AK243" s="10">
        <v>1.6212499999999999</v>
      </c>
      <c r="DN243" s="23"/>
      <c r="DO243" s="42">
        <v>334.7</v>
      </c>
      <c r="DP243" t="s">
        <v>286</v>
      </c>
    </row>
    <row r="244" spans="1:128" x14ac:dyDescent="0.3">
      <c r="A244" s="2">
        <v>41783</v>
      </c>
      <c r="B244" s="21">
        <f t="shared" si="13"/>
        <v>235</v>
      </c>
      <c r="AJ244" s="10">
        <v>0.34749999999999998</v>
      </c>
      <c r="AK244" s="10">
        <v>1.8025</v>
      </c>
      <c r="DN244" s="23"/>
      <c r="DO244" s="42">
        <v>580.70000000000005</v>
      </c>
      <c r="DP244" t="s">
        <v>286</v>
      </c>
    </row>
    <row r="245" spans="1:128" x14ac:dyDescent="0.3">
      <c r="A245" s="2">
        <v>41784</v>
      </c>
      <c r="B245" s="21">
        <f t="shared" si="13"/>
        <v>236</v>
      </c>
      <c r="AJ245" s="10">
        <v>0.31541666666666662</v>
      </c>
      <c r="AK245" s="10">
        <v>1.7437500000000001</v>
      </c>
      <c r="DN245" s="23"/>
      <c r="DO245" s="42">
        <v>598</v>
      </c>
      <c r="DP245" t="s">
        <v>286</v>
      </c>
    </row>
    <row r="246" spans="1:128" x14ac:dyDescent="0.3">
      <c r="A246" s="2">
        <v>41785</v>
      </c>
      <c r="B246" s="21">
        <f t="shared" si="13"/>
        <v>237</v>
      </c>
      <c r="AJ246" s="10">
        <v>0.26958333333333334</v>
      </c>
      <c r="AK246" s="10">
        <v>1.6862500000000002</v>
      </c>
      <c r="DN246" s="23"/>
      <c r="DO246" s="42">
        <v>626.5</v>
      </c>
      <c r="DP246" t="s">
        <v>286</v>
      </c>
      <c r="DQ246" s="80">
        <v>2450</v>
      </c>
      <c r="DR246" s="80">
        <v>358</v>
      </c>
      <c r="DS246" s="80">
        <v>260</v>
      </c>
      <c r="DT246" s="80">
        <v>4.5999999999999996</v>
      </c>
      <c r="DU246" s="80">
        <v>35</v>
      </c>
      <c r="DV246" s="80">
        <v>41</v>
      </c>
      <c r="DW246" s="80">
        <v>150</v>
      </c>
      <c r="DX246" s="80">
        <v>2500</v>
      </c>
    </row>
    <row r="247" spans="1:128" x14ac:dyDescent="0.3">
      <c r="A247" s="2">
        <v>41786</v>
      </c>
      <c r="B247" s="21">
        <f t="shared" si="13"/>
        <v>238</v>
      </c>
      <c r="AJ247" s="10">
        <v>0.58166666666666667</v>
      </c>
      <c r="AK247" s="10">
        <v>1.6500000000000001</v>
      </c>
      <c r="DN247" s="23"/>
      <c r="DO247" s="42">
        <v>609</v>
      </c>
      <c r="DP247" t="s">
        <v>286</v>
      </c>
    </row>
    <row r="248" spans="1:128" x14ac:dyDescent="0.3">
      <c r="A248" s="2">
        <v>41787</v>
      </c>
      <c r="B248" s="21">
        <f t="shared" si="13"/>
        <v>239</v>
      </c>
      <c r="AJ248" s="10">
        <v>0.24041666666666664</v>
      </c>
      <c r="AK248" s="10">
        <v>0.45291666666666663</v>
      </c>
      <c r="DN248" s="23"/>
      <c r="DO248" s="42">
        <v>479.8</v>
      </c>
      <c r="DP248" t="s">
        <v>286</v>
      </c>
    </row>
    <row r="249" spans="1:128" x14ac:dyDescent="0.3">
      <c r="A249" s="2">
        <v>41788</v>
      </c>
      <c r="B249" s="21">
        <f t="shared" si="13"/>
        <v>240</v>
      </c>
      <c r="AJ249" s="10">
        <v>0.63833333333333331</v>
      </c>
      <c r="AK249" s="10">
        <v>2.3370833333333336</v>
      </c>
      <c r="DN249" s="23"/>
      <c r="DO249" s="42">
        <v>479.1</v>
      </c>
      <c r="DP249" t="s">
        <v>286</v>
      </c>
    </row>
    <row r="250" spans="1:128" x14ac:dyDescent="0.3">
      <c r="A250" s="2">
        <v>41789</v>
      </c>
      <c r="B250" s="21">
        <f t="shared" si="13"/>
        <v>241</v>
      </c>
      <c r="AJ250" s="10">
        <v>0.31374999999999992</v>
      </c>
      <c r="AK250" s="10">
        <v>1.6529166666666668</v>
      </c>
      <c r="DN250" s="23"/>
      <c r="DO250" s="42">
        <v>457.7</v>
      </c>
      <c r="DP250" t="s">
        <v>286</v>
      </c>
    </row>
    <row r="251" spans="1:128" x14ac:dyDescent="0.3">
      <c r="A251" s="2">
        <v>41790</v>
      </c>
      <c r="B251" s="21">
        <f t="shared" si="13"/>
        <v>242</v>
      </c>
      <c r="AJ251" s="10">
        <v>0.19208333333333336</v>
      </c>
      <c r="AK251" s="10">
        <v>1.6666666666666667</v>
      </c>
      <c r="DN251" s="23"/>
      <c r="DO251" s="42">
        <v>376.3</v>
      </c>
      <c r="DP251" t="s">
        <v>286</v>
      </c>
    </row>
    <row r="252" spans="1:128" x14ac:dyDescent="0.3">
      <c r="A252" s="2">
        <v>41791</v>
      </c>
      <c r="B252" s="21">
        <f t="shared" si="13"/>
        <v>243</v>
      </c>
      <c r="AJ252" s="10">
        <v>0.19125</v>
      </c>
      <c r="AK252" s="10">
        <v>1.4720833333333332</v>
      </c>
      <c r="DN252" s="23"/>
      <c r="DO252" s="42">
        <v>472.1</v>
      </c>
      <c r="DP252" t="s">
        <v>286</v>
      </c>
      <c r="DQ252" s="80">
        <v>1540</v>
      </c>
      <c r="DR252" s="80">
        <v>181</v>
      </c>
      <c r="DS252" s="80">
        <v>99</v>
      </c>
      <c r="DT252" s="80">
        <v>4</v>
      </c>
      <c r="DU252" s="80">
        <v>50</v>
      </c>
      <c r="DV252" s="80">
        <v>45</v>
      </c>
      <c r="DW252" s="80">
        <v>110</v>
      </c>
      <c r="DX252" s="80">
        <v>1400</v>
      </c>
    </row>
    <row r="253" spans="1:128" x14ac:dyDescent="0.3">
      <c r="A253" s="2">
        <v>41792</v>
      </c>
      <c r="B253" s="21">
        <f t="shared" si="13"/>
        <v>244</v>
      </c>
      <c r="AJ253" s="10">
        <v>0.22916666666666671</v>
      </c>
      <c r="AK253" s="10">
        <v>1.5274999999999999</v>
      </c>
      <c r="DN253" s="23"/>
      <c r="DO253" s="42">
        <v>298.39999999999998</v>
      </c>
      <c r="DP253" t="s">
        <v>286</v>
      </c>
    </row>
    <row r="254" spans="1:128" x14ac:dyDescent="0.3">
      <c r="A254" s="2">
        <v>41793</v>
      </c>
      <c r="B254" s="21">
        <f t="shared" si="13"/>
        <v>245</v>
      </c>
      <c r="AJ254" s="10">
        <v>0.18750000000000003</v>
      </c>
      <c r="AK254" s="10">
        <v>1.4758333333333333</v>
      </c>
      <c r="DN254" s="23"/>
      <c r="DO254" s="42">
        <v>470.6</v>
      </c>
      <c r="DP254" t="s">
        <v>286</v>
      </c>
    </row>
    <row r="255" spans="1:128" x14ac:dyDescent="0.3">
      <c r="A255" s="2">
        <v>41794</v>
      </c>
      <c r="B255" s="21">
        <f t="shared" si="13"/>
        <v>246</v>
      </c>
      <c r="AJ255" s="10">
        <v>0.31458333333333338</v>
      </c>
      <c r="AK255" s="10">
        <v>1.5804166666666666</v>
      </c>
      <c r="DN255" s="23"/>
      <c r="DO255" s="42">
        <v>496.9</v>
      </c>
      <c r="DP255" t="s">
        <v>286</v>
      </c>
    </row>
    <row r="256" spans="1:128" x14ac:dyDescent="0.3">
      <c r="A256" s="2">
        <v>41795</v>
      </c>
      <c r="B256" s="21">
        <f t="shared" si="13"/>
        <v>247</v>
      </c>
      <c r="AJ256" s="10">
        <v>0.54333333333333333</v>
      </c>
      <c r="AK256" s="10">
        <v>1.4291666666666665</v>
      </c>
      <c r="DN256" s="23"/>
      <c r="DO256" s="42">
        <v>473.4</v>
      </c>
      <c r="DP256" t="s">
        <v>286</v>
      </c>
    </row>
    <row r="257" spans="1:128" x14ac:dyDescent="0.3">
      <c r="A257" s="2">
        <v>41796</v>
      </c>
      <c r="B257" s="21">
        <f t="shared" si="13"/>
        <v>248</v>
      </c>
      <c r="AJ257" s="10">
        <v>0.35041666666666665</v>
      </c>
      <c r="AK257" s="10">
        <v>1.7020833333333336</v>
      </c>
      <c r="DN257" s="23"/>
      <c r="DO257" s="42">
        <v>483.3</v>
      </c>
      <c r="DP257" t="s">
        <v>286</v>
      </c>
    </row>
    <row r="258" spans="1:128" x14ac:dyDescent="0.3">
      <c r="A258" s="2">
        <v>41797</v>
      </c>
      <c r="B258" s="21">
        <f t="shared" si="13"/>
        <v>249</v>
      </c>
      <c r="AJ258" s="10">
        <v>0.21708333333333332</v>
      </c>
      <c r="AK258" s="10">
        <v>1.5333333333333332</v>
      </c>
      <c r="DN258" s="23"/>
      <c r="DO258" s="42">
        <v>268.8</v>
      </c>
      <c r="DP258" t="s">
        <v>286</v>
      </c>
      <c r="DQ258" s="80">
        <v>1960</v>
      </c>
      <c r="DR258" s="80">
        <v>283</v>
      </c>
      <c r="DS258" s="80">
        <v>160</v>
      </c>
      <c r="DT258" s="80">
        <v>5.7</v>
      </c>
      <c r="DU258" s="80">
        <v>40</v>
      </c>
      <c r="DV258" s="80">
        <v>39</v>
      </c>
      <c r="DW258" s="80">
        <v>130</v>
      </c>
      <c r="DX258" s="80">
        <v>2100</v>
      </c>
    </row>
    <row r="259" spans="1:128" x14ac:dyDescent="0.3">
      <c r="A259" s="2">
        <v>41798</v>
      </c>
      <c r="B259" s="21">
        <f t="shared" si="13"/>
        <v>250</v>
      </c>
      <c r="AJ259" s="10">
        <v>0.38625000000000004</v>
      </c>
      <c r="AK259" s="10">
        <v>1.5462499999999999</v>
      </c>
      <c r="DN259" s="23"/>
      <c r="DO259" s="42">
        <v>414.9</v>
      </c>
      <c r="DP259" t="s">
        <v>286</v>
      </c>
    </row>
    <row r="260" spans="1:128" x14ac:dyDescent="0.3">
      <c r="A260" s="2">
        <v>41799</v>
      </c>
      <c r="B260" s="21">
        <f t="shared" si="13"/>
        <v>251</v>
      </c>
      <c r="AJ260" s="10">
        <v>0.29166666666666669</v>
      </c>
      <c r="AK260" s="10">
        <v>1.2554166666666664</v>
      </c>
      <c r="DN260" s="23"/>
      <c r="DO260" s="42">
        <v>369.3</v>
      </c>
      <c r="DP260" t="s">
        <v>286</v>
      </c>
    </row>
    <row r="261" spans="1:128" x14ac:dyDescent="0.3">
      <c r="A261" s="2">
        <v>41800</v>
      </c>
      <c r="B261" s="21">
        <f t="shared" si="13"/>
        <v>252</v>
      </c>
      <c r="AJ261" s="10">
        <v>0.44041666666666673</v>
      </c>
      <c r="AK261" s="10">
        <v>1.4300000000000004</v>
      </c>
      <c r="DN261" s="23"/>
      <c r="DO261" s="42">
        <v>98</v>
      </c>
      <c r="DP261" t="s">
        <v>286</v>
      </c>
    </row>
    <row r="262" spans="1:128" x14ac:dyDescent="0.3">
      <c r="A262" s="2">
        <v>41801</v>
      </c>
      <c r="B262" s="21">
        <f t="shared" si="13"/>
        <v>253</v>
      </c>
      <c r="AJ262" s="10">
        <v>0.46083333333333343</v>
      </c>
      <c r="AK262" s="10">
        <v>1.5958333333333332</v>
      </c>
      <c r="DN262" s="23"/>
      <c r="DO262" s="42">
        <v>494</v>
      </c>
      <c r="DP262" t="s">
        <v>286</v>
      </c>
    </row>
    <row r="263" spans="1:128" x14ac:dyDescent="0.3">
      <c r="A263" s="2">
        <v>41802</v>
      </c>
      <c r="B263" s="21">
        <f t="shared" si="13"/>
        <v>254</v>
      </c>
      <c r="AJ263" s="10">
        <v>0.23041666666666663</v>
      </c>
      <c r="AK263" s="10">
        <v>1.4274999999999995</v>
      </c>
      <c r="DN263" s="23"/>
      <c r="DO263" s="42">
        <v>554.29999999999995</v>
      </c>
      <c r="DP263" t="s">
        <v>286</v>
      </c>
    </row>
    <row r="264" spans="1:128" x14ac:dyDescent="0.3">
      <c r="A264" s="2">
        <v>41803</v>
      </c>
      <c r="B264" s="21">
        <f t="shared" si="13"/>
        <v>255</v>
      </c>
      <c r="AJ264" s="10">
        <v>0.27166666666666667</v>
      </c>
      <c r="AK264" s="10">
        <v>1.6058333333333337</v>
      </c>
      <c r="DN264" s="23"/>
      <c r="DO264" s="42">
        <v>544.70000000000005</v>
      </c>
      <c r="DP264" t="s">
        <v>286</v>
      </c>
      <c r="DQ264" s="80">
        <v>1350</v>
      </c>
      <c r="DR264" s="80">
        <v>202</v>
      </c>
      <c r="DS264" s="80">
        <v>120</v>
      </c>
      <c r="DT264" s="80">
        <v>4.0999999999999996</v>
      </c>
      <c r="DU264" s="80">
        <v>62</v>
      </c>
      <c r="DV264" s="80">
        <v>37</v>
      </c>
      <c r="DW264" s="80">
        <v>89</v>
      </c>
      <c r="DX264" s="80">
        <v>1300</v>
      </c>
    </row>
    <row r="265" spans="1:128" x14ac:dyDescent="0.3">
      <c r="A265" s="2">
        <v>41804</v>
      </c>
      <c r="B265" s="21">
        <f t="shared" si="13"/>
        <v>256</v>
      </c>
      <c r="AJ265" s="10">
        <v>0.28249999999999997</v>
      </c>
      <c r="AK265" s="10">
        <v>1.6741666666666664</v>
      </c>
      <c r="DN265" s="23"/>
      <c r="DO265" s="42">
        <v>535.70000000000005</v>
      </c>
      <c r="DP265" t="s">
        <v>286</v>
      </c>
    </row>
    <row r="266" spans="1:128" x14ac:dyDescent="0.3">
      <c r="A266" s="2">
        <v>41805</v>
      </c>
      <c r="B266" s="21">
        <f t="shared" ref="B266:B312" si="15">A266-$A$9</f>
        <v>257</v>
      </c>
      <c r="AJ266" s="10">
        <v>0.26750000000000002</v>
      </c>
      <c r="AK266" s="10">
        <v>1.5204166666666667</v>
      </c>
      <c r="DN266" s="23"/>
      <c r="DO266" s="42">
        <v>394.8</v>
      </c>
      <c r="DP266" t="s">
        <v>286</v>
      </c>
    </row>
    <row r="267" spans="1:128" x14ac:dyDescent="0.3">
      <c r="A267" s="2">
        <v>41806</v>
      </c>
      <c r="B267" s="21">
        <f t="shared" si="15"/>
        <v>258</v>
      </c>
      <c r="AJ267" s="10">
        <v>0.26041666666666663</v>
      </c>
      <c r="AK267" s="10">
        <v>1.5650000000000002</v>
      </c>
      <c r="DN267" s="23"/>
      <c r="DO267" s="42">
        <v>402.8</v>
      </c>
      <c r="DP267" t="s">
        <v>286</v>
      </c>
    </row>
    <row r="268" spans="1:128" x14ac:dyDescent="0.3">
      <c r="A268" s="2">
        <v>41807</v>
      </c>
      <c r="B268" s="21">
        <f t="shared" si="15"/>
        <v>259</v>
      </c>
      <c r="AJ268" s="10">
        <v>0.19541666666666666</v>
      </c>
      <c r="AK268" s="10">
        <v>1.52125</v>
      </c>
      <c r="DN268" s="23"/>
      <c r="DO268" s="42">
        <v>456.8</v>
      </c>
      <c r="DP268" t="s">
        <v>286</v>
      </c>
    </row>
    <row r="269" spans="1:128" x14ac:dyDescent="0.3">
      <c r="A269" s="62">
        <v>41808</v>
      </c>
      <c r="B269" s="21">
        <f t="shared" si="15"/>
        <v>260</v>
      </c>
      <c r="C269" s="4" t="s">
        <v>264</v>
      </c>
      <c r="AJ269" s="10">
        <v>7.6666666666666716E-2</v>
      </c>
      <c r="AK269" s="10">
        <v>1.4779166666666665</v>
      </c>
      <c r="DN269" s="23"/>
      <c r="DO269" s="42">
        <v>375.5</v>
      </c>
      <c r="DP269" t="s">
        <v>286</v>
      </c>
    </row>
    <row r="270" spans="1:128" x14ac:dyDescent="0.3">
      <c r="A270" s="2">
        <v>41809</v>
      </c>
      <c r="B270" s="21">
        <f t="shared" si="15"/>
        <v>261</v>
      </c>
      <c r="AJ270" s="10">
        <v>0.39833333333333337</v>
      </c>
      <c r="AK270" s="10">
        <v>1.3637499999999998</v>
      </c>
      <c r="DN270" s="23"/>
      <c r="DO270" s="42">
        <v>441.8</v>
      </c>
      <c r="DP270" t="s">
        <v>286</v>
      </c>
      <c r="DQ270" s="80">
        <v>1280</v>
      </c>
      <c r="DR270" s="80">
        <v>164</v>
      </c>
      <c r="DS270" s="80">
        <v>90</v>
      </c>
      <c r="DT270" s="80">
        <v>3</v>
      </c>
      <c r="DU270" s="80">
        <v>56</v>
      </c>
      <c r="DV270" s="80">
        <v>28</v>
      </c>
      <c r="DW270" s="80">
        <v>79</v>
      </c>
      <c r="DX270" s="80">
        <v>950</v>
      </c>
    </row>
    <row r="271" spans="1:128" x14ac:dyDescent="0.3">
      <c r="A271" s="2">
        <v>41810</v>
      </c>
      <c r="B271" s="21">
        <f t="shared" si="15"/>
        <v>262</v>
      </c>
      <c r="AJ271" s="10">
        <v>0.43624999999999997</v>
      </c>
      <c r="AK271" s="10">
        <v>1.5350000000000001</v>
      </c>
      <c r="DN271" s="23"/>
      <c r="DO271" s="42">
        <v>512.70000000000005</v>
      </c>
      <c r="DP271" t="s">
        <v>286</v>
      </c>
    </row>
    <row r="272" spans="1:128" x14ac:dyDescent="0.3">
      <c r="A272" s="2">
        <v>41811</v>
      </c>
      <c r="B272" s="21">
        <f t="shared" si="15"/>
        <v>263</v>
      </c>
      <c r="AJ272" s="10">
        <v>0.4383333333333333</v>
      </c>
      <c r="AK272" s="10">
        <v>1.5608333333333333</v>
      </c>
      <c r="DN272" s="23"/>
      <c r="DO272" s="42">
        <v>524.70000000000005</v>
      </c>
      <c r="DP272" t="s">
        <v>286</v>
      </c>
    </row>
    <row r="273" spans="1:128" x14ac:dyDescent="0.3">
      <c r="A273" s="2">
        <v>41812</v>
      </c>
      <c r="B273" s="21">
        <f t="shared" si="15"/>
        <v>264</v>
      </c>
      <c r="AJ273" s="10">
        <v>0.39500000000000002</v>
      </c>
      <c r="AK273" s="10">
        <v>1.5120833333333337</v>
      </c>
      <c r="DN273" s="23"/>
      <c r="DO273" s="42">
        <v>391.8</v>
      </c>
      <c r="DP273" t="s">
        <v>286</v>
      </c>
    </row>
    <row r="274" spans="1:128" x14ac:dyDescent="0.3">
      <c r="A274" s="2">
        <v>41813</v>
      </c>
      <c r="B274" s="21">
        <f t="shared" si="15"/>
        <v>265</v>
      </c>
      <c r="AJ274" s="10">
        <v>0.48249999999999993</v>
      </c>
      <c r="AK274" s="10">
        <v>1.5395833333333335</v>
      </c>
      <c r="DN274" s="23"/>
      <c r="DO274" s="42">
        <v>300.5</v>
      </c>
      <c r="DP274" t="s">
        <v>286</v>
      </c>
    </row>
    <row r="275" spans="1:128" x14ac:dyDescent="0.3">
      <c r="A275" s="2">
        <v>41814</v>
      </c>
      <c r="B275" s="21">
        <f t="shared" si="15"/>
        <v>266</v>
      </c>
      <c r="AJ275" s="10">
        <v>0.58250000000000002</v>
      </c>
      <c r="AK275" s="10">
        <v>1.4820833333333334</v>
      </c>
      <c r="DN275" s="23"/>
      <c r="DO275" s="42">
        <v>382</v>
      </c>
      <c r="DP275" t="s">
        <v>286</v>
      </c>
    </row>
    <row r="276" spans="1:128" x14ac:dyDescent="0.3">
      <c r="A276" s="2">
        <v>41815</v>
      </c>
      <c r="B276" s="21">
        <f t="shared" si="15"/>
        <v>267</v>
      </c>
      <c r="AJ276" s="10">
        <v>0.4333333333333334</v>
      </c>
      <c r="AK276" s="10">
        <v>1.1012500000000001</v>
      </c>
      <c r="DN276" s="23"/>
      <c r="DO276" s="42">
        <v>344.5</v>
      </c>
      <c r="DP276" t="s">
        <v>286</v>
      </c>
      <c r="DQ276" s="80">
        <v>1260</v>
      </c>
      <c r="DR276" s="80">
        <v>156</v>
      </c>
      <c r="DS276" s="80">
        <v>87</v>
      </c>
      <c r="DT276" s="80">
        <v>2.9</v>
      </c>
      <c r="DU276" s="80">
        <v>58</v>
      </c>
      <c r="DV276" s="80">
        <v>31</v>
      </c>
      <c r="DW276" s="80">
        <v>66</v>
      </c>
      <c r="DX276" s="80">
        <v>1000</v>
      </c>
    </row>
    <row r="277" spans="1:128" x14ac:dyDescent="0.3">
      <c r="A277" s="2">
        <v>41816</v>
      </c>
      <c r="B277" s="21">
        <f t="shared" si="15"/>
        <v>268</v>
      </c>
      <c r="AJ277" s="10">
        <v>0.59541666666666659</v>
      </c>
      <c r="AK277" s="10">
        <v>1.39</v>
      </c>
      <c r="DN277" s="23"/>
      <c r="DO277" s="42">
        <v>500</v>
      </c>
      <c r="DP277" t="s">
        <v>286</v>
      </c>
    </row>
    <row r="278" spans="1:128" x14ac:dyDescent="0.3">
      <c r="A278" s="2">
        <v>41817</v>
      </c>
      <c r="B278" s="21">
        <f t="shared" si="15"/>
        <v>269</v>
      </c>
      <c r="AJ278" s="10">
        <v>0.44875000000000004</v>
      </c>
      <c r="AK278" s="10">
        <v>1.0720833333333333</v>
      </c>
      <c r="DN278" s="23"/>
      <c r="DO278" s="42">
        <v>527.79999999999995</v>
      </c>
      <c r="DP278" t="s">
        <v>286</v>
      </c>
    </row>
    <row r="279" spans="1:128" x14ac:dyDescent="0.3">
      <c r="A279" s="2">
        <v>41818</v>
      </c>
      <c r="B279" s="21">
        <f t="shared" si="15"/>
        <v>270</v>
      </c>
      <c r="AJ279" s="10">
        <v>0.44</v>
      </c>
      <c r="AK279" s="10">
        <v>1.4560869565217391</v>
      </c>
      <c r="DN279" s="23"/>
      <c r="DO279" s="42">
        <v>461.7</v>
      </c>
      <c r="DP279" t="s">
        <v>286</v>
      </c>
    </row>
    <row r="280" spans="1:128" x14ac:dyDescent="0.3">
      <c r="A280" s="2">
        <v>41819</v>
      </c>
      <c r="B280" s="21">
        <f t="shared" si="15"/>
        <v>271</v>
      </c>
      <c r="AJ280" s="10">
        <v>0.38458333333333344</v>
      </c>
      <c r="AK280" s="10">
        <v>1.5137499999999999</v>
      </c>
      <c r="DN280" s="23"/>
      <c r="DO280" s="42">
        <v>331.3</v>
      </c>
      <c r="DP280" t="s">
        <v>286</v>
      </c>
    </row>
    <row r="281" spans="1:128" x14ac:dyDescent="0.3">
      <c r="A281" s="2">
        <v>41820</v>
      </c>
      <c r="B281" s="21">
        <f t="shared" si="15"/>
        <v>272</v>
      </c>
      <c r="AJ281" s="10">
        <v>0.31708333333333333</v>
      </c>
      <c r="AK281" s="10">
        <v>1.4145833333333331</v>
      </c>
      <c r="DN281" s="23"/>
      <c r="DO281" s="42">
        <v>256.3</v>
      </c>
      <c r="DP281" t="s">
        <v>286</v>
      </c>
    </row>
    <row r="282" spans="1:128" x14ac:dyDescent="0.3">
      <c r="A282" s="2">
        <v>41821</v>
      </c>
      <c r="B282" s="21">
        <f t="shared" si="15"/>
        <v>273</v>
      </c>
      <c r="AJ282" s="10">
        <v>0.30708333333333332</v>
      </c>
      <c r="AK282" s="10">
        <v>1.5108333333333335</v>
      </c>
      <c r="DN282" s="23"/>
      <c r="DO282" s="42">
        <v>301.5</v>
      </c>
      <c r="DP282" t="s">
        <v>286</v>
      </c>
      <c r="DQ282" s="80">
        <v>1220</v>
      </c>
      <c r="DR282" s="80">
        <v>152</v>
      </c>
      <c r="DS282" s="80">
        <v>92</v>
      </c>
      <c r="DT282" s="80">
        <v>3.5</v>
      </c>
      <c r="DU282" s="80">
        <v>56</v>
      </c>
      <c r="DV282" s="80">
        <v>36</v>
      </c>
      <c r="DW282" s="80">
        <v>85</v>
      </c>
      <c r="DX282" s="80">
        <v>1300</v>
      </c>
    </row>
    <row r="283" spans="1:128" x14ac:dyDescent="0.3">
      <c r="A283" s="62">
        <v>41822</v>
      </c>
      <c r="B283" s="21">
        <f t="shared" si="15"/>
        <v>274</v>
      </c>
      <c r="C283" s="4" t="s">
        <v>265</v>
      </c>
      <c r="AJ283" s="10">
        <v>0.33708333333333335</v>
      </c>
      <c r="AK283" s="10">
        <v>1.3725000000000003</v>
      </c>
      <c r="DN283" s="23"/>
      <c r="DO283" s="42">
        <v>237</v>
      </c>
      <c r="DP283" t="s">
        <v>286</v>
      </c>
    </row>
    <row r="284" spans="1:128" x14ac:dyDescent="0.3">
      <c r="A284" s="2">
        <v>41823</v>
      </c>
      <c r="B284" s="21">
        <f t="shared" si="15"/>
        <v>275</v>
      </c>
      <c r="AJ284" s="10">
        <v>0.4054166666666667</v>
      </c>
      <c r="AK284" s="10">
        <v>1.5720833333333337</v>
      </c>
      <c r="DN284" s="23"/>
      <c r="DO284" s="42">
        <v>234</v>
      </c>
      <c r="DP284" t="s">
        <v>286</v>
      </c>
    </row>
    <row r="285" spans="1:128" x14ac:dyDescent="0.3">
      <c r="A285" s="2">
        <v>41824</v>
      </c>
      <c r="B285" s="21">
        <f t="shared" si="15"/>
        <v>276</v>
      </c>
      <c r="AJ285" s="10">
        <v>0.41958333333333336</v>
      </c>
      <c r="AK285" s="10">
        <v>1.4949999999999999</v>
      </c>
      <c r="DN285" s="23"/>
      <c r="DO285" s="42">
        <v>474.8</v>
      </c>
      <c r="DP285" t="s">
        <v>286</v>
      </c>
    </row>
    <row r="286" spans="1:128" x14ac:dyDescent="0.3">
      <c r="A286" s="2">
        <v>41825</v>
      </c>
      <c r="B286" s="21">
        <f t="shared" si="15"/>
        <v>277</v>
      </c>
      <c r="AJ286" s="10">
        <v>0.35958333333333337</v>
      </c>
      <c r="AK286" s="10">
        <v>1.6345833333333335</v>
      </c>
      <c r="DN286" s="23"/>
      <c r="DO286" s="42">
        <v>145.5</v>
      </c>
      <c r="DP286" t="s">
        <v>286</v>
      </c>
    </row>
    <row r="287" spans="1:128" x14ac:dyDescent="0.3">
      <c r="A287" s="2">
        <v>41826</v>
      </c>
      <c r="B287" s="21">
        <f t="shared" si="15"/>
        <v>278</v>
      </c>
      <c r="AJ287" s="10">
        <v>0.3158333333333333</v>
      </c>
      <c r="AK287" s="10">
        <v>1.4816666666666671</v>
      </c>
      <c r="DN287" s="23"/>
      <c r="DO287" s="42">
        <v>232</v>
      </c>
      <c r="DP287" t="s">
        <v>286</v>
      </c>
    </row>
    <row r="288" spans="1:128" x14ac:dyDescent="0.3">
      <c r="A288" s="2">
        <v>41827</v>
      </c>
      <c r="B288" s="21">
        <f t="shared" si="15"/>
        <v>279</v>
      </c>
      <c r="AJ288" s="10">
        <v>0.42625000000000002</v>
      </c>
      <c r="AK288" s="10">
        <v>1.5554166666666667</v>
      </c>
      <c r="DN288" s="23"/>
      <c r="DO288" s="42">
        <v>349</v>
      </c>
      <c r="DP288" t="s">
        <v>286</v>
      </c>
      <c r="DQ288" s="80">
        <v>1190</v>
      </c>
      <c r="DR288" s="80">
        <v>137</v>
      </c>
      <c r="DS288" s="80">
        <v>78</v>
      </c>
      <c r="DT288" s="80">
        <v>4.7</v>
      </c>
      <c r="DU288" s="80">
        <v>48</v>
      </c>
      <c r="DV288" s="80">
        <v>31</v>
      </c>
      <c r="DW288" s="80">
        <v>73</v>
      </c>
      <c r="DX288" s="80">
        <v>790</v>
      </c>
    </row>
    <row r="289" spans="1:128" x14ac:dyDescent="0.3">
      <c r="A289" s="2">
        <v>41828</v>
      </c>
      <c r="B289" s="21">
        <f t="shared" si="15"/>
        <v>280</v>
      </c>
      <c r="AJ289" s="10">
        <v>0.37208333333333332</v>
      </c>
      <c r="AK289" s="10">
        <v>1.582083333333334</v>
      </c>
      <c r="DN289" s="23"/>
      <c r="DO289" s="42">
        <v>498.1</v>
      </c>
      <c r="DP289" t="s">
        <v>286</v>
      </c>
    </row>
    <row r="290" spans="1:128" x14ac:dyDescent="0.3">
      <c r="A290" s="2">
        <v>41829</v>
      </c>
      <c r="B290" s="21">
        <f t="shared" si="15"/>
        <v>281</v>
      </c>
      <c r="AJ290" s="10">
        <v>0.44041666666666668</v>
      </c>
      <c r="AK290" s="10">
        <v>1.4112500000000001</v>
      </c>
      <c r="DN290" s="23"/>
      <c r="DO290" s="42">
        <v>495.7</v>
      </c>
      <c r="DP290" t="s">
        <v>286</v>
      </c>
    </row>
    <row r="291" spans="1:128" x14ac:dyDescent="0.3">
      <c r="A291" s="2">
        <v>41830</v>
      </c>
      <c r="B291" s="21">
        <f t="shared" si="15"/>
        <v>282</v>
      </c>
      <c r="AJ291" s="10">
        <v>0.37333333333333335</v>
      </c>
      <c r="AK291" s="10">
        <v>1.11625</v>
      </c>
      <c r="DN291" s="23"/>
      <c r="DO291" s="42">
        <v>486</v>
      </c>
      <c r="DP291" t="s">
        <v>286</v>
      </c>
    </row>
    <row r="292" spans="1:128" x14ac:dyDescent="0.3">
      <c r="A292" s="2">
        <v>41831</v>
      </c>
      <c r="B292" s="21">
        <f t="shared" si="15"/>
        <v>283</v>
      </c>
      <c r="AJ292" s="10">
        <v>0.3808333333333333</v>
      </c>
      <c r="AK292" s="10">
        <v>1.1783333333333335</v>
      </c>
      <c r="DN292" s="23"/>
      <c r="DO292" s="42">
        <v>506</v>
      </c>
      <c r="DP292" t="s">
        <v>286</v>
      </c>
    </row>
    <row r="293" spans="1:128" x14ac:dyDescent="0.3">
      <c r="A293" s="2">
        <v>41832</v>
      </c>
      <c r="B293" s="21">
        <f t="shared" si="15"/>
        <v>284</v>
      </c>
      <c r="AJ293" s="10">
        <v>0.53291666666666671</v>
      </c>
      <c r="AK293" s="10">
        <v>1.1662500000000002</v>
      </c>
      <c r="DN293" s="23"/>
      <c r="DO293" s="42">
        <v>508.3</v>
      </c>
      <c r="DP293" t="s">
        <v>286</v>
      </c>
    </row>
    <row r="294" spans="1:128" x14ac:dyDescent="0.3">
      <c r="A294" s="2">
        <v>41833</v>
      </c>
      <c r="B294" s="21">
        <f t="shared" si="15"/>
        <v>285</v>
      </c>
      <c r="AJ294" s="10">
        <v>0.5625</v>
      </c>
      <c r="AK294" s="10">
        <v>1.2774999999999999</v>
      </c>
      <c r="DN294" s="23"/>
      <c r="DO294" s="42">
        <v>411.4</v>
      </c>
      <c r="DP294" t="s">
        <v>286</v>
      </c>
    </row>
    <row r="295" spans="1:128" x14ac:dyDescent="0.3">
      <c r="A295" s="2">
        <v>41834</v>
      </c>
      <c r="B295" s="21">
        <f t="shared" si="15"/>
        <v>286</v>
      </c>
      <c r="AJ295" s="10">
        <v>0.33874999999999988</v>
      </c>
      <c r="AK295" s="10">
        <v>0.89083333333333325</v>
      </c>
      <c r="DN295" s="23"/>
      <c r="DO295" s="42">
        <v>268.3</v>
      </c>
      <c r="DP295" t="s">
        <v>286</v>
      </c>
      <c r="DQ295" s="80">
        <v>2990</v>
      </c>
      <c r="DR295" s="80">
        <v>342</v>
      </c>
      <c r="DS295" s="80">
        <v>160</v>
      </c>
      <c r="DT295" s="80">
        <v>1.3</v>
      </c>
      <c r="DU295" s="80">
        <v>74</v>
      </c>
      <c r="DV295" s="80">
        <v>29</v>
      </c>
      <c r="DW295" s="80">
        <v>130</v>
      </c>
      <c r="DX295" s="80">
        <v>2900</v>
      </c>
    </row>
    <row r="296" spans="1:128" x14ac:dyDescent="0.3">
      <c r="A296" s="2">
        <v>41835</v>
      </c>
      <c r="B296" s="21">
        <f t="shared" si="15"/>
        <v>287</v>
      </c>
      <c r="AJ296" s="10">
        <v>0.80125000000000013</v>
      </c>
      <c r="AK296" s="10">
        <v>1.4904166666666667</v>
      </c>
      <c r="DN296" s="23"/>
      <c r="DO296" s="42">
        <v>557.29999999999995</v>
      </c>
      <c r="DP296" t="s">
        <v>286</v>
      </c>
    </row>
    <row r="297" spans="1:128" x14ac:dyDescent="0.3">
      <c r="A297" s="2">
        <v>41836</v>
      </c>
      <c r="B297" s="21">
        <f t="shared" si="15"/>
        <v>288</v>
      </c>
      <c r="AJ297" s="10">
        <v>0.74083333333333334</v>
      </c>
      <c r="AK297" s="10">
        <v>1.4270833333333333</v>
      </c>
      <c r="DN297" s="23"/>
      <c r="DO297" s="42">
        <v>461.7</v>
      </c>
      <c r="DP297" t="s">
        <v>286</v>
      </c>
    </row>
    <row r="298" spans="1:128" x14ac:dyDescent="0.3">
      <c r="A298" s="2">
        <v>41837</v>
      </c>
      <c r="B298" s="21">
        <f t="shared" si="15"/>
        <v>289</v>
      </c>
      <c r="AJ298" s="10">
        <v>0.34249999999999997</v>
      </c>
      <c r="AK298" s="10">
        <v>1.2962499999999999</v>
      </c>
      <c r="DN298" s="23"/>
      <c r="DO298" s="42">
        <v>473.5</v>
      </c>
      <c r="DP298" t="s">
        <v>286</v>
      </c>
    </row>
    <row r="299" spans="1:128" x14ac:dyDescent="0.3">
      <c r="A299" s="2">
        <v>41838</v>
      </c>
      <c r="B299" s="21">
        <f t="shared" si="15"/>
        <v>290</v>
      </c>
      <c r="AJ299" s="10">
        <v>0.21250000000000002</v>
      </c>
      <c r="AK299" s="10">
        <v>1.1883333333333332</v>
      </c>
      <c r="DN299" s="23"/>
      <c r="DO299" s="42">
        <v>510.8</v>
      </c>
      <c r="DP299" t="s">
        <v>286</v>
      </c>
    </row>
    <row r="300" spans="1:128" x14ac:dyDescent="0.3">
      <c r="A300" s="2">
        <v>41839</v>
      </c>
      <c r="B300" s="21">
        <f t="shared" si="15"/>
        <v>291</v>
      </c>
      <c r="AJ300" s="10">
        <v>0.21208333333333329</v>
      </c>
      <c r="AK300" s="10">
        <v>1.5691666666666666</v>
      </c>
      <c r="DN300" s="23"/>
      <c r="DO300" s="42">
        <v>436.2</v>
      </c>
      <c r="DP300" t="s">
        <v>286</v>
      </c>
      <c r="DQ300" s="80">
        <v>1000</v>
      </c>
      <c r="DR300" s="80">
        <v>183</v>
      </c>
      <c r="DS300" s="80">
        <v>120</v>
      </c>
      <c r="DT300" s="80">
        <v>4.5</v>
      </c>
      <c r="DU300" s="80">
        <v>85</v>
      </c>
      <c r="DV300" s="80">
        <v>29</v>
      </c>
      <c r="DW300" s="80">
        <v>60</v>
      </c>
      <c r="DX300" s="80">
        <v>730</v>
      </c>
    </row>
    <row r="301" spans="1:128" x14ac:dyDescent="0.3">
      <c r="A301" s="2">
        <v>41840</v>
      </c>
      <c r="B301" s="21">
        <f t="shared" si="15"/>
        <v>292</v>
      </c>
      <c r="AJ301" s="10">
        <v>8.8750000000000037E-2</v>
      </c>
      <c r="AK301" s="10">
        <v>1.8825000000000003</v>
      </c>
      <c r="DN301" s="23"/>
      <c r="DO301" s="42">
        <v>374.5</v>
      </c>
      <c r="DP301" t="s">
        <v>286</v>
      </c>
    </row>
    <row r="302" spans="1:128" x14ac:dyDescent="0.3">
      <c r="A302" s="2">
        <v>41841</v>
      </c>
      <c r="B302" s="21">
        <f t="shared" si="15"/>
        <v>293</v>
      </c>
      <c r="AJ302" s="10">
        <v>0.11833333333333336</v>
      </c>
      <c r="AK302" s="10">
        <v>1.4858333333333331</v>
      </c>
      <c r="DN302" s="23"/>
      <c r="DO302" s="42">
        <v>222</v>
      </c>
      <c r="DP302" t="s">
        <v>286</v>
      </c>
    </row>
    <row r="303" spans="1:128" x14ac:dyDescent="0.3">
      <c r="A303" s="2">
        <v>41842</v>
      </c>
      <c r="B303" s="21">
        <f t="shared" si="15"/>
        <v>294</v>
      </c>
      <c r="AJ303" s="10">
        <v>0.45541666666666675</v>
      </c>
      <c r="AK303" s="10">
        <v>2.2241666666666671</v>
      </c>
      <c r="DN303" s="23"/>
      <c r="DO303" s="42">
        <v>341.3</v>
      </c>
      <c r="DP303" t="s">
        <v>286</v>
      </c>
    </row>
    <row r="304" spans="1:128" x14ac:dyDescent="0.3">
      <c r="A304" s="2">
        <v>41843</v>
      </c>
      <c r="B304" s="21">
        <f t="shared" si="15"/>
        <v>295</v>
      </c>
      <c r="AJ304" s="10">
        <v>0.31208333333333327</v>
      </c>
      <c r="AK304" s="10">
        <v>0.86708333333333343</v>
      </c>
      <c r="DN304" s="23"/>
      <c r="DO304" s="42">
        <v>494.7</v>
      </c>
      <c r="DP304" t="s">
        <v>286</v>
      </c>
    </row>
    <row r="305" spans="1:128" x14ac:dyDescent="0.3">
      <c r="A305" s="2">
        <v>41844</v>
      </c>
      <c r="B305" s="21">
        <f t="shared" si="15"/>
        <v>296</v>
      </c>
      <c r="AJ305" s="10">
        <v>0.46166666666666667</v>
      </c>
      <c r="AK305" s="10">
        <v>1.4108333333333334</v>
      </c>
      <c r="DN305" s="23"/>
      <c r="DO305" s="42">
        <v>519</v>
      </c>
      <c r="DP305" t="s">
        <v>286</v>
      </c>
    </row>
    <row r="306" spans="1:128" x14ac:dyDescent="0.3">
      <c r="A306" s="2">
        <v>41845</v>
      </c>
      <c r="B306" s="21">
        <f t="shared" si="15"/>
        <v>297</v>
      </c>
      <c r="AJ306" s="10">
        <v>0.37916666666666665</v>
      </c>
      <c r="AK306" s="10">
        <v>1.2545833333333334</v>
      </c>
      <c r="DN306" s="23"/>
      <c r="DO306" s="42">
        <v>443.5</v>
      </c>
      <c r="DP306" t="s">
        <v>286</v>
      </c>
      <c r="DQ306" s="80">
        <v>970</v>
      </c>
      <c r="DR306" s="80">
        <v>172</v>
      </c>
      <c r="DS306" s="80">
        <v>110</v>
      </c>
      <c r="DT306" s="80">
        <v>6</v>
      </c>
      <c r="DU306" s="80">
        <v>78</v>
      </c>
      <c r="DV306" s="80">
        <v>35</v>
      </c>
      <c r="DW306" s="80">
        <v>62</v>
      </c>
      <c r="DX306" s="80">
        <v>750</v>
      </c>
    </row>
    <row r="307" spans="1:128" x14ac:dyDescent="0.3">
      <c r="A307" s="2">
        <v>41846</v>
      </c>
      <c r="B307" s="21">
        <f t="shared" si="15"/>
        <v>298</v>
      </c>
      <c r="AJ307" s="10">
        <v>0.52750000000000008</v>
      </c>
      <c r="AK307" s="10">
        <v>1.638333333333333</v>
      </c>
      <c r="DN307" s="23"/>
      <c r="DO307" s="42">
        <v>208</v>
      </c>
      <c r="DP307" t="s">
        <v>286</v>
      </c>
    </row>
    <row r="308" spans="1:128" x14ac:dyDescent="0.3">
      <c r="A308" s="2">
        <v>41847</v>
      </c>
      <c r="B308" s="21">
        <f t="shared" si="15"/>
        <v>299</v>
      </c>
      <c r="AJ308" s="10">
        <v>0.44583333333333336</v>
      </c>
      <c r="AK308" s="10">
        <v>1.4829166666666664</v>
      </c>
      <c r="DN308" s="23"/>
      <c r="DO308" s="42">
        <v>250.5</v>
      </c>
      <c r="DP308" t="s">
        <v>286</v>
      </c>
    </row>
    <row r="309" spans="1:128" x14ac:dyDescent="0.3">
      <c r="A309" s="2">
        <v>41848</v>
      </c>
      <c r="B309" s="21">
        <f t="shared" si="15"/>
        <v>300</v>
      </c>
      <c r="AJ309" s="10">
        <v>0.37958333333333333</v>
      </c>
      <c r="AK309" s="10">
        <v>1.4758333333333333</v>
      </c>
      <c r="DN309" s="23"/>
      <c r="DO309" s="42">
        <v>297.8</v>
      </c>
      <c r="DP309" t="s">
        <v>286</v>
      </c>
    </row>
    <row r="310" spans="1:128" x14ac:dyDescent="0.3">
      <c r="A310" s="2">
        <v>41849</v>
      </c>
      <c r="B310" s="21">
        <f t="shared" si="15"/>
        <v>301</v>
      </c>
      <c r="AJ310" s="10">
        <v>0.58499999999999985</v>
      </c>
      <c r="AK310" s="10">
        <v>1.55375</v>
      </c>
      <c r="DN310" s="23"/>
      <c r="DO310" s="42">
        <v>476.6</v>
      </c>
      <c r="DP310" t="s">
        <v>286</v>
      </c>
    </row>
    <row r="311" spans="1:128" x14ac:dyDescent="0.3">
      <c r="A311" s="2">
        <v>41850</v>
      </c>
      <c r="B311" s="21">
        <f t="shared" si="15"/>
        <v>302</v>
      </c>
      <c r="AJ311" s="10">
        <v>1.0420833333333333</v>
      </c>
      <c r="AK311" s="10">
        <v>1.562916666666667</v>
      </c>
      <c r="DN311" s="23"/>
      <c r="DO311" s="42">
        <v>520.29999999999995</v>
      </c>
      <c r="DP311" t="s">
        <v>286</v>
      </c>
    </row>
    <row r="312" spans="1:128" x14ac:dyDescent="0.3">
      <c r="A312" s="2">
        <v>41851</v>
      </c>
      <c r="B312" s="21">
        <f t="shared" si="15"/>
        <v>303</v>
      </c>
      <c r="AJ312" s="10">
        <v>0.59166666666666656</v>
      </c>
      <c r="AK312" s="10">
        <v>1.6479166666666669</v>
      </c>
      <c r="DN312" s="23"/>
      <c r="DO312">
        <v>529</v>
      </c>
      <c r="DP312" t="s">
        <v>286</v>
      </c>
      <c r="DQ312" s="80">
        <v>720</v>
      </c>
      <c r="DR312" s="80">
        <v>162</v>
      </c>
      <c r="DS312" s="80">
        <v>130</v>
      </c>
      <c r="DT312" s="80">
        <v>3.3</v>
      </c>
      <c r="DU312" s="80">
        <v>76</v>
      </c>
      <c r="DV312" s="80">
        <v>33</v>
      </c>
      <c r="DW312" s="80">
        <v>53</v>
      </c>
      <c r="DX312" s="80">
        <v>510</v>
      </c>
    </row>
    <row r="313" spans="1:128" x14ac:dyDescent="0.3">
      <c r="A313" s="2"/>
    </row>
    <row r="314" spans="1:128" x14ac:dyDescent="0.3">
      <c r="A314" s="2"/>
    </row>
    <row r="315" spans="1:128" x14ac:dyDescent="0.3">
      <c r="A315" s="2"/>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01"/>
  <sheetViews>
    <sheetView zoomScale="70" zoomScaleNormal="70" workbookViewId="0">
      <pane xSplit="1" ySplit="8" topLeftCell="E213" activePane="bottomRight" state="frozen"/>
      <selection pane="topRight" activeCell="B1" sqref="B1"/>
      <selection pane="bottomLeft" activeCell="A8" sqref="A8"/>
      <selection pane="bottomRight" activeCell="F47" sqref="F47"/>
    </sheetView>
  </sheetViews>
  <sheetFormatPr baseColWidth="10" defaultColWidth="8.88671875" defaultRowHeight="14.4" x14ac:dyDescent="0.3"/>
  <cols>
    <col min="1" max="1" width="11.5546875" bestFit="1" customWidth="1"/>
    <col min="2" max="2" width="12" bestFit="1" customWidth="1"/>
    <col min="3" max="3" width="17.33203125" customWidth="1"/>
    <col min="4" max="4" width="18.33203125" customWidth="1"/>
    <col min="5" max="5" width="13.109375" customWidth="1"/>
    <col min="6" max="6" width="15.88671875" style="24" customWidth="1"/>
    <col min="7" max="7" width="16.5546875" style="21" customWidth="1"/>
    <col min="8" max="8" width="25.5546875" customWidth="1"/>
    <col min="9" max="9" width="14" customWidth="1"/>
    <col min="10" max="10" width="13.33203125" customWidth="1"/>
    <col min="11" max="11" width="7.33203125" style="23" customWidth="1"/>
    <col min="12" max="12" width="12" bestFit="1" customWidth="1"/>
    <col min="18" max="18" width="13.33203125" bestFit="1" customWidth="1"/>
    <col min="20" max="20" width="14.109375" customWidth="1"/>
    <col min="21" max="21" width="11.5546875" bestFit="1" customWidth="1"/>
    <col min="25" max="27" width="11.5546875" bestFit="1" customWidth="1"/>
    <col min="29" max="30" width="11.5546875" bestFit="1" customWidth="1"/>
    <col min="33" max="33" width="13.33203125" bestFit="1" customWidth="1"/>
  </cols>
  <sheetData>
    <row r="1" spans="1:38" x14ac:dyDescent="0.3">
      <c r="A1" s="1" t="s">
        <v>110</v>
      </c>
      <c r="B1" t="s">
        <v>141</v>
      </c>
    </row>
    <row r="2" spans="1:38" x14ac:dyDescent="0.3">
      <c r="A2" s="1"/>
      <c r="B2" s="94" t="s">
        <v>137</v>
      </c>
      <c r="C2" s="94"/>
      <c r="D2" s="94"/>
      <c r="E2" s="94"/>
      <c r="F2" s="94"/>
      <c r="G2" s="94"/>
      <c r="H2" s="94"/>
      <c r="I2" s="94"/>
      <c r="J2" s="94"/>
      <c r="K2" s="95"/>
      <c r="L2" s="96" t="s">
        <v>138</v>
      </c>
      <c r="M2" s="97"/>
      <c r="N2" s="97"/>
      <c r="O2" s="97"/>
      <c r="P2" s="97"/>
      <c r="Q2" s="97"/>
      <c r="R2" s="97"/>
      <c r="S2" s="97"/>
      <c r="T2" s="97"/>
      <c r="U2" s="97"/>
      <c r="V2" s="97"/>
    </row>
    <row r="3" spans="1:38" x14ac:dyDescent="0.3">
      <c r="A3" s="1"/>
      <c r="B3" t="s">
        <v>135</v>
      </c>
      <c r="C3" t="s">
        <v>174</v>
      </c>
      <c r="D3" t="s">
        <v>175</v>
      </c>
      <c r="E3" t="s">
        <v>115</v>
      </c>
      <c r="F3" s="24" t="s">
        <v>115</v>
      </c>
      <c r="G3" s="21" t="s">
        <v>173</v>
      </c>
      <c r="H3" t="s">
        <v>226</v>
      </c>
      <c r="I3" t="s">
        <v>224</v>
      </c>
      <c r="J3" t="s">
        <v>223</v>
      </c>
      <c r="L3" t="s">
        <v>135</v>
      </c>
      <c r="M3" t="s">
        <v>139</v>
      </c>
      <c r="N3" t="s">
        <v>140</v>
      </c>
      <c r="O3" t="s">
        <v>115</v>
      </c>
      <c r="P3" t="s">
        <v>115</v>
      </c>
      <c r="R3" t="s">
        <v>116</v>
      </c>
      <c r="S3" t="s">
        <v>226</v>
      </c>
      <c r="T3" t="s">
        <v>224</v>
      </c>
      <c r="U3" t="s">
        <v>223</v>
      </c>
    </row>
    <row r="4" spans="1:38" x14ac:dyDescent="0.3">
      <c r="A4" s="1"/>
      <c r="B4" t="s">
        <v>114</v>
      </c>
      <c r="C4" t="s">
        <v>33</v>
      </c>
      <c r="D4" t="s">
        <v>33</v>
      </c>
      <c r="E4" t="s">
        <v>168</v>
      </c>
      <c r="F4" s="24" t="s">
        <v>171</v>
      </c>
      <c r="G4" s="21" t="s">
        <v>122</v>
      </c>
      <c r="H4" s="40" t="s">
        <v>194</v>
      </c>
      <c r="I4" s="19" t="s">
        <v>225</v>
      </c>
      <c r="J4" s="19" t="s">
        <v>222</v>
      </c>
      <c r="K4" s="57"/>
      <c r="L4" t="s">
        <v>114</v>
      </c>
      <c r="M4" t="s">
        <v>33</v>
      </c>
      <c r="N4" t="s">
        <v>33</v>
      </c>
      <c r="O4" t="s">
        <v>168</v>
      </c>
      <c r="P4" t="s">
        <v>171</v>
      </c>
      <c r="R4" t="s">
        <v>15</v>
      </c>
      <c r="S4" s="40" t="s">
        <v>194</v>
      </c>
      <c r="T4" s="19" t="s">
        <v>225</v>
      </c>
      <c r="U4" t="s">
        <v>222</v>
      </c>
    </row>
    <row r="5" spans="1:38" x14ac:dyDescent="0.3">
      <c r="A5" s="1"/>
      <c r="B5" t="s">
        <v>136</v>
      </c>
      <c r="C5" t="s">
        <v>144</v>
      </c>
      <c r="D5" t="s">
        <v>144</v>
      </c>
      <c r="E5" t="s">
        <v>169</v>
      </c>
      <c r="G5" t="s">
        <v>240</v>
      </c>
      <c r="H5" t="s">
        <v>236</v>
      </c>
      <c r="I5" t="s">
        <v>239</v>
      </c>
      <c r="J5" t="s">
        <v>238</v>
      </c>
      <c r="L5" t="s">
        <v>136</v>
      </c>
      <c r="M5" t="s">
        <v>143</v>
      </c>
      <c r="N5" t="s">
        <v>143</v>
      </c>
      <c r="O5" t="s">
        <v>169</v>
      </c>
      <c r="S5" t="s">
        <v>236</v>
      </c>
      <c r="T5" t="s">
        <v>237</v>
      </c>
      <c r="U5" t="s">
        <v>238</v>
      </c>
    </row>
    <row r="6" spans="1:38" x14ac:dyDescent="0.3">
      <c r="A6" s="1"/>
      <c r="E6" t="s">
        <v>170</v>
      </c>
      <c r="F6" s="24" t="s">
        <v>172</v>
      </c>
      <c r="O6" t="s">
        <v>170</v>
      </c>
      <c r="P6" t="s">
        <v>172</v>
      </c>
    </row>
    <row r="8" spans="1:38" x14ac:dyDescent="0.3">
      <c r="A8" s="38" t="s">
        <v>110</v>
      </c>
      <c r="B8" s="38"/>
      <c r="C8" s="38"/>
      <c r="D8" s="38"/>
      <c r="E8" s="38"/>
      <c r="F8" s="56"/>
      <c r="L8" s="38"/>
      <c r="M8" s="38"/>
      <c r="N8" s="38"/>
      <c r="O8" s="38"/>
      <c r="P8" s="38"/>
      <c r="Q8" s="38"/>
      <c r="S8" s="38"/>
      <c r="T8" s="38"/>
      <c r="U8" s="38"/>
      <c r="V8" s="38"/>
      <c r="W8" s="38"/>
      <c r="X8" s="38"/>
      <c r="Y8" s="38"/>
      <c r="Z8" s="38"/>
      <c r="AA8" s="38"/>
      <c r="AB8" s="38"/>
      <c r="AC8" s="38"/>
      <c r="AD8" s="38"/>
      <c r="AE8" s="38"/>
      <c r="AF8" s="38"/>
      <c r="AG8" s="38"/>
      <c r="AH8" s="38"/>
      <c r="AI8" s="38"/>
      <c r="AJ8" s="38"/>
      <c r="AK8" s="38"/>
      <c r="AL8" s="38"/>
    </row>
    <row r="9" spans="1:38" x14ac:dyDescent="0.3">
      <c r="A9" s="2">
        <v>41548</v>
      </c>
    </row>
    <row r="10" spans="1:38" x14ac:dyDescent="0.3">
      <c r="A10" s="2">
        <v>41549</v>
      </c>
    </row>
    <row r="11" spans="1:38" x14ac:dyDescent="0.3">
      <c r="A11" s="2">
        <v>41550</v>
      </c>
    </row>
    <row r="12" spans="1:38" x14ac:dyDescent="0.3">
      <c r="A12" s="2">
        <v>41551</v>
      </c>
    </row>
    <row r="13" spans="1:38" x14ac:dyDescent="0.3">
      <c r="A13" s="2">
        <v>41552</v>
      </c>
    </row>
    <row r="14" spans="1:38" x14ac:dyDescent="0.3">
      <c r="A14" s="2">
        <v>41553</v>
      </c>
      <c r="AA14" s="2"/>
    </row>
    <row r="15" spans="1:38" x14ac:dyDescent="0.3">
      <c r="A15" s="2">
        <v>41554</v>
      </c>
      <c r="AA15" s="2"/>
    </row>
    <row r="16" spans="1:38" x14ac:dyDescent="0.3">
      <c r="A16" s="2">
        <v>41555</v>
      </c>
      <c r="AA16" s="2"/>
    </row>
    <row r="17" spans="1:27" x14ac:dyDescent="0.3">
      <c r="A17" s="2">
        <v>41556</v>
      </c>
      <c r="H17">
        <v>45.124992000000006</v>
      </c>
      <c r="I17">
        <v>42.279053857174901</v>
      </c>
      <c r="S17">
        <v>79.409351999999998</v>
      </c>
      <c r="T17">
        <v>35.027141733168477</v>
      </c>
      <c r="AA17" s="2"/>
    </row>
    <row r="18" spans="1:27" x14ac:dyDescent="0.3">
      <c r="A18" s="2">
        <v>41557</v>
      </c>
      <c r="AA18" s="2"/>
    </row>
    <row r="19" spans="1:27" x14ac:dyDescent="0.3">
      <c r="A19" s="2">
        <v>41558</v>
      </c>
      <c r="AA19" s="2"/>
    </row>
    <row r="20" spans="1:27" x14ac:dyDescent="0.3">
      <c r="A20" s="2">
        <v>41559</v>
      </c>
      <c r="AA20" s="2"/>
    </row>
    <row r="21" spans="1:27" x14ac:dyDescent="0.3">
      <c r="A21" s="2">
        <v>41560</v>
      </c>
      <c r="AA21" s="2"/>
    </row>
    <row r="22" spans="1:27" x14ac:dyDescent="0.3">
      <c r="A22" s="2">
        <v>41561</v>
      </c>
      <c r="AA22" s="2"/>
    </row>
    <row r="23" spans="1:27" x14ac:dyDescent="0.3">
      <c r="A23" s="2">
        <v>41562</v>
      </c>
      <c r="AA23" s="2"/>
    </row>
    <row r="24" spans="1:27" x14ac:dyDescent="0.3">
      <c r="A24" s="2">
        <v>41563</v>
      </c>
      <c r="C24">
        <v>8.7133333333335141</v>
      </c>
      <c r="D24">
        <v>6.2700000000000715</v>
      </c>
      <c r="G24" s="21">
        <v>4.1239333898200004</v>
      </c>
      <c r="H24">
        <v>50.668992000000003</v>
      </c>
      <c r="I24">
        <v>47.044842773584541</v>
      </c>
      <c r="S24">
        <v>98.663443999999998</v>
      </c>
      <c r="T24">
        <v>35.434653181233109</v>
      </c>
      <c r="U24">
        <v>11.030000000000001</v>
      </c>
      <c r="AA24" s="2"/>
    </row>
    <row r="25" spans="1:27" x14ac:dyDescent="0.3">
      <c r="A25" s="2">
        <v>41564</v>
      </c>
      <c r="M25">
        <v>2.4566666666668624</v>
      </c>
      <c r="N25">
        <v>1.6366666666668788</v>
      </c>
      <c r="Z25" s="2"/>
    </row>
    <row r="26" spans="1:27" x14ac:dyDescent="0.3">
      <c r="A26" s="2">
        <v>41565</v>
      </c>
      <c r="Z26" s="2"/>
    </row>
    <row r="27" spans="1:27" x14ac:dyDescent="0.3">
      <c r="A27" s="2">
        <v>41566</v>
      </c>
      <c r="Z27" s="2"/>
    </row>
    <row r="28" spans="1:27" x14ac:dyDescent="0.3">
      <c r="A28" s="2">
        <v>41567</v>
      </c>
      <c r="Z28" s="2"/>
    </row>
    <row r="29" spans="1:27" x14ac:dyDescent="0.3">
      <c r="A29" s="2">
        <v>41568</v>
      </c>
      <c r="Z29" s="2"/>
    </row>
    <row r="30" spans="1:27" x14ac:dyDescent="0.3">
      <c r="A30" s="2">
        <v>41569</v>
      </c>
      <c r="Z30" s="2"/>
    </row>
    <row r="31" spans="1:27" x14ac:dyDescent="0.3">
      <c r="A31" s="2">
        <v>41570</v>
      </c>
      <c r="C31">
        <v>10.526666666666529</v>
      </c>
      <c r="D31">
        <v>7.7333333333331922</v>
      </c>
      <c r="G31" s="21">
        <v>2.7019997021300002</v>
      </c>
      <c r="H31">
        <v>68.931632000000008</v>
      </c>
      <c r="I31">
        <v>46.194725448941618</v>
      </c>
      <c r="J31">
        <v>17.510000000000005</v>
      </c>
      <c r="S31">
        <v>98.409124000000006</v>
      </c>
      <c r="T31">
        <v>33.654095460808399</v>
      </c>
      <c r="U31">
        <v>9.5699999999999932</v>
      </c>
    </row>
    <row r="32" spans="1:27" x14ac:dyDescent="0.3">
      <c r="A32" s="2">
        <v>41571</v>
      </c>
      <c r="M32">
        <v>4.1866666666666204</v>
      </c>
      <c r="N32">
        <v>3.0100000000000904</v>
      </c>
    </row>
    <row r="33" spans="1:21" x14ac:dyDescent="0.3">
      <c r="A33" s="2">
        <v>41572</v>
      </c>
    </row>
    <row r="34" spans="1:21" x14ac:dyDescent="0.3">
      <c r="A34" s="2">
        <v>41573</v>
      </c>
    </row>
    <row r="35" spans="1:21" x14ac:dyDescent="0.3">
      <c r="A35" s="2">
        <v>41574</v>
      </c>
    </row>
    <row r="36" spans="1:21" x14ac:dyDescent="0.3">
      <c r="A36" s="2">
        <v>41575</v>
      </c>
    </row>
    <row r="37" spans="1:21" x14ac:dyDescent="0.3">
      <c r="A37" s="2">
        <v>41576</v>
      </c>
    </row>
    <row r="38" spans="1:21" x14ac:dyDescent="0.3">
      <c r="A38" s="2">
        <v>41577</v>
      </c>
      <c r="H38">
        <v>56.437722000000001</v>
      </c>
      <c r="I38">
        <v>42.839745389320449</v>
      </c>
      <c r="J38">
        <v>14.519999999999996</v>
      </c>
      <c r="S38">
        <v>87.949817999999993</v>
      </c>
      <c r="T38">
        <v>38.280429957115246</v>
      </c>
      <c r="U38">
        <v>11.780000000000001</v>
      </c>
    </row>
    <row r="39" spans="1:21" x14ac:dyDescent="0.3">
      <c r="A39" s="2">
        <v>41578</v>
      </c>
    </row>
    <row r="40" spans="1:21" x14ac:dyDescent="0.3">
      <c r="A40" s="2">
        <v>41579</v>
      </c>
    </row>
    <row r="41" spans="1:21" x14ac:dyDescent="0.3">
      <c r="A41" s="2">
        <v>41580</v>
      </c>
    </row>
    <row r="42" spans="1:21" x14ac:dyDescent="0.3">
      <c r="A42" s="2">
        <v>41581</v>
      </c>
    </row>
    <row r="43" spans="1:21" x14ac:dyDescent="0.3">
      <c r="A43" s="2">
        <v>41582</v>
      </c>
    </row>
    <row r="44" spans="1:21" x14ac:dyDescent="0.3">
      <c r="A44" s="2">
        <v>41583</v>
      </c>
    </row>
    <row r="45" spans="1:21" x14ac:dyDescent="0.3">
      <c r="A45" s="2">
        <v>41584</v>
      </c>
      <c r="C45">
        <v>9.6533333333333307</v>
      </c>
      <c r="D45">
        <v>7.2333333333333316</v>
      </c>
      <c r="E45">
        <v>290.30303030303025</v>
      </c>
      <c r="F45" s="24">
        <f>E45/D45</f>
        <v>40.134059488898203</v>
      </c>
      <c r="G45" s="21">
        <v>1.6098369591699999</v>
      </c>
      <c r="H45">
        <v>60.574975999999999</v>
      </c>
      <c r="I45">
        <v>45.956193299366767</v>
      </c>
      <c r="J45">
        <v>5.6500000000000057</v>
      </c>
      <c r="O45">
        <v>109.6969696969697</v>
      </c>
      <c r="P45">
        <f>O45/N46</f>
        <v>53.861032584436835</v>
      </c>
      <c r="R45">
        <v>54.848484848484851</v>
      </c>
      <c r="S45">
        <v>62.860336000000004</v>
      </c>
      <c r="T45">
        <v>34.203307776256452</v>
      </c>
      <c r="U45">
        <v>18.409999999999997</v>
      </c>
    </row>
    <row r="46" spans="1:21" x14ac:dyDescent="0.3">
      <c r="A46" s="2">
        <v>41585</v>
      </c>
      <c r="M46">
        <v>2.5566666666666662</v>
      </c>
      <c r="N46">
        <v>2.0366666666666671</v>
      </c>
    </row>
    <row r="47" spans="1:21" x14ac:dyDescent="0.3">
      <c r="A47" s="2">
        <v>41586</v>
      </c>
    </row>
    <row r="48" spans="1:21" x14ac:dyDescent="0.3">
      <c r="A48" s="2">
        <v>41587</v>
      </c>
    </row>
    <row r="49" spans="1:21" x14ac:dyDescent="0.3">
      <c r="A49" s="2">
        <v>41588</v>
      </c>
    </row>
    <row r="50" spans="1:21" x14ac:dyDescent="0.3">
      <c r="A50" s="2">
        <v>41589</v>
      </c>
    </row>
    <row r="51" spans="1:21" x14ac:dyDescent="0.3">
      <c r="A51" s="2">
        <v>41590</v>
      </c>
    </row>
    <row r="52" spans="1:21" x14ac:dyDescent="0.3">
      <c r="A52" s="2">
        <v>41591</v>
      </c>
      <c r="B52">
        <v>228.12700000000001</v>
      </c>
      <c r="C52">
        <v>12.42</v>
      </c>
      <c r="D52">
        <v>9.293333333333333</v>
      </c>
      <c r="E52">
        <v>241.5151515151515</v>
      </c>
      <c r="F52" s="24">
        <f>E52/D52</f>
        <v>25.988000521716447</v>
      </c>
      <c r="G52" s="21">
        <v>1.34310393489</v>
      </c>
      <c r="H52">
        <v>44.459712000000003</v>
      </c>
      <c r="I52">
        <v>48.506503389773101</v>
      </c>
      <c r="J52">
        <v>8.730000000000004</v>
      </c>
      <c r="L52">
        <v>104.465</v>
      </c>
      <c r="O52">
        <v>193.93939393939391</v>
      </c>
      <c r="P52">
        <f>O52/N54</f>
        <v>64.646464646464665</v>
      </c>
      <c r="R52">
        <v>96.969696969696955</v>
      </c>
      <c r="S52">
        <v>66.827376000000001</v>
      </c>
      <c r="T52">
        <v>40.514012939809952</v>
      </c>
      <c r="U52">
        <v>12.569999999999993</v>
      </c>
    </row>
    <row r="53" spans="1:21" x14ac:dyDescent="0.3">
      <c r="A53" s="2">
        <v>41592</v>
      </c>
    </row>
    <row r="54" spans="1:21" x14ac:dyDescent="0.3">
      <c r="A54" s="2">
        <v>41593</v>
      </c>
      <c r="M54">
        <v>3.8899999999999983</v>
      </c>
      <c r="N54">
        <v>2.9999999999999987</v>
      </c>
    </row>
    <row r="55" spans="1:21" x14ac:dyDescent="0.3">
      <c r="A55" s="2">
        <v>41594</v>
      </c>
    </row>
    <row r="56" spans="1:21" x14ac:dyDescent="0.3">
      <c r="A56" s="2">
        <v>41595</v>
      </c>
    </row>
    <row r="57" spans="1:21" x14ac:dyDescent="0.3">
      <c r="A57" s="2">
        <v>41596</v>
      </c>
    </row>
    <row r="58" spans="1:21" x14ac:dyDescent="0.3">
      <c r="A58" s="2">
        <v>41597</v>
      </c>
    </row>
    <row r="59" spans="1:21" x14ac:dyDescent="0.3">
      <c r="A59" s="2">
        <v>41598</v>
      </c>
      <c r="C59">
        <v>10.806666666666667</v>
      </c>
      <c r="D59">
        <v>8.6333333333333346</v>
      </c>
      <c r="E59">
        <v>294.24242424242425</v>
      </c>
      <c r="F59" s="24">
        <f>E59/D59</f>
        <v>34.082134082134075</v>
      </c>
    </row>
    <row r="60" spans="1:21" x14ac:dyDescent="0.3">
      <c r="A60" s="2">
        <v>41599</v>
      </c>
      <c r="O60">
        <v>216.36363636363635</v>
      </c>
      <c r="P60">
        <f t="shared" ref="P60:P87" si="0">O60/N61</f>
        <v>78.203723986856531</v>
      </c>
      <c r="R60">
        <v>108.18181818181817</v>
      </c>
    </row>
    <row r="61" spans="1:21" x14ac:dyDescent="0.3">
      <c r="A61" s="2">
        <v>41600</v>
      </c>
      <c r="B61">
        <v>202.864</v>
      </c>
      <c r="H61">
        <v>83.680036000000001</v>
      </c>
      <c r="I61">
        <v>47.721785058464015</v>
      </c>
      <c r="L61">
        <v>87.630399999999995</v>
      </c>
      <c r="M61">
        <v>3.613333333333332</v>
      </c>
      <c r="N61">
        <v>2.7666666666666657</v>
      </c>
      <c r="S61">
        <v>66.672144000000003</v>
      </c>
      <c r="T61">
        <v>35.415029166023807</v>
      </c>
    </row>
    <row r="62" spans="1:21" x14ac:dyDescent="0.3">
      <c r="A62" s="2">
        <v>41601</v>
      </c>
    </row>
    <row r="63" spans="1:21" x14ac:dyDescent="0.3">
      <c r="A63" s="2">
        <v>41602</v>
      </c>
    </row>
    <row r="64" spans="1:21" x14ac:dyDescent="0.3">
      <c r="A64" s="2">
        <v>41603</v>
      </c>
    </row>
    <row r="65" spans="1:21" x14ac:dyDescent="0.3">
      <c r="A65" s="2">
        <v>41604</v>
      </c>
    </row>
    <row r="66" spans="1:21" x14ac:dyDescent="0.3">
      <c r="A66" s="2">
        <v>41605</v>
      </c>
      <c r="C66">
        <v>9</v>
      </c>
      <c r="D66">
        <v>7.0866666666666669</v>
      </c>
      <c r="E66">
        <v>255.15151515151513</v>
      </c>
      <c r="F66" s="24">
        <f>E66/D66</f>
        <v>36.004447105105612</v>
      </c>
      <c r="G66" s="21">
        <v>2.4255991885800001</v>
      </c>
      <c r="H66">
        <v>78.675300000000007</v>
      </c>
      <c r="I66">
        <v>50.08296986101567</v>
      </c>
      <c r="O66">
        <v>149.09090909090909</v>
      </c>
      <c r="P66">
        <f t="shared" si="0"/>
        <v>61.607813673929378</v>
      </c>
      <c r="R66">
        <v>74.545454545454547</v>
      </c>
      <c r="S66">
        <v>67.180762000000001</v>
      </c>
      <c r="T66">
        <v>30.945498303258056</v>
      </c>
    </row>
    <row r="67" spans="1:21" x14ac:dyDescent="0.3">
      <c r="A67" s="2">
        <v>41606</v>
      </c>
      <c r="M67">
        <v>3.14</v>
      </c>
      <c r="N67">
        <v>2.42</v>
      </c>
    </row>
    <row r="68" spans="1:21" x14ac:dyDescent="0.3">
      <c r="A68" s="2">
        <v>41607</v>
      </c>
    </row>
    <row r="69" spans="1:21" x14ac:dyDescent="0.3">
      <c r="A69" s="2">
        <v>41608</v>
      </c>
    </row>
    <row r="70" spans="1:21" x14ac:dyDescent="0.3">
      <c r="A70" s="2">
        <v>41609</v>
      </c>
    </row>
    <row r="71" spans="1:21" x14ac:dyDescent="0.3">
      <c r="A71" s="2">
        <v>41610</v>
      </c>
    </row>
    <row r="72" spans="1:21" x14ac:dyDescent="0.3">
      <c r="A72" s="2">
        <v>41611</v>
      </c>
    </row>
    <row r="73" spans="1:21" x14ac:dyDescent="0.3">
      <c r="A73" s="2">
        <v>41612</v>
      </c>
      <c r="B73">
        <v>287.60899999999998</v>
      </c>
      <c r="C73">
        <v>5.3199999999999976</v>
      </c>
      <c r="D73">
        <v>4.1466666666666674</v>
      </c>
      <c r="H73">
        <v>78.6357</v>
      </c>
      <c r="I73">
        <v>52.556568634917888</v>
      </c>
      <c r="J73">
        <v>3.5900000000000034</v>
      </c>
      <c r="L73">
        <v>92.618600000000001</v>
      </c>
      <c r="S73">
        <v>49.988125000000004</v>
      </c>
      <c r="T73">
        <v>30.817186392098673</v>
      </c>
      <c r="U73">
        <v>9.2999999999999972</v>
      </c>
    </row>
    <row r="74" spans="1:21" x14ac:dyDescent="0.3">
      <c r="A74" s="2">
        <v>41613</v>
      </c>
      <c r="M74">
        <v>3.1333333333333329</v>
      </c>
      <c r="N74">
        <v>2.4866666666666664</v>
      </c>
    </row>
    <row r="75" spans="1:21" x14ac:dyDescent="0.3">
      <c r="A75" s="2">
        <v>41614</v>
      </c>
    </row>
    <row r="76" spans="1:21" x14ac:dyDescent="0.3">
      <c r="A76" s="2">
        <v>41615</v>
      </c>
    </row>
    <row r="77" spans="1:21" x14ac:dyDescent="0.3">
      <c r="A77" s="2">
        <v>41616</v>
      </c>
    </row>
    <row r="78" spans="1:21" x14ac:dyDescent="0.3">
      <c r="A78" s="2">
        <v>41617</v>
      </c>
    </row>
    <row r="79" spans="1:21" x14ac:dyDescent="0.3">
      <c r="A79" s="2">
        <v>41618</v>
      </c>
    </row>
    <row r="80" spans="1:21" x14ac:dyDescent="0.3">
      <c r="A80" s="2">
        <v>41619</v>
      </c>
      <c r="C80">
        <v>4.1333333333333329</v>
      </c>
      <c r="D80">
        <v>3.6466666666666669</v>
      </c>
      <c r="E80">
        <v>209.69696969696966</v>
      </c>
      <c r="F80" s="24">
        <f>E80/D80</f>
        <v>57.503739405019097</v>
      </c>
      <c r="G80" s="21">
        <v>4.2131719073799996</v>
      </c>
      <c r="H80">
        <v>78.457499999999996</v>
      </c>
      <c r="I80">
        <v>54.326144922112562</v>
      </c>
      <c r="J80">
        <v>4.8400000000000034</v>
      </c>
      <c r="O80">
        <v>150.90909090909091</v>
      </c>
      <c r="P80">
        <f t="shared" si="0"/>
        <v>61.847988077496254</v>
      </c>
      <c r="R80">
        <v>75.454545454545453</v>
      </c>
      <c r="S80">
        <v>81.821695999999989</v>
      </c>
      <c r="T80">
        <v>28.791206148827563</v>
      </c>
      <c r="U80">
        <v>9.9099999999999966</v>
      </c>
    </row>
    <row r="81" spans="1:21" x14ac:dyDescent="0.3">
      <c r="A81" s="2">
        <v>41620</v>
      </c>
      <c r="M81">
        <v>3.0000000000000004</v>
      </c>
      <c r="N81">
        <v>2.4400000000000008</v>
      </c>
    </row>
    <row r="82" spans="1:21" x14ac:dyDescent="0.3">
      <c r="A82" s="2">
        <v>41621</v>
      </c>
    </row>
    <row r="83" spans="1:21" x14ac:dyDescent="0.3">
      <c r="A83" s="2">
        <v>41622</v>
      </c>
    </row>
    <row r="84" spans="1:21" x14ac:dyDescent="0.3">
      <c r="A84" s="2">
        <v>41623</v>
      </c>
    </row>
    <row r="85" spans="1:21" x14ac:dyDescent="0.3">
      <c r="A85" s="2">
        <v>41624</v>
      </c>
    </row>
    <row r="86" spans="1:21" x14ac:dyDescent="0.3">
      <c r="A86" s="2">
        <v>41625</v>
      </c>
      <c r="I86">
        <v>47.67543624928954</v>
      </c>
    </row>
    <row r="87" spans="1:21" x14ac:dyDescent="0.3">
      <c r="A87" s="2">
        <v>41626</v>
      </c>
      <c r="B87">
        <v>292.65899999999999</v>
      </c>
      <c r="C87">
        <v>7.0599999999999978</v>
      </c>
      <c r="D87">
        <v>5.67</v>
      </c>
      <c r="E87">
        <v>241.81818181818178</v>
      </c>
      <c r="F87" s="24">
        <f>E87/D87</f>
        <v>42.648709315375974</v>
      </c>
      <c r="G87" s="21">
        <v>1.1690743803000001</v>
      </c>
      <c r="H87">
        <v>51.992511999999998</v>
      </c>
      <c r="J87">
        <v>4.9000000000000057</v>
      </c>
      <c r="L87">
        <v>89.884699999999995</v>
      </c>
      <c r="O87">
        <v>191.21212121212122</v>
      </c>
      <c r="P87">
        <f t="shared" si="0"/>
        <v>68.698965704953721</v>
      </c>
      <c r="R87">
        <v>95.606060606060609</v>
      </c>
      <c r="S87">
        <v>76.904025000000004</v>
      </c>
      <c r="T87">
        <v>31.998314383892801</v>
      </c>
      <c r="U87">
        <v>14.420000000000002</v>
      </c>
    </row>
    <row r="88" spans="1:21" x14ac:dyDescent="0.3">
      <c r="A88" s="2">
        <v>41627</v>
      </c>
      <c r="M88">
        <v>3.386666666666668</v>
      </c>
      <c r="N88">
        <v>2.7833333333333337</v>
      </c>
    </row>
    <row r="89" spans="1:21" x14ac:dyDescent="0.3">
      <c r="A89" s="2">
        <v>41628</v>
      </c>
    </row>
    <row r="90" spans="1:21" x14ac:dyDescent="0.3">
      <c r="A90" s="2">
        <v>41629</v>
      </c>
    </row>
    <row r="91" spans="1:21" x14ac:dyDescent="0.3">
      <c r="A91" s="2">
        <v>41630</v>
      </c>
    </row>
    <row r="92" spans="1:21" x14ac:dyDescent="0.3">
      <c r="A92" s="2">
        <v>41631</v>
      </c>
    </row>
    <row r="93" spans="1:21" x14ac:dyDescent="0.3">
      <c r="A93" s="2">
        <v>41632</v>
      </c>
    </row>
    <row r="94" spans="1:21" x14ac:dyDescent="0.3">
      <c r="A94" s="2">
        <v>41633</v>
      </c>
    </row>
    <row r="95" spans="1:21" x14ac:dyDescent="0.3">
      <c r="A95" s="2">
        <v>41634</v>
      </c>
    </row>
    <row r="96" spans="1:21" x14ac:dyDescent="0.3">
      <c r="A96" s="2">
        <v>41635</v>
      </c>
      <c r="H96">
        <v>60.428368000000006</v>
      </c>
      <c r="I96">
        <v>50.919560068736402</v>
      </c>
      <c r="S96">
        <v>88.704000000000008</v>
      </c>
      <c r="T96">
        <v>29.540756815655534</v>
      </c>
    </row>
    <row r="97" spans="1:20" x14ac:dyDescent="0.3">
      <c r="A97" s="2">
        <v>41636</v>
      </c>
    </row>
    <row r="98" spans="1:20" x14ac:dyDescent="0.3">
      <c r="A98" s="2">
        <v>41637</v>
      </c>
    </row>
    <row r="99" spans="1:20" x14ac:dyDescent="0.3">
      <c r="A99" s="2">
        <v>41638</v>
      </c>
    </row>
    <row r="100" spans="1:20" x14ac:dyDescent="0.3">
      <c r="A100" s="2">
        <v>41639</v>
      </c>
    </row>
    <row r="101" spans="1:20" x14ac:dyDescent="0.3">
      <c r="A101" s="2">
        <v>41640</v>
      </c>
    </row>
    <row r="102" spans="1:20" x14ac:dyDescent="0.3">
      <c r="A102" s="2">
        <v>41641</v>
      </c>
    </row>
    <row r="103" spans="1:20" x14ac:dyDescent="0.3">
      <c r="A103" s="2">
        <v>41642</v>
      </c>
    </row>
    <row r="104" spans="1:20" x14ac:dyDescent="0.3">
      <c r="A104" s="2">
        <v>41643</v>
      </c>
    </row>
    <row r="105" spans="1:20" x14ac:dyDescent="0.3">
      <c r="A105" s="2">
        <v>41644</v>
      </c>
    </row>
    <row r="106" spans="1:20" x14ac:dyDescent="0.3">
      <c r="A106" s="2">
        <v>41645</v>
      </c>
    </row>
    <row r="107" spans="1:20" x14ac:dyDescent="0.3">
      <c r="A107" s="2">
        <v>41646</v>
      </c>
    </row>
    <row r="108" spans="1:20" x14ac:dyDescent="0.3">
      <c r="A108" s="2">
        <v>41647</v>
      </c>
      <c r="H108">
        <v>58.744399999999992</v>
      </c>
      <c r="I108">
        <v>47.427933811203559</v>
      </c>
      <c r="L108">
        <v>83.212699999999998</v>
      </c>
      <c r="S108">
        <v>86.496256000000002</v>
      </c>
      <c r="T108">
        <v>30.943471019742098</v>
      </c>
    </row>
    <row r="109" spans="1:20" x14ac:dyDescent="0.3">
      <c r="A109" s="2">
        <v>41648</v>
      </c>
      <c r="M109">
        <v>3.8533333333333335</v>
      </c>
      <c r="N109">
        <v>3.2799999999999994</v>
      </c>
    </row>
    <row r="110" spans="1:20" x14ac:dyDescent="0.3">
      <c r="A110" s="2">
        <v>41649</v>
      </c>
    </row>
    <row r="111" spans="1:20" x14ac:dyDescent="0.3">
      <c r="A111" s="2">
        <v>41650</v>
      </c>
    </row>
    <row r="112" spans="1:20" x14ac:dyDescent="0.3">
      <c r="A112" s="2">
        <v>41651</v>
      </c>
    </row>
    <row r="113" spans="1:21" x14ac:dyDescent="0.3">
      <c r="A113" s="2">
        <v>41652</v>
      </c>
    </row>
    <row r="114" spans="1:21" x14ac:dyDescent="0.3">
      <c r="A114" s="2">
        <v>41653</v>
      </c>
    </row>
    <row r="115" spans="1:21" x14ac:dyDescent="0.3">
      <c r="A115" s="2">
        <v>41654</v>
      </c>
      <c r="B115">
        <v>237.40100000000001</v>
      </c>
      <c r="E115">
        <v>169.09090909090901</v>
      </c>
      <c r="H115">
        <v>58.632859999999994</v>
      </c>
      <c r="I115">
        <v>46.554803407739044</v>
      </c>
      <c r="J115">
        <v>4.0100000000000051</v>
      </c>
      <c r="L115">
        <v>81.155100000000004</v>
      </c>
      <c r="O115">
        <v>174.24242424242422</v>
      </c>
      <c r="P115">
        <f t="shared" ref="P115:P171" si="1">O115/N116</f>
        <v>58.470612161887324</v>
      </c>
      <c r="R115">
        <v>87.12121212121211</v>
      </c>
      <c r="S115">
        <v>70.834907000000015</v>
      </c>
      <c r="T115">
        <v>27.264941182835443</v>
      </c>
      <c r="U115">
        <v>10.11</v>
      </c>
    </row>
    <row r="116" spans="1:21" x14ac:dyDescent="0.3">
      <c r="A116" s="2">
        <v>41655</v>
      </c>
      <c r="M116">
        <v>3.6433333333333331</v>
      </c>
      <c r="N116">
        <v>2.98</v>
      </c>
    </row>
    <row r="117" spans="1:21" x14ac:dyDescent="0.3">
      <c r="A117" s="2">
        <v>41656</v>
      </c>
    </row>
    <row r="118" spans="1:21" x14ac:dyDescent="0.3">
      <c r="A118" s="2">
        <v>41657</v>
      </c>
    </row>
    <row r="119" spans="1:21" x14ac:dyDescent="0.3">
      <c r="A119" s="2">
        <v>41658</v>
      </c>
    </row>
    <row r="120" spans="1:21" x14ac:dyDescent="0.3">
      <c r="A120" s="2">
        <v>41659</v>
      </c>
    </row>
    <row r="121" spans="1:21" x14ac:dyDescent="0.3">
      <c r="A121" s="2">
        <v>41660</v>
      </c>
    </row>
    <row r="122" spans="1:21" x14ac:dyDescent="0.3">
      <c r="A122" s="2">
        <v>41661</v>
      </c>
      <c r="B122">
        <v>312.42399999999998</v>
      </c>
      <c r="E122">
        <v>167.87878787878785</v>
      </c>
      <c r="H122">
        <v>58.714656000000005</v>
      </c>
      <c r="I122">
        <v>50.634670290811435</v>
      </c>
      <c r="J122">
        <v>4.0400000000000063</v>
      </c>
      <c r="L122">
        <v>80.289299999999997</v>
      </c>
      <c r="O122">
        <v>221.21212121212122</v>
      </c>
      <c r="R122">
        <v>110.60606060606061</v>
      </c>
      <c r="S122">
        <v>50.008749999999999</v>
      </c>
      <c r="T122">
        <v>22.063316036963908</v>
      </c>
      <c r="U122" s="2"/>
    </row>
    <row r="123" spans="1:21" x14ac:dyDescent="0.3">
      <c r="A123" s="2">
        <v>41662</v>
      </c>
    </row>
    <row r="124" spans="1:21" x14ac:dyDescent="0.3">
      <c r="A124" s="2">
        <v>41663</v>
      </c>
    </row>
    <row r="125" spans="1:21" x14ac:dyDescent="0.3">
      <c r="A125" s="2">
        <v>41664</v>
      </c>
    </row>
    <row r="126" spans="1:21" x14ac:dyDescent="0.3">
      <c r="A126" s="2">
        <v>41665</v>
      </c>
    </row>
    <row r="127" spans="1:21" x14ac:dyDescent="0.3">
      <c r="A127" s="2">
        <v>41666</v>
      </c>
    </row>
    <row r="128" spans="1:21" x14ac:dyDescent="0.3">
      <c r="A128" s="2">
        <v>41667</v>
      </c>
    </row>
    <row r="129" spans="1:33" x14ac:dyDescent="0.3">
      <c r="A129" s="2">
        <v>41668</v>
      </c>
      <c r="B129">
        <v>298.22300000000001</v>
      </c>
      <c r="C129">
        <v>8.3400000000000016</v>
      </c>
      <c r="D129">
        <v>6.6799999999999988</v>
      </c>
      <c r="E129">
        <v>202.1212121212121</v>
      </c>
      <c r="F129" s="24">
        <f>E129/D129</f>
        <v>30.257666485211399</v>
      </c>
      <c r="G129" s="21">
        <v>1.1014166776700001</v>
      </c>
      <c r="H129">
        <v>58.521320000000003</v>
      </c>
      <c r="I129">
        <v>52.609723636628388</v>
      </c>
      <c r="J129">
        <v>7.980000000000004</v>
      </c>
      <c r="L129">
        <v>79.570700000000002</v>
      </c>
      <c r="O129">
        <v>195.75757575757575</v>
      </c>
      <c r="P129">
        <f t="shared" si="1"/>
        <v>65.83774969425194</v>
      </c>
      <c r="R129">
        <v>97.878787878787875</v>
      </c>
      <c r="S129">
        <v>44.585177999999999</v>
      </c>
      <c r="T129">
        <v>26.371348700810373</v>
      </c>
      <c r="U129" s="2"/>
    </row>
    <row r="130" spans="1:33" x14ac:dyDescent="0.3">
      <c r="A130" s="2">
        <v>41669</v>
      </c>
      <c r="M130">
        <v>3.7466666666666666</v>
      </c>
      <c r="N130">
        <v>2.9733333333333332</v>
      </c>
      <c r="AD130" s="2"/>
    </row>
    <row r="131" spans="1:33" x14ac:dyDescent="0.3">
      <c r="A131" s="2">
        <v>41670</v>
      </c>
      <c r="AD131" s="2"/>
    </row>
    <row r="132" spans="1:33" x14ac:dyDescent="0.3">
      <c r="A132" s="2">
        <v>41671</v>
      </c>
      <c r="AD132" s="2"/>
      <c r="AG132" s="2"/>
    </row>
    <row r="133" spans="1:33" x14ac:dyDescent="0.3">
      <c r="A133" s="2">
        <v>41672</v>
      </c>
      <c r="AD133" s="2"/>
      <c r="AG133" s="2"/>
    </row>
    <row r="134" spans="1:33" x14ac:dyDescent="0.3">
      <c r="A134" s="2">
        <v>41673</v>
      </c>
      <c r="AD134" s="2"/>
    </row>
    <row r="135" spans="1:33" x14ac:dyDescent="0.3">
      <c r="A135" s="2">
        <v>41674</v>
      </c>
      <c r="AD135" s="2"/>
    </row>
    <row r="136" spans="1:33" x14ac:dyDescent="0.3">
      <c r="A136" s="2">
        <v>41675</v>
      </c>
      <c r="B136">
        <v>210.715</v>
      </c>
      <c r="C136">
        <v>6.2133333333333356</v>
      </c>
      <c r="D136">
        <v>5.2266666666666675</v>
      </c>
      <c r="E136">
        <v>221.21212121212122</v>
      </c>
      <c r="F136" s="24">
        <f>E136/D136</f>
        <v>42.323747680890534</v>
      </c>
      <c r="H136">
        <v>69.399680000000004</v>
      </c>
      <c r="I136">
        <v>42.875399132289992</v>
      </c>
      <c r="L136">
        <v>81.238699999999994</v>
      </c>
      <c r="O136">
        <v>200.90909090909091</v>
      </c>
      <c r="R136">
        <v>100.45454545454545</v>
      </c>
      <c r="S136">
        <v>210.70080000000002</v>
      </c>
      <c r="T136">
        <v>37.848427720701103</v>
      </c>
      <c r="AD136" s="2"/>
    </row>
    <row r="137" spans="1:33" x14ac:dyDescent="0.3">
      <c r="A137" s="2">
        <v>41676</v>
      </c>
      <c r="AD137" s="2"/>
    </row>
    <row r="138" spans="1:33" x14ac:dyDescent="0.3">
      <c r="A138" s="2">
        <v>41677</v>
      </c>
      <c r="AD138" s="2"/>
    </row>
    <row r="139" spans="1:33" x14ac:dyDescent="0.3">
      <c r="A139" s="2">
        <v>41678</v>
      </c>
      <c r="AD139" s="2"/>
    </row>
    <row r="140" spans="1:33" x14ac:dyDescent="0.3">
      <c r="A140" s="2">
        <v>41679</v>
      </c>
      <c r="AD140" s="2"/>
    </row>
    <row r="141" spans="1:33" x14ac:dyDescent="0.3">
      <c r="A141" s="2">
        <v>41680</v>
      </c>
    </row>
    <row r="142" spans="1:33" x14ac:dyDescent="0.3">
      <c r="A142" s="2">
        <v>41681</v>
      </c>
    </row>
    <row r="143" spans="1:33" x14ac:dyDescent="0.3">
      <c r="A143" s="2">
        <v>41682</v>
      </c>
      <c r="B143">
        <v>320.63400000000001</v>
      </c>
      <c r="H143">
        <v>79.650000000000006</v>
      </c>
      <c r="I143">
        <v>44.410789172968336</v>
      </c>
      <c r="J143">
        <v>6.0900000000000034</v>
      </c>
      <c r="L143">
        <v>85.912499999999994</v>
      </c>
      <c r="S143">
        <v>183.43536</v>
      </c>
      <c r="T143">
        <v>33.329692596295658</v>
      </c>
      <c r="U143">
        <v>6.8299999999999983</v>
      </c>
    </row>
    <row r="144" spans="1:33" x14ac:dyDescent="0.3">
      <c r="A144" s="2">
        <v>41683</v>
      </c>
    </row>
    <row r="145" spans="1:21" x14ac:dyDescent="0.3">
      <c r="A145" s="2">
        <v>41684</v>
      </c>
      <c r="M145">
        <v>3.6300000000000008</v>
      </c>
      <c r="N145">
        <v>2.93</v>
      </c>
    </row>
    <row r="146" spans="1:21" x14ac:dyDescent="0.3">
      <c r="A146" s="2">
        <v>41685</v>
      </c>
    </row>
    <row r="147" spans="1:21" x14ac:dyDescent="0.3">
      <c r="A147" s="2">
        <v>41686</v>
      </c>
    </row>
    <row r="148" spans="1:21" x14ac:dyDescent="0.3">
      <c r="A148" s="2">
        <v>41687</v>
      </c>
    </row>
    <row r="149" spans="1:21" x14ac:dyDescent="0.3">
      <c r="A149" s="2">
        <v>41688</v>
      </c>
    </row>
    <row r="150" spans="1:21" x14ac:dyDescent="0.3">
      <c r="A150" s="2">
        <v>41689</v>
      </c>
      <c r="B150">
        <v>214.952</v>
      </c>
      <c r="C150">
        <v>4.5333333333333323</v>
      </c>
      <c r="D150">
        <v>4.0333333333333306</v>
      </c>
      <c r="E150">
        <v>203.63636363636363</v>
      </c>
      <c r="F150" s="24">
        <f>E150/D150</f>
        <v>50.488354620586058</v>
      </c>
      <c r="H150">
        <v>19.312000000000001</v>
      </c>
      <c r="I150">
        <v>44.171245799851164</v>
      </c>
      <c r="J150">
        <v>10.209999999999994</v>
      </c>
      <c r="L150">
        <v>80.055800000000005</v>
      </c>
      <c r="O150">
        <v>164.84848484848484</v>
      </c>
      <c r="P150">
        <f t="shared" si="1"/>
        <v>63.160339022408024</v>
      </c>
      <c r="R150">
        <v>82.424242424242422</v>
      </c>
      <c r="S150">
        <v>211.71456000000001</v>
      </c>
      <c r="T150">
        <v>27.986254714868529</v>
      </c>
      <c r="U150">
        <v>18.489999999999995</v>
      </c>
    </row>
    <row r="151" spans="1:21" x14ac:dyDescent="0.3">
      <c r="A151" s="2">
        <v>41690</v>
      </c>
      <c r="M151">
        <v>3.2466666666666648</v>
      </c>
      <c r="N151">
        <v>2.6099999999999985</v>
      </c>
    </row>
    <row r="152" spans="1:21" x14ac:dyDescent="0.3">
      <c r="A152" s="2">
        <v>41691</v>
      </c>
    </row>
    <row r="153" spans="1:21" x14ac:dyDescent="0.3">
      <c r="A153" s="2">
        <v>41692</v>
      </c>
    </row>
    <row r="154" spans="1:21" x14ac:dyDescent="0.3">
      <c r="A154" s="2">
        <v>41693</v>
      </c>
    </row>
    <row r="155" spans="1:21" x14ac:dyDescent="0.3">
      <c r="A155" s="2">
        <v>41694</v>
      </c>
    </row>
    <row r="156" spans="1:21" x14ac:dyDescent="0.3">
      <c r="A156" s="2">
        <v>41695</v>
      </c>
    </row>
    <row r="157" spans="1:21" x14ac:dyDescent="0.3">
      <c r="A157" s="2">
        <v>41696</v>
      </c>
      <c r="C157">
        <v>4.7600000000000016</v>
      </c>
      <c r="D157">
        <v>4.0399999999999991</v>
      </c>
      <c r="E157">
        <v>124.54545454545452</v>
      </c>
      <c r="F157" s="24">
        <f>E157/D157</f>
        <v>30.828082808280829</v>
      </c>
      <c r="H157">
        <v>133.32691</v>
      </c>
      <c r="I157">
        <v>51.809275693970271</v>
      </c>
      <c r="J157">
        <v>7.4500000000000028</v>
      </c>
      <c r="S157">
        <v>124.02234</v>
      </c>
      <c r="T157">
        <v>27.208199797307799</v>
      </c>
      <c r="U157">
        <v>19.489999999999995</v>
      </c>
    </row>
    <row r="158" spans="1:21" x14ac:dyDescent="0.3">
      <c r="A158" s="2">
        <v>41697</v>
      </c>
    </row>
    <row r="159" spans="1:21" x14ac:dyDescent="0.3">
      <c r="A159" s="2">
        <v>41698</v>
      </c>
      <c r="M159">
        <v>3.5566666666666671</v>
      </c>
      <c r="N159">
        <v>2.9000000000000008</v>
      </c>
    </row>
    <row r="160" spans="1:21" x14ac:dyDescent="0.3">
      <c r="A160" s="2">
        <v>41699</v>
      </c>
    </row>
    <row r="161" spans="1:25" x14ac:dyDescent="0.3">
      <c r="A161" s="2">
        <v>41700</v>
      </c>
    </row>
    <row r="162" spans="1:25" x14ac:dyDescent="0.3">
      <c r="A162" s="2">
        <v>41701</v>
      </c>
    </row>
    <row r="163" spans="1:25" x14ac:dyDescent="0.3">
      <c r="A163" s="2">
        <v>41702</v>
      </c>
      <c r="B163">
        <v>240.50800000000001</v>
      </c>
      <c r="C163">
        <v>8.1466666666666665</v>
      </c>
      <c r="D163">
        <v>6.846666666666664</v>
      </c>
      <c r="E163">
        <v>242.1212121212121</v>
      </c>
      <c r="F163" s="24">
        <f>E163/D163</f>
        <v>35.363370806408788</v>
      </c>
      <c r="H163">
        <v>133.58702</v>
      </c>
      <c r="I163">
        <v>52.902722538938193</v>
      </c>
      <c r="L163">
        <v>81.742699999999999</v>
      </c>
      <c r="O163">
        <v>195</v>
      </c>
      <c r="P163">
        <f t="shared" si="1"/>
        <v>70.8232445520581</v>
      </c>
      <c r="S163">
        <v>130.30400000000003</v>
      </c>
      <c r="T163">
        <v>31.760704224547275</v>
      </c>
      <c r="Y163" s="2"/>
    </row>
    <row r="164" spans="1:25" x14ac:dyDescent="0.3">
      <c r="A164" s="2">
        <v>41703</v>
      </c>
      <c r="M164">
        <v>3.4099999999999988</v>
      </c>
      <c r="N164">
        <v>2.7533333333333339</v>
      </c>
    </row>
    <row r="165" spans="1:25" x14ac:dyDescent="0.3">
      <c r="A165" s="2">
        <v>41704</v>
      </c>
    </row>
    <row r="166" spans="1:25" x14ac:dyDescent="0.3">
      <c r="A166" s="2">
        <v>41705</v>
      </c>
    </row>
    <row r="167" spans="1:25" x14ac:dyDescent="0.3">
      <c r="A167" s="2">
        <v>41706</v>
      </c>
    </row>
    <row r="168" spans="1:25" x14ac:dyDescent="0.3">
      <c r="A168" s="2">
        <v>41707</v>
      </c>
    </row>
    <row r="169" spans="1:25" x14ac:dyDescent="0.3">
      <c r="A169" s="2">
        <v>41708</v>
      </c>
    </row>
    <row r="170" spans="1:25" x14ac:dyDescent="0.3">
      <c r="A170" s="2">
        <v>41709</v>
      </c>
    </row>
    <row r="171" spans="1:25" x14ac:dyDescent="0.3">
      <c r="A171" s="2">
        <v>41710</v>
      </c>
      <c r="C171">
        <v>10.620000000000001</v>
      </c>
      <c r="D171">
        <v>8.9366666666666674</v>
      </c>
      <c r="E171">
        <v>264.24242424242419</v>
      </c>
      <c r="F171" s="24">
        <f>E171/D171</f>
        <v>29.568342884269768</v>
      </c>
      <c r="H171">
        <v>163.86388000000002</v>
      </c>
      <c r="I171">
        <v>51.563021090455187</v>
      </c>
      <c r="O171">
        <v>203.63636363636363</v>
      </c>
      <c r="P171">
        <f t="shared" si="1"/>
        <v>63.63636363636364</v>
      </c>
      <c r="S171">
        <v>105.80543999999999</v>
      </c>
      <c r="T171">
        <v>30.255084768612683</v>
      </c>
      <c r="Y171" s="2"/>
    </row>
    <row r="172" spans="1:25" x14ac:dyDescent="0.3">
      <c r="A172" s="2">
        <v>41711</v>
      </c>
      <c r="M172">
        <v>4.0500000000000007</v>
      </c>
      <c r="N172">
        <v>3.1999999999999997</v>
      </c>
    </row>
    <row r="173" spans="1:25" x14ac:dyDescent="0.3">
      <c r="A173" s="2">
        <v>41712</v>
      </c>
    </row>
    <row r="174" spans="1:25" x14ac:dyDescent="0.3">
      <c r="A174" s="2">
        <v>41713</v>
      </c>
    </row>
    <row r="175" spans="1:25" x14ac:dyDescent="0.3">
      <c r="A175" s="2">
        <v>41714</v>
      </c>
    </row>
    <row r="176" spans="1:25" x14ac:dyDescent="0.3">
      <c r="A176" s="2">
        <v>41715</v>
      </c>
    </row>
    <row r="177" spans="1:25" x14ac:dyDescent="0.3">
      <c r="A177" s="2">
        <v>41716</v>
      </c>
    </row>
    <row r="178" spans="1:25" x14ac:dyDescent="0.3">
      <c r="A178" s="2">
        <v>41717</v>
      </c>
      <c r="B178">
        <v>265.87599999999998</v>
      </c>
      <c r="C178" s="9">
        <v>11.83</v>
      </c>
      <c r="D178" s="9">
        <v>10.26</v>
      </c>
      <c r="E178">
        <v>358.21333333333331</v>
      </c>
      <c r="F178" s="24">
        <f>E178/D178</f>
        <v>34.913580246913575</v>
      </c>
      <c r="H178">
        <v>163.69578000000001</v>
      </c>
      <c r="I178">
        <v>50.897530899227995</v>
      </c>
      <c r="J178">
        <v>1.75</v>
      </c>
      <c r="L178">
        <v>83.664000000000001</v>
      </c>
      <c r="O178">
        <v>241.94666666666663</v>
      </c>
      <c r="P178">
        <f>O178/N179</f>
        <v>81.37219730941699</v>
      </c>
      <c r="S178">
        <v>98.74224000000001</v>
      </c>
      <c r="T178">
        <v>32.622073342857469</v>
      </c>
      <c r="U178">
        <v>7.230000000000004</v>
      </c>
      <c r="Y178" s="2"/>
    </row>
    <row r="179" spans="1:25" x14ac:dyDescent="0.3">
      <c r="A179" s="2">
        <v>41718</v>
      </c>
      <c r="M179">
        <v>3.5933333333333333</v>
      </c>
      <c r="N179">
        <v>2.9733333333333345</v>
      </c>
    </row>
    <row r="180" spans="1:25" x14ac:dyDescent="0.3">
      <c r="A180" s="2">
        <v>41719</v>
      </c>
    </row>
    <row r="181" spans="1:25" x14ac:dyDescent="0.3">
      <c r="A181" s="2">
        <v>41720</v>
      </c>
    </row>
    <row r="182" spans="1:25" x14ac:dyDescent="0.3">
      <c r="A182" s="2">
        <v>41721</v>
      </c>
    </row>
    <row r="183" spans="1:25" x14ac:dyDescent="0.3">
      <c r="A183" s="2">
        <v>41722</v>
      </c>
    </row>
    <row r="184" spans="1:25" x14ac:dyDescent="0.3">
      <c r="A184" s="2">
        <v>41723</v>
      </c>
    </row>
    <row r="185" spans="1:25" x14ac:dyDescent="0.3">
      <c r="A185" s="2">
        <v>41724</v>
      </c>
      <c r="B185">
        <v>246.76499999999999</v>
      </c>
      <c r="C185" s="9">
        <f>6.78*2</f>
        <v>13.56</v>
      </c>
      <c r="D185" s="9">
        <f>5.64*2</f>
        <v>11.28</v>
      </c>
      <c r="E185">
        <v>292.88000000000005</v>
      </c>
      <c r="F185" s="24">
        <f>E185/D185</f>
        <v>25.964539007092206</v>
      </c>
      <c r="H185">
        <v>113.35736000000001</v>
      </c>
      <c r="I185">
        <v>48.546013651412366</v>
      </c>
      <c r="J185">
        <v>4.7099999999999937</v>
      </c>
      <c r="L185" s="39">
        <v>83.523799999999994</v>
      </c>
      <c r="O185">
        <v>213.67999999999998</v>
      </c>
      <c r="P185">
        <f>O185/N187</f>
        <v>74.023094688224162</v>
      </c>
      <c r="S185">
        <v>105.57216000000001</v>
      </c>
      <c r="T185">
        <v>34.113131920436892</v>
      </c>
      <c r="U185">
        <v>6.269999999999996</v>
      </c>
      <c r="Y185" s="2"/>
    </row>
    <row r="186" spans="1:25" x14ac:dyDescent="0.3">
      <c r="A186" s="2">
        <v>41725</v>
      </c>
    </row>
    <row r="187" spans="1:25" x14ac:dyDescent="0.3">
      <c r="A187" s="2">
        <v>41726</v>
      </c>
      <c r="M187">
        <v>4.5933333333331676</v>
      </c>
      <c r="N187">
        <v>2.8866666666665708</v>
      </c>
    </row>
    <row r="188" spans="1:25" x14ac:dyDescent="0.3">
      <c r="A188" s="2">
        <v>41727</v>
      </c>
    </row>
    <row r="189" spans="1:25" x14ac:dyDescent="0.3">
      <c r="A189" s="2">
        <v>41728</v>
      </c>
    </row>
    <row r="190" spans="1:25" x14ac:dyDescent="0.3">
      <c r="A190" s="2">
        <v>41729</v>
      </c>
    </row>
    <row r="191" spans="1:25" x14ac:dyDescent="0.3">
      <c r="A191" s="2">
        <v>41730</v>
      </c>
      <c r="B191">
        <v>414.86099999999999</v>
      </c>
      <c r="C191" s="9">
        <v>8.3733333333333295</v>
      </c>
      <c r="D191" s="9">
        <v>6.9933333333333314</v>
      </c>
      <c r="E191">
        <v>297.41333333333336</v>
      </c>
      <c r="F191" s="24">
        <f>E191/D191</f>
        <v>42.528122020972368</v>
      </c>
      <c r="H191">
        <v>133.51857000000001</v>
      </c>
      <c r="I191">
        <v>49.274957362394325</v>
      </c>
      <c r="L191" s="39">
        <v>82.271699999999996</v>
      </c>
      <c r="O191">
        <v>198.74666666666667</v>
      </c>
      <c r="P191">
        <f>O191/N194</f>
        <v>72.096735187424457</v>
      </c>
      <c r="S191">
        <v>88.480240000000009</v>
      </c>
      <c r="T191">
        <v>33.640524656134751</v>
      </c>
      <c r="Y191" s="2"/>
    </row>
    <row r="192" spans="1:25" x14ac:dyDescent="0.3">
      <c r="A192" s="2">
        <v>41731</v>
      </c>
    </row>
    <row r="193" spans="1:25" x14ac:dyDescent="0.3">
      <c r="A193" s="2">
        <v>41732</v>
      </c>
    </row>
    <row r="194" spans="1:25" x14ac:dyDescent="0.3">
      <c r="A194" s="2">
        <v>41733</v>
      </c>
      <c r="M194">
        <v>3.3466666666666653</v>
      </c>
      <c r="N194">
        <v>2.7566666666666655</v>
      </c>
    </row>
    <row r="195" spans="1:25" x14ac:dyDescent="0.3">
      <c r="A195" s="2">
        <v>41734</v>
      </c>
    </row>
    <row r="196" spans="1:25" x14ac:dyDescent="0.3">
      <c r="A196" s="2">
        <v>41735</v>
      </c>
    </row>
    <row r="197" spans="1:25" x14ac:dyDescent="0.3">
      <c r="A197" s="2">
        <v>41736</v>
      </c>
    </row>
    <row r="198" spans="1:25" x14ac:dyDescent="0.3">
      <c r="A198" s="2">
        <v>41737</v>
      </c>
    </row>
    <row r="199" spans="1:25" x14ac:dyDescent="0.3">
      <c r="A199" s="2">
        <v>41738</v>
      </c>
      <c r="B199">
        <v>469.08</v>
      </c>
      <c r="C199" s="9">
        <v>10.02</v>
      </c>
      <c r="D199" s="9">
        <v>8.39</v>
      </c>
      <c r="E199">
        <v>306.74666666666661</v>
      </c>
      <c r="F199" s="24">
        <f>E199/D199</f>
        <v>36.560985299960258</v>
      </c>
      <c r="H199">
        <v>164.36818000000002</v>
      </c>
      <c r="I199">
        <v>50.725798864995717</v>
      </c>
      <c r="L199" s="39">
        <v>81.400300000000001</v>
      </c>
      <c r="O199">
        <v>237.4133333333333</v>
      </c>
      <c r="P199">
        <f>O199/N201</f>
        <v>95.731182795698956</v>
      </c>
      <c r="S199">
        <v>88.156560000000013</v>
      </c>
      <c r="T199">
        <v>34.277979260353831</v>
      </c>
      <c r="Y199" s="2"/>
    </row>
    <row r="200" spans="1:25" x14ac:dyDescent="0.3">
      <c r="A200" s="2">
        <v>41739</v>
      </c>
    </row>
    <row r="201" spans="1:25" x14ac:dyDescent="0.3">
      <c r="A201" s="2">
        <v>41740</v>
      </c>
      <c r="M201">
        <v>3.0499999999999989</v>
      </c>
      <c r="N201">
        <v>2.4799999999999986</v>
      </c>
    </row>
    <row r="202" spans="1:25" x14ac:dyDescent="0.3">
      <c r="A202" s="2">
        <v>41741</v>
      </c>
    </row>
    <row r="203" spans="1:25" x14ac:dyDescent="0.3">
      <c r="A203" s="2">
        <v>41742</v>
      </c>
    </row>
    <row r="204" spans="1:25" x14ac:dyDescent="0.3">
      <c r="A204" s="2">
        <v>41743</v>
      </c>
    </row>
    <row r="205" spans="1:25" x14ac:dyDescent="0.3">
      <c r="A205" s="2">
        <v>41744</v>
      </c>
    </row>
    <row r="206" spans="1:25" x14ac:dyDescent="0.3">
      <c r="A206" s="2">
        <v>41745</v>
      </c>
      <c r="B206">
        <v>352.63499999999999</v>
      </c>
      <c r="C206">
        <v>6.71</v>
      </c>
      <c r="D206">
        <v>5.3</v>
      </c>
      <c r="E206">
        <v>197.4133333333333</v>
      </c>
      <c r="F206" s="24">
        <f>E206/D206</f>
        <v>37.247798742138357</v>
      </c>
      <c r="H206">
        <v>149.59035</v>
      </c>
      <c r="I206">
        <v>51.892169326533853</v>
      </c>
      <c r="J206">
        <v>11.239999999999995</v>
      </c>
      <c r="L206" s="39">
        <v>90.567099999999996</v>
      </c>
      <c r="O206">
        <v>361.1466666666667</v>
      </c>
      <c r="P206">
        <f>O206/N208</f>
        <v>167.45595054095836</v>
      </c>
      <c r="S206">
        <v>143.35568000000001</v>
      </c>
      <c r="Y206" s="2"/>
    </row>
    <row r="207" spans="1:25" x14ac:dyDescent="0.3">
      <c r="A207" s="2">
        <v>41746</v>
      </c>
    </row>
    <row r="208" spans="1:25" x14ac:dyDescent="0.3">
      <c r="A208" s="2">
        <v>41747</v>
      </c>
      <c r="M208">
        <v>2.5899999999999985</v>
      </c>
      <c r="N208">
        <v>2.1566666666666658</v>
      </c>
    </row>
    <row r="209" spans="1:16" x14ac:dyDescent="0.3">
      <c r="A209" s="2">
        <v>41748</v>
      </c>
    </row>
    <row r="210" spans="1:16" x14ac:dyDescent="0.3">
      <c r="A210" s="2">
        <v>41749</v>
      </c>
    </row>
    <row r="211" spans="1:16" x14ac:dyDescent="0.3">
      <c r="A211" s="2">
        <v>41750</v>
      </c>
    </row>
    <row r="212" spans="1:16" x14ac:dyDescent="0.3">
      <c r="A212" s="2">
        <v>41751</v>
      </c>
    </row>
    <row r="213" spans="1:16" x14ac:dyDescent="0.3">
      <c r="A213" s="2">
        <v>41752</v>
      </c>
      <c r="B213">
        <v>265.01</v>
      </c>
      <c r="C213">
        <v>7.13</v>
      </c>
      <c r="D213">
        <v>6.25</v>
      </c>
      <c r="E213">
        <v>273.68</v>
      </c>
      <c r="F213" s="24">
        <f>E213/D213</f>
        <v>43.788800000000002</v>
      </c>
      <c r="L213">
        <v>79.014099999999999</v>
      </c>
      <c r="O213">
        <v>117.41333333333334</v>
      </c>
      <c r="P213">
        <f>O213/N215</f>
        <v>54.442040185471384</v>
      </c>
    </row>
    <row r="214" spans="1:16" x14ac:dyDescent="0.3">
      <c r="A214" s="2">
        <v>41753</v>
      </c>
    </row>
    <row r="215" spans="1:16" x14ac:dyDescent="0.3">
      <c r="A215" s="2">
        <v>41754</v>
      </c>
      <c r="M215">
        <v>2.6000000000000005</v>
      </c>
      <c r="N215">
        <v>2.1566666666666676</v>
      </c>
    </row>
    <row r="216" spans="1:16" x14ac:dyDescent="0.3">
      <c r="A216" s="2">
        <v>41755</v>
      </c>
    </row>
    <row r="217" spans="1:16" x14ac:dyDescent="0.3">
      <c r="A217" s="2">
        <v>41756</v>
      </c>
    </row>
    <row r="218" spans="1:16" x14ac:dyDescent="0.3">
      <c r="A218" s="2">
        <v>41757</v>
      </c>
    </row>
    <row r="219" spans="1:16" x14ac:dyDescent="0.3">
      <c r="A219" s="2">
        <v>41758</v>
      </c>
    </row>
    <row r="220" spans="1:16" x14ac:dyDescent="0.3">
      <c r="A220" s="2">
        <v>41759</v>
      </c>
      <c r="B220">
        <v>226.07599999999999</v>
      </c>
      <c r="C220">
        <v>9.4466666666666672</v>
      </c>
      <c r="D220">
        <v>7.8966666666666674</v>
      </c>
      <c r="L220">
        <v>87.378</v>
      </c>
      <c r="M220">
        <v>2.8166666666666678</v>
      </c>
      <c r="N220">
        <v>2.2900000000000014</v>
      </c>
    </row>
    <row r="221" spans="1:16" x14ac:dyDescent="0.3">
      <c r="A221" s="2">
        <v>41760</v>
      </c>
    </row>
    <row r="222" spans="1:16" x14ac:dyDescent="0.3">
      <c r="A222" s="2">
        <v>41761</v>
      </c>
    </row>
    <row r="223" spans="1:16" x14ac:dyDescent="0.3">
      <c r="A223" s="2">
        <v>41762</v>
      </c>
    </row>
    <row r="224" spans="1:16" x14ac:dyDescent="0.3">
      <c r="A224" s="2">
        <v>41763</v>
      </c>
    </row>
    <row r="225" spans="1:14" x14ac:dyDescent="0.3">
      <c r="A225" s="2">
        <v>41764</v>
      </c>
    </row>
    <row r="226" spans="1:14" x14ac:dyDescent="0.3">
      <c r="A226" s="2">
        <v>41765</v>
      </c>
    </row>
    <row r="227" spans="1:14" x14ac:dyDescent="0.3">
      <c r="A227" s="2">
        <v>41766</v>
      </c>
      <c r="B227">
        <v>179.67699999999999</v>
      </c>
      <c r="C227">
        <v>5.48</v>
      </c>
      <c r="D227">
        <v>4.75</v>
      </c>
      <c r="L227">
        <v>85.497399999999999</v>
      </c>
    </row>
    <row r="228" spans="1:14" x14ac:dyDescent="0.3">
      <c r="A228" s="2">
        <v>41767</v>
      </c>
    </row>
    <row r="229" spans="1:14" x14ac:dyDescent="0.3">
      <c r="A229" s="2">
        <v>41768</v>
      </c>
      <c r="M229">
        <v>1.8766666666666671</v>
      </c>
      <c r="N229">
        <v>1.5766666666666671</v>
      </c>
    </row>
    <row r="230" spans="1:14" x14ac:dyDescent="0.3">
      <c r="A230" s="2">
        <v>41769</v>
      </c>
    </row>
    <row r="231" spans="1:14" x14ac:dyDescent="0.3">
      <c r="A231" s="2">
        <v>41770</v>
      </c>
    </row>
    <row r="232" spans="1:14" x14ac:dyDescent="0.3">
      <c r="A232" s="2">
        <v>41771</v>
      </c>
    </row>
    <row r="233" spans="1:14" x14ac:dyDescent="0.3">
      <c r="A233" s="2">
        <v>41772</v>
      </c>
    </row>
    <row r="234" spans="1:14" x14ac:dyDescent="0.3">
      <c r="A234" s="2">
        <v>41773</v>
      </c>
      <c r="C234">
        <v>8.14</v>
      </c>
      <c r="D234">
        <v>6.0866666666666687</v>
      </c>
      <c r="M234">
        <v>2.9666666666666663</v>
      </c>
      <c r="N234">
        <v>2.3766666666666656</v>
      </c>
    </row>
    <row r="235" spans="1:14" x14ac:dyDescent="0.3">
      <c r="A235" s="2">
        <v>41774</v>
      </c>
    </row>
    <row r="236" spans="1:14" x14ac:dyDescent="0.3">
      <c r="A236" s="2">
        <v>41775</v>
      </c>
    </row>
    <row r="237" spans="1:14" x14ac:dyDescent="0.3">
      <c r="A237" s="2">
        <v>41776</v>
      </c>
    </row>
    <row r="238" spans="1:14" x14ac:dyDescent="0.3">
      <c r="A238" s="2">
        <v>41777</v>
      </c>
    </row>
    <row r="239" spans="1:14" x14ac:dyDescent="0.3">
      <c r="A239" s="2">
        <v>41778</v>
      </c>
    </row>
    <row r="240" spans="1:14" x14ac:dyDescent="0.3">
      <c r="A240" s="2">
        <v>41779</v>
      </c>
    </row>
    <row r="241" spans="1:14" x14ac:dyDescent="0.3">
      <c r="A241" s="2">
        <v>41780</v>
      </c>
      <c r="B241" s="2"/>
      <c r="C241">
        <v>9.4433333333333334</v>
      </c>
      <c r="D241" s="21">
        <v>6.71</v>
      </c>
      <c r="L241" s="68"/>
      <c r="M241">
        <v>2.6749999999999994</v>
      </c>
      <c r="N241">
        <v>2.1566666666666676</v>
      </c>
    </row>
    <row r="242" spans="1:14" x14ac:dyDescent="0.3">
      <c r="A242" s="2">
        <v>41781</v>
      </c>
      <c r="D242" s="21"/>
      <c r="L242" s="68"/>
    </row>
    <row r="243" spans="1:14" x14ac:dyDescent="0.3">
      <c r="A243" s="2">
        <v>41782</v>
      </c>
      <c r="D243" s="21"/>
      <c r="L243" s="68"/>
    </row>
    <row r="244" spans="1:14" x14ac:dyDescent="0.3">
      <c r="A244" s="2">
        <v>41783</v>
      </c>
      <c r="D244" s="21"/>
    </row>
    <row r="245" spans="1:14" x14ac:dyDescent="0.3">
      <c r="A245" s="2">
        <v>41784</v>
      </c>
      <c r="D245" s="21"/>
    </row>
    <row r="246" spans="1:14" x14ac:dyDescent="0.3">
      <c r="A246" s="2">
        <v>41785</v>
      </c>
      <c r="D246" s="21"/>
    </row>
    <row r="247" spans="1:14" x14ac:dyDescent="0.3">
      <c r="A247" s="2">
        <v>41786</v>
      </c>
      <c r="D247" s="21"/>
    </row>
    <row r="248" spans="1:14" x14ac:dyDescent="0.3">
      <c r="A248" s="2">
        <v>41787</v>
      </c>
      <c r="B248" s="2"/>
      <c r="C248">
        <v>5.966666666666665</v>
      </c>
      <c r="D248" s="21">
        <v>4.4899999999999984</v>
      </c>
      <c r="L248" s="68"/>
      <c r="M248">
        <v>2.5700000000000007</v>
      </c>
      <c r="N248">
        <v>2.0133333333333336</v>
      </c>
    </row>
    <row r="249" spans="1:14" x14ac:dyDescent="0.3">
      <c r="A249" s="2">
        <v>41788</v>
      </c>
      <c r="D249" s="21"/>
      <c r="L249" s="68"/>
    </row>
    <row r="250" spans="1:14" x14ac:dyDescent="0.3">
      <c r="A250" s="2">
        <v>41789</v>
      </c>
      <c r="D250" s="21"/>
      <c r="L250" s="68"/>
    </row>
    <row r="251" spans="1:14" x14ac:dyDescent="0.3">
      <c r="A251" s="2">
        <v>41790</v>
      </c>
      <c r="D251" s="21"/>
    </row>
    <row r="252" spans="1:14" x14ac:dyDescent="0.3">
      <c r="A252" s="2">
        <v>41791</v>
      </c>
      <c r="D252" s="21"/>
    </row>
    <row r="253" spans="1:14" x14ac:dyDescent="0.3">
      <c r="A253" s="2">
        <v>41792</v>
      </c>
      <c r="D253" s="21"/>
    </row>
    <row r="254" spans="1:14" x14ac:dyDescent="0.3">
      <c r="A254" s="2">
        <v>41793</v>
      </c>
      <c r="D254" s="21"/>
    </row>
    <row r="255" spans="1:14" x14ac:dyDescent="0.3">
      <c r="A255" s="2">
        <v>41794</v>
      </c>
      <c r="B255" s="2"/>
      <c r="C255">
        <v>5.8733333333333348</v>
      </c>
      <c r="D255" s="21">
        <v>4.82</v>
      </c>
      <c r="L255" s="68"/>
      <c r="M255">
        <v>2.7400000000000007</v>
      </c>
      <c r="N255">
        <v>2.1366666666666672</v>
      </c>
    </row>
    <row r="256" spans="1:14" x14ac:dyDescent="0.3">
      <c r="A256" s="2">
        <v>41795</v>
      </c>
      <c r="D256" s="21"/>
      <c r="L256" s="68"/>
    </row>
    <row r="257" spans="1:14" x14ac:dyDescent="0.3">
      <c r="A257" s="2">
        <v>41796</v>
      </c>
      <c r="D257" s="21"/>
    </row>
    <row r="258" spans="1:14" x14ac:dyDescent="0.3">
      <c r="A258" s="2">
        <v>41797</v>
      </c>
      <c r="D258" s="21"/>
    </row>
    <row r="259" spans="1:14" x14ac:dyDescent="0.3">
      <c r="A259" s="2">
        <v>41798</v>
      </c>
      <c r="D259" s="21"/>
    </row>
    <row r="260" spans="1:14" x14ac:dyDescent="0.3">
      <c r="A260" s="2">
        <v>41799</v>
      </c>
      <c r="D260" s="21"/>
    </row>
    <row r="261" spans="1:14" x14ac:dyDescent="0.3">
      <c r="A261" s="2">
        <v>41800</v>
      </c>
      <c r="D261" s="21"/>
    </row>
    <row r="262" spans="1:14" x14ac:dyDescent="0.3">
      <c r="A262" s="2">
        <v>41801</v>
      </c>
      <c r="B262" s="2"/>
      <c r="C262">
        <v>5.2</v>
      </c>
      <c r="D262" s="21">
        <v>4.0600000000000005</v>
      </c>
      <c r="L262" s="68"/>
      <c r="M262">
        <v>2.4866666666666659</v>
      </c>
      <c r="N262">
        <v>1.8833333333333331</v>
      </c>
    </row>
    <row r="263" spans="1:14" x14ac:dyDescent="0.3">
      <c r="A263" s="2">
        <v>41802</v>
      </c>
      <c r="B263" s="2"/>
      <c r="D263" s="21"/>
      <c r="L263" s="68"/>
    </row>
    <row r="264" spans="1:14" x14ac:dyDescent="0.3">
      <c r="A264" s="2">
        <v>41803</v>
      </c>
      <c r="D264" s="21"/>
    </row>
    <row r="265" spans="1:14" x14ac:dyDescent="0.3">
      <c r="A265" s="2">
        <v>41804</v>
      </c>
      <c r="D265" s="21"/>
    </row>
    <row r="266" spans="1:14" x14ac:dyDescent="0.3">
      <c r="A266" s="2">
        <v>41805</v>
      </c>
      <c r="D266" s="21"/>
    </row>
    <row r="267" spans="1:14" x14ac:dyDescent="0.3">
      <c r="A267" s="2">
        <v>41806</v>
      </c>
      <c r="D267" s="21"/>
    </row>
    <row r="268" spans="1:14" x14ac:dyDescent="0.3">
      <c r="A268" s="2">
        <v>41807</v>
      </c>
      <c r="D268" s="21"/>
    </row>
    <row r="269" spans="1:14" x14ac:dyDescent="0.3">
      <c r="A269" s="62">
        <v>41808</v>
      </c>
      <c r="B269" s="63"/>
      <c r="C269" s="63"/>
      <c r="D269" s="65"/>
      <c r="E269" s="65"/>
      <c r="F269" s="65"/>
      <c r="G269" s="65"/>
      <c r="H269" s="63"/>
      <c r="I269" s="63"/>
      <c r="J269" s="63"/>
      <c r="K269" s="66"/>
      <c r="L269" s="68"/>
      <c r="M269">
        <v>2.5933333333333324</v>
      </c>
      <c r="N269">
        <v>1.95</v>
      </c>
    </row>
    <row r="270" spans="1:14" x14ac:dyDescent="0.3">
      <c r="A270" s="2">
        <v>41809</v>
      </c>
      <c r="D270" s="21"/>
      <c r="L270" s="68"/>
    </row>
    <row r="271" spans="1:14" x14ac:dyDescent="0.3">
      <c r="A271" s="2">
        <v>41810</v>
      </c>
      <c r="D271" s="21"/>
    </row>
    <row r="272" spans="1:14" x14ac:dyDescent="0.3">
      <c r="A272" s="2">
        <v>41811</v>
      </c>
      <c r="D272" s="21"/>
    </row>
    <row r="273" spans="1:14" x14ac:dyDescent="0.3">
      <c r="A273" s="2">
        <v>41812</v>
      </c>
      <c r="D273" s="21"/>
    </row>
    <row r="274" spans="1:14" x14ac:dyDescent="0.3">
      <c r="A274" s="2">
        <v>41813</v>
      </c>
      <c r="D274" s="21"/>
    </row>
    <row r="275" spans="1:14" x14ac:dyDescent="0.3">
      <c r="A275" s="2">
        <v>41814</v>
      </c>
      <c r="B275" s="2"/>
      <c r="C275">
        <v>6.6266666666666625</v>
      </c>
      <c r="D275" s="21">
        <v>5.4066666666666654</v>
      </c>
      <c r="L275" s="68"/>
      <c r="M275">
        <v>1.4999999999999993</v>
      </c>
      <c r="N275">
        <v>1.1933333333333322</v>
      </c>
    </row>
    <row r="276" spans="1:14" x14ac:dyDescent="0.3">
      <c r="A276" s="2">
        <v>41815</v>
      </c>
      <c r="D276" s="21"/>
      <c r="L276" s="68"/>
    </row>
    <row r="277" spans="1:14" x14ac:dyDescent="0.3">
      <c r="A277" s="2">
        <v>41816</v>
      </c>
      <c r="D277" s="21"/>
    </row>
    <row r="278" spans="1:14" x14ac:dyDescent="0.3">
      <c r="A278" s="2">
        <v>41817</v>
      </c>
      <c r="D278" s="21"/>
    </row>
    <row r="279" spans="1:14" x14ac:dyDescent="0.3">
      <c r="A279" s="2">
        <v>41818</v>
      </c>
      <c r="D279" s="21"/>
    </row>
    <row r="280" spans="1:14" x14ac:dyDescent="0.3">
      <c r="A280" s="2">
        <v>41819</v>
      </c>
      <c r="D280" s="21"/>
    </row>
    <row r="281" spans="1:14" x14ac:dyDescent="0.3">
      <c r="A281" s="2">
        <v>41820</v>
      </c>
      <c r="D281" s="21"/>
    </row>
    <row r="282" spans="1:14" x14ac:dyDescent="0.3">
      <c r="A282" s="2">
        <v>41821</v>
      </c>
      <c r="D282" s="21"/>
    </row>
    <row r="283" spans="1:14" x14ac:dyDescent="0.3">
      <c r="A283" s="62">
        <v>41822</v>
      </c>
      <c r="B283" s="62"/>
      <c r="C283" s="63">
        <v>0.74333333333333285</v>
      </c>
      <c r="D283" s="65">
        <v>0.71666666666666545</v>
      </c>
      <c r="E283" s="63"/>
      <c r="F283" s="63"/>
      <c r="G283" s="63"/>
      <c r="H283" s="63"/>
      <c r="I283" s="63"/>
      <c r="J283" s="63"/>
      <c r="K283" s="66"/>
      <c r="L283" s="68"/>
      <c r="M283">
        <v>3.4500000000000006</v>
      </c>
      <c r="N283">
        <v>2.6966666666666668</v>
      </c>
    </row>
    <row r="284" spans="1:14" x14ac:dyDescent="0.3">
      <c r="A284" s="2">
        <v>41823</v>
      </c>
      <c r="D284" s="21"/>
      <c r="L284" s="68"/>
    </row>
    <row r="285" spans="1:14" x14ac:dyDescent="0.3">
      <c r="A285" s="2">
        <v>41824</v>
      </c>
      <c r="D285" s="21"/>
    </row>
    <row r="286" spans="1:14" x14ac:dyDescent="0.3">
      <c r="A286" s="2">
        <v>41825</v>
      </c>
      <c r="D286" s="21"/>
    </row>
    <row r="287" spans="1:14" x14ac:dyDescent="0.3">
      <c r="A287" s="2">
        <v>41826</v>
      </c>
      <c r="D287" s="21"/>
    </row>
    <row r="288" spans="1:14" x14ac:dyDescent="0.3">
      <c r="A288" s="2">
        <v>41827</v>
      </c>
      <c r="D288" s="21"/>
    </row>
    <row r="289" spans="1:14" x14ac:dyDescent="0.3">
      <c r="A289" s="2">
        <v>41828</v>
      </c>
      <c r="D289" s="21"/>
    </row>
    <row r="290" spans="1:14" x14ac:dyDescent="0.3">
      <c r="A290" s="2">
        <v>41829</v>
      </c>
      <c r="B290" s="2"/>
      <c r="C290">
        <v>7.6633333333333331</v>
      </c>
      <c r="D290" s="21">
        <v>5.3633333333333342</v>
      </c>
      <c r="L290" s="68"/>
      <c r="M290">
        <v>2.4366666666666656</v>
      </c>
      <c r="N290">
        <v>1.9766666666666655</v>
      </c>
    </row>
    <row r="291" spans="1:14" x14ac:dyDescent="0.3">
      <c r="A291" s="2">
        <v>41830</v>
      </c>
      <c r="L291" s="69"/>
    </row>
    <row r="292" spans="1:14" x14ac:dyDescent="0.3">
      <c r="A292" s="2">
        <v>41831</v>
      </c>
    </row>
    <row r="293" spans="1:14" x14ac:dyDescent="0.3">
      <c r="A293" s="2">
        <v>41832</v>
      </c>
    </row>
    <row r="294" spans="1:14" x14ac:dyDescent="0.3">
      <c r="A294" s="2">
        <v>41833</v>
      </c>
    </row>
    <row r="295" spans="1:14" x14ac:dyDescent="0.3">
      <c r="A295" s="2">
        <v>41834</v>
      </c>
    </row>
    <row r="296" spans="1:14" x14ac:dyDescent="0.3">
      <c r="A296" s="2">
        <v>41835</v>
      </c>
    </row>
    <row r="297" spans="1:14" x14ac:dyDescent="0.3">
      <c r="A297" s="2">
        <v>41836</v>
      </c>
    </row>
    <row r="298" spans="1:14" x14ac:dyDescent="0.3">
      <c r="A298" s="2">
        <v>41837</v>
      </c>
    </row>
    <row r="299" spans="1:14" x14ac:dyDescent="0.3">
      <c r="A299" s="2">
        <v>41838</v>
      </c>
    </row>
    <row r="300" spans="1:14" x14ac:dyDescent="0.3">
      <c r="A300" s="2">
        <v>41839</v>
      </c>
    </row>
    <row r="301" spans="1:14" x14ac:dyDescent="0.3">
      <c r="A301" s="2">
        <v>41840</v>
      </c>
    </row>
  </sheetData>
  <mergeCells count="2">
    <mergeCell ref="B2:K2"/>
    <mergeCell ref="L2:V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363"/>
  <sheetViews>
    <sheetView zoomScale="80" zoomScaleNormal="80" workbookViewId="0">
      <pane xSplit="1" ySplit="8" topLeftCell="B9" activePane="bottomRight" state="frozen"/>
      <selection pane="topRight" activeCell="B1" sqref="B1"/>
      <selection pane="bottomLeft" activeCell="A13" sqref="A13"/>
      <selection pane="bottomRight" activeCell="E221" sqref="E221"/>
    </sheetView>
  </sheetViews>
  <sheetFormatPr baseColWidth="10" defaultColWidth="8.88671875" defaultRowHeight="14.4" x14ac:dyDescent="0.3"/>
  <cols>
    <col min="1" max="1" width="28" bestFit="1" customWidth="1"/>
    <col min="2" max="2" width="31.109375" customWidth="1"/>
    <col min="3" max="3" width="42.44140625" bestFit="1" customWidth="1"/>
    <col min="4" max="4" width="18.6640625" bestFit="1" customWidth="1"/>
    <col min="5" max="5" width="17.6640625" style="86" customWidth="1"/>
    <col min="6" max="6" width="3.5546875" style="44" customWidth="1"/>
    <col min="7" max="7" width="4.5546875" style="44" customWidth="1"/>
    <col min="8" max="8" width="14.33203125" style="44" bestFit="1" customWidth="1"/>
    <col min="9" max="9" width="14.5546875" style="24" customWidth="1"/>
    <col min="10" max="10" width="3.5546875" style="44" customWidth="1"/>
    <col min="11" max="11" width="4.5546875" style="44" customWidth="1"/>
    <col min="12" max="12" width="14.44140625" style="44" bestFit="1" customWidth="1"/>
    <col min="13" max="13" width="14.44140625" style="24" customWidth="1"/>
    <col min="14" max="14" width="22.33203125" style="44" bestFit="1" customWidth="1"/>
    <col min="15" max="15" width="3.5546875" style="44" customWidth="1"/>
    <col min="16" max="16" width="4.5546875" style="44" customWidth="1"/>
    <col min="17" max="17" width="19.109375" style="44" bestFit="1" customWidth="1"/>
    <col min="18" max="18" width="17.5546875" style="44" customWidth="1"/>
    <col min="19" max="19" width="3.5546875" style="44" customWidth="1"/>
    <col min="20" max="20" width="4.5546875" style="44" customWidth="1"/>
    <col min="21" max="21" width="19.109375" style="44" bestFit="1" customWidth="1"/>
    <col min="22" max="22" width="14" bestFit="1" customWidth="1"/>
    <col min="23" max="23" width="13.109375" bestFit="1" customWidth="1"/>
    <col min="24" max="25" width="13.109375" style="80" customWidth="1"/>
    <col min="26" max="26" width="13.33203125" style="80" customWidth="1"/>
    <col min="27" max="27" width="17.33203125" bestFit="1" customWidth="1"/>
    <col min="28" max="28" width="20.33203125" bestFit="1" customWidth="1"/>
    <col min="29" max="29" width="21.6640625" bestFit="1" customWidth="1"/>
    <col min="30" max="30" width="16.44140625" customWidth="1"/>
    <col min="31" max="31" width="13.33203125" customWidth="1"/>
    <col min="32" max="32" width="9.5546875" customWidth="1"/>
    <col min="34" max="35" width="7" bestFit="1" customWidth="1"/>
    <col min="36" max="37" width="8.6640625" bestFit="1" customWidth="1"/>
    <col min="38" max="38" width="13.109375" bestFit="1" customWidth="1"/>
    <col min="39" max="39" width="8.88671875" bestFit="1" customWidth="1"/>
    <col min="40" max="40" width="10" bestFit="1" customWidth="1"/>
    <col min="41" max="41" width="7.6640625" customWidth="1"/>
    <col min="42" max="42" width="5.44140625" bestFit="1" customWidth="1"/>
    <col min="43" max="43" width="6.88671875" bestFit="1" customWidth="1"/>
    <col min="44" max="44" width="10.109375" bestFit="1" customWidth="1"/>
    <col min="45" max="45" width="8.6640625" bestFit="1" customWidth="1"/>
    <col min="46" max="46" width="7.109375" customWidth="1"/>
    <col min="47" max="47" width="10.5546875" style="6" customWidth="1"/>
    <col min="48" max="48" width="10.44140625" style="6" customWidth="1"/>
    <col min="49" max="49" width="21.88671875" style="6" bestFit="1" customWidth="1"/>
    <col min="50" max="50" width="11" bestFit="1" customWidth="1"/>
    <col min="51" max="51" width="13.44140625" bestFit="1" customWidth="1"/>
    <col min="52" max="52" width="10.44140625" bestFit="1" customWidth="1"/>
    <col min="53" max="53" width="21.88671875" bestFit="1" customWidth="1"/>
    <col min="54" max="54" width="8.88671875" bestFit="1" customWidth="1"/>
    <col min="55" max="55" width="13.44140625" bestFit="1" customWidth="1"/>
    <col min="56" max="56" width="10.44140625" bestFit="1" customWidth="1"/>
    <col min="57" max="57" width="21.88671875" bestFit="1" customWidth="1"/>
    <col min="58" max="58" width="8.88671875" bestFit="1" customWidth="1"/>
    <col min="59" max="59" width="13.44140625" bestFit="1" customWidth="1"/>
    <col min="60" max="60" width="10.44140625" bestFit="1" customWidth="1"/>
    <col min="61" max="61" width="21.88671875" bestFit="1" customWidth="1"/>
    <col min="62" max="62" width="8.88671875" bestFit="1" customWidth="1"/>
    <col min="63" max="63" width="7.33203125" bestFit="1" customWidth="1"/>
    <col min="64" max="64" width="13.44140625" bestFit="1" customWidth="1"/>
    <col min="65" max="65" width="10.44140625" bestFit="1" customWidth="1"/>
    <col min="66" max="66" width="26.109375" bestFit="1" customWidth="1"/>
    <col min="67" max="67" width="18.109375" bestFit="1" customWidth="1"/>
    <col min="68" max="68" width="4" bestFit="1" customWidth="1"/>
    <col min="69" max="70" width="5.44140625" bestFit="1" customWidth="1"/>
    <col min="71" max="71" width="10.109375" bestFit="1" customWidth="1"/>
    <col min="72" max="72" width="19.6640625" bestFit="1" customWidth="1"/>
    <col min="73" max="74" width="12.88671875" bestFit="1" customWidth="1"/>
    <col min="75" max="75" width="14" bestFit="1" customWidth="1"/>
    <col min="76" max="76" width="14.44140625" bestFit="1" customWidth="1"/>
    <col min="77" max="77" width="9.5546875" bestFit="1" customWidth="1"/>
    <col min="78" max="78" width="59.5546875" bestFit="1" customWidth="1"/>
    <col min="79" max="79" width="29.6640625" bestFit="1" customWidth="1"/>
    <col min="80" max="80" width="21.44140625" bestFit="1" customWidth="1"/>
    <col min="81" max="81" width="10.109375" bestFit="1" customWidth="1"/>
    <col min="82" max="84" width="10.109375" customWidth="1"/>
    <col min="85" max="85" width="15.88671875" bestFit="1" customWidth="1"/>
    <col min="86" max="86" width="10.109375" bestFit="1" customWidth="1"/>
    <col min="87" max="87" width="13.44140625" bestFit="1" customWidth="1"/>
    <col min="88" max="88" width="37.33203125" bestFit="1" customWidth="1"/>
    <col min="89" max="89" width="9.5546875" bestFit="1" customWidth="1"/>
    <col min="90" max="90" width="11.6640625" bestFit="1" customWidth="1"/>
    <col min="91" max="91" width="9.5546875" bestFit="1" customWidth="1"/>
    <col min="92" max="92" width="10.109375" bestFit="1" customWidth="1"/>
    <col min="93" max="93" width="9.5546875" bestFit="1" customWidth="1"/>
    <col min="94" max="94" width="10.33203125" bestFit="1" customWidth="1"/>
    <col min="95" max="95" width="9.5546875" bestFit="1" customWidth="1"/>
    <col min="96" max="101" width="12.88671875" bestFit="1" customWidth="1"/>
    <col min="102" max="104" width="31.88671875" bestFit="1" customWidth="1"/>
    <col min="105" max="105" width="16.5546875" bestFit="1" customWidth="1"/>
    <col min="106" max="106" width="8.88671875" bestFit="1" customWidth="1"/>
    <col min="107" max="107" width="7" bestFit="1" customWidth="1"/>
    <col min="108" max="108" width="8.33203125" bestFit="1" customWidth="1"/>
    <col min="109" max="109" width="10.88671875" bestFit="1" customWidth="1"/>
    <col min="110" max="110" width="28.88671875" bestFit="1" customWidth="1"/>
    <col min="111" max="111" width="24.5546875" bestFit="1" customWidth="1"/>
    <col min="112" max="112" width="11.109375" bestFit="1" customWidth="1"/>
    <col min="113" max="113" width="16" bestFit="1" customWidth="1"/>
    <col min="114" max="114" width="30.44140625" bestFit="1" customWidth="1"/>
    <col min="115" max="115" width="10" bestFit="1" customWidth="1"/>
    <col min="116" max="117" width="9" customWidth="1"/>
  </cols>
  <sheetData>
    <row r="1" spans="1:49" x14ac:dyDescent="0.3">
      <c r="A1" t="s">
        <v>118</v>
      </c>
      <c r="B1">
        <v>3500</v>
      </c>
      <c r="C1" t="s">
        <v>119</v>
      </c>
      <c r="D1" s="22" t="s">
        <v>111</v>
      </c>
      <c r="E1" s="92" t="s">
        <v>139</v>
      </c>
      <c r="I1" s="93" t="s">
        <v>140</v>
      </c>
      <c r="X1" s="87" t="s">
        <v>322</v>
      </c>
      <c r="Z1" s="87" t="s">
        <v>323</v>
      </c>
      <c r="AF1" s="22" t="s">
        <v>324</v>
      </c>
      <c r="AG1" s="83"/>
    </row>
    <row r="2" spans="1:49" x14ac:dyDescent="0.3">
      <c r="A2" t="s">
        <v>120</v>
      </c>
      <c r="B2">
        <f>0.5</f>
        <v>0.5</v>
      </c>
    </row>
    <row r="3" spans="1:49" x14ac:dyDescent="0.3">
      <c r="A3" s="8" t="s">
        <v>121</v>
      </c>
      <c r="B3">
        <v>11721</v>
      </c>
      <c r="C3" t="s">
        <v>119</v>
      </c>
      <c r="AT3" s="6"/>
      <c r="AW3"/>
    </row>
    <row r="4" spans="1:49" x14ac:dyDescent="0.3">
      <c r="A4" s="23" t="s">
        <v>123</v>
      </c>
      <c r="B4">
        <v>1</v>
      </c>
      <c r="C4" t="s">
        <v>149</v>
      </c>
      <c r="AH4" s="37"/>
      <c r="AU4"/>
      <c r="AW4"/>
    </row>
    <row r="5" spans="1:49" x14ac:dyDescent="0.3">
      <c r="A5" s="33" t="s">
        <v>142</v>
      </c>
      <c r="B5" s="1">
        <v>2.7712397905658182</v>
      </c>
      <c r="C5" s="3" t="s">
        <v>201</v>
      </c>
      <c r="V5" t="s">
        <v>146</v>
      </c>
      <c r="W5" s="43">
        <f>AVERAGE(W9:W220)</f>
        <v>2.0124069480982252</v>
      </c>
      <c r="X5" s="89">
        <f>AVERAGE(X9:X220)</f>
        <v>0.41174003941902548</v>
      </c>
      <c r="Y5" s="89">
        <f>AVERAGE(Y9:Y220)</f>
        <v>0.20587001970951274</v>
      </c>
      <c r="Z5" s="89">
        <f>AVERAGE(Z9:Z220)</f>
        <v>2.1128135942144164E-2</v>
      </c>
      <c r="AU5"/>
      <c r="AW5"/>
    </row>
    <row r="6" spans="1:49" x14ac:dyDescent="0.3">
      <c r="A6" s="1" t="s">
        <v>110</v>
      </c>
      <c r="B6" t="s">
        <v>145</v>
      </c>
      <c r="C6" t="s">
        <v>126</v>
      </c>
      <c r="D6" t="s">
        <v>111</v>
      </c>
      <c r="E6" s="86" t="s">
        <v>127</v>
      </c>
      <c r="F6" s="46" t="s">
        <v>154</v>
      </c>
      <c r="G6" s="46" t="s">
        <v>155</v>
      </c>
      <c r="H6" t="s">
        <v>147</v>
      </c>
      <c r="I6" s="25" t="s">
        <v>128</v>
      </c>
      <c r="J6" s="46" t="s">
        <v>154</v>
      </c>
      <c r="K6" s="46" t="s">
        <v>155</v>
      </c>
      <c r="L6" t="s">
        <v>148</v>
      </c>
      <c r="M6" s="25" t="s">
        <v>167</v>
      </c>
      <c r="N6" s="45" t="s">
        <v>153</v>
      </c>
      <c r="O6" s="46" t="s">
        <v>154</v>
      </c>
      <c r="P6" s="46" t="s">
        <v>155</v>
      </c>
      <c r="Q6" s="45" t="s">
        <v>152</v>
      </c>
      <c r="R6" s="45" t="s">
        <v>156</v>
      </c>
      <c r="S6" s="46" t="s">
        <v>154</v>
      </c>
      <c r="T6" s="46" t="s">
        <v>155</v>
      </c>
      <c r="U6" s="45" t="s">
        <v>157</v>
      </c>
      <c r="V6" t="s">
        <v>125</v>
      </c>
      <c r="W6" t="s">
        <v>159</v>
      </c>
      <c r="X6" s="91" t="s">
        <v>160</v>
      </c>
      <c r="Y6" s="85" t="s">
        <v>161</v>
      </c>
      <c r="Z6" s="85" t="s">
        <v>150</v>
      </c>
      <c r="AA6" t="s">
        <v>165</v>
      </c>
      <c r="AB6" t="s">
        <v>163</v>
      </c>
      <c r="AC6" t="s">
        <v>164</v>
      </c>
      <c r="AD6" t="s">
        <v>162</v>
      </c>
      <c r="AE6" t="s">
        <v>235</v>
      </c>
      <c r="AF6" s="83" t="s">
        <v>166</v>
      </c>
      <c r="AL6" s="19"/>
      <c r="AM6" s="20"/>
      <c r="AN6" s="20"/>
      <c r="AO6" s="20"/>
      <c r="AP6" s="19"/>
      <c r="AQ6" s="20"/>
      <c r="AR6" s="19"/>
      <c r="AS6" s="6"/>
      <c r="AT6" s="6"/>
      <c r="AU6" s="18"/>
      <c r="AV6"/>
      <c r="AW6"/>
    </row>
    <row r="7" spans="1:49" x14ac:dyDescent="0.3">
      <c r="C7" t="s">
        <v>15</v>
      </c>
      <c r="D7" s="7" t="s">
        <v>117</v>
      </c>
      <c r="E7" s="80" t="s">
        <v>15</v>
      </c>
      <c r="F7" s="45"/>
      <c r="G7" s="45"/>
      <c r="H7" t="s">
        <v>15</v>
      </c>
      <c r="I7" t="s">
        <v>15</v>
      </c>
      <c r="J7" s="45"/>
      <c r="K7" s="45"/>
      <c r="L7" t="s">
        <v>15</v>
      </c>
      <c r="M7"/>
      <c r="N7" s="9" t="s">
        <v>15</v>
      </c>
      <c r="O7" s="45"/>
      <c r="P7" s="45"/>
      <c r="Q7" s="9" t="s">
        <v>15</v>
      </c>
      <c r="R7" s="9" t="s">
        <v>15</v>
      </c>
      <c r="S7" s="45"/>
      <c r="T7" s="45"/>
      <c r="U7" s="9" t="s">
        <v>15</v>
      </c>
      <c r="V7" s="9" t="s">
        <v>158</v>
      </c>
      <c r="W7" t="s">
        <v>112</v>
      </c>
      <c r="X7" s="80" t="s">
        <v>112</v>
      </c>
      <c r="Y7" s="80" t="s">
        <v>112</v>
      </c>
      <c r="Z7" s="80" t="s">
        <v>112</v>
      </c>
      <c r="AA7" t="s">
        <v>20</v>
      </c>
      <c r="AB7" t="s">
        <v>20</v>
      </c>
      <c r="AC7" t="s">
        <v>20</v>
      </c>
      <c r="AD7" t="s">
        <v>20</v>
      </c>
      <c r="AE7" t="s">
        <v>113</v>
      </c>
      <c r="AF7" t="s">
        <v>230</v>
      </c>
      <c r="AL7" s="6"/>
      <c r="AM7" s="6"/>
      <c r="AN7" s="6"/>
      <c r="AO7" s="6"/>
      <c r="AP7" s="6"/>
      <c r="AQ7" s="6"/>
      <c r="AR7" s="6"/>
      <c r="AS7" s="6"/>
      <c r="AT7" s="6"/>
      <c r="AU7"/>
      <c r="AV7"/>
      <c r="AW7"/>
    </row>
    <row r="8" spans="1:49" x14ac:dyDescent="0.3">
      <c r="A8" t="s">
        <v>110</v>
      </c>
      <c r="B8" s="43">
        <f>AVERAGE(B9:B220)</f>
        <v>0.40054261704681871</v>
      </c>
      <c r="E8" s="99" t="s">
        <v>139</v>
      </c>
      <c r="F8" s="45"/>
      <c r="G8" s="45"/>
      <c r="H8"/>
      <c r="J8" s="45"/>
      <c r="K8" s="45"/>
      <c r="L8"/>
      <c r="N8" s="45"/>
      <c r="O8" s="45"/>
      <c r="P8" s="45"/>
      <c r="Q8" s="45"/>
      <c r="R8" s="45"/>
      <c r="S8" s="45"/>
      <c r="T8" s="45"/>
      <c r="U8" s="45"/>
      <c r="X8" s="82" t="s">
        <v>322</v>
      </c>
      <c r="Z8" s="82" t="s">
        <v>323</v>
      </c>
      <c r="AL8" s="6"/>
      <c r="AM8" s="6"/>
      <c r="AN8" s="6"/>
      <c r="AO8" s="6"/>
      <c r="AP8" s="6"/>
      <c r="AQ8" s="6"/>
      <c r="AR8" s="6"/>
      <c r="AS8" s="6"/>
      <c r="AT8" s="6"/>
      <c r="AU8"/>
      <c r="AV8"/>
      <c r="AW8"/>
    </row>
    <row r="9" spans="1:49" x14ac:dyDescent="0.3">
      <c r="A9" s="2">
        <f>Data_nieuwveer!A9</f>
        <v>41548</v>
      </c>
      <c r="D9">
        <f>Data_nieuwveer!F9/(Data_nieuwveer!E9-Data_nieuwveer!F9)</f>
        <v>3.4266166750415521</v>
      </c>
      <c r="F9" s="46">
        <f t="shared" ref="F9:F17" si="0">IF(E9&gt;0,0,F8+1)</f>
        <v>1</v>
      </c>
      <c r="G9" s="48">
        <f>F9/(MAX(F$9:F$10)+1)</f>
        <v>0.33333333333333331</v>
      </c>
      <c r="H9" s="49">
        <f>E$11*(1-G9)+E$11*G9</f>
        <v>3276.0000000000005</v>
      </c>
      <c r="J9" s="46">
        <f t="shared" ref="J9:J17" si="1">IF(I9&gt;0,0,J8+1)</f>
        <v>1</v>
      </c>
      <c r="K9" s="48">
        <f>J9/(MAX(J$9:J$10)+1)</f>
        <v>0.33333333333333331</v>
      </c>
      <c r="L9" s="49">
        <f>I$11*(1-K9)+I$11*K9</f>
        <v>2607.6959999999999</v>
      </c>
      <c r="N9" s="45"/>
      <c r="O9" s="46">
        <f t="shared" ref="O9:O40" si="2">IF(N9&gt;0,0,O8+1)</f>
        <v>1</v>
      </c>
      <c r="P9" s="48">
        <f>O9/(MAX(O$9:O$12)+1)</f>
        <v>0.2</v>
      </c>
      <c r="Q9" s="49">
        <f>N$13*(1-P9)+N$13*P9</f>
        <v>39</v>
      </c>
      <c r="R9" s="45"/>
      <c r="S9" s="46">
        <f t="shared" ref="S9:S40" si="3">IF(R9&gt;0,0,S8+1)</f>
        <v>1</v>
      </c>
      <c r="T9" s="48">
        <f>S9/(MAX(S$4:S$9)+1)</f>
        <v>0.5</v>
      </c>
      <c r="U9" s="49">
        <f>R$10*(1-T9)+R$10*T9</f>
        <v>10875</v>
      </c>
      <c r="W9" s="47"/>
      <c r="X9" s="90"/>
      <c r="Y9" s="90"/>
      <c r="Z9" s="80">
        <f>$B$1/(Data_nieuwveer!E9+Data_nieuwveer!U9)</f>
        <v>1.5093454356962783E-2</v>
      </c>
      <c r="AA9" s="42"/>
      <c r="AB9" s="42"/>
      <c r="AC9" s="42"/>
      <c r="AD9" s="42"/>
      <c r="AL9" s="6"/>
      <c r="AM9" s="6"/>
      <c r="AN9" s="6"/>
      <c r="AO9" s="6"/>
      <c r="AP9" s="6"/>
      <c r="AQ9" s="6"/>
      <c r="AR9" s="6"/>
      <c r="AS9" s="6"/>
      <c r="AT9" s="6"/>
      <c r="AU9"/>
      <c r="AV9"/>
      <c r="AW9"/>
    </row>
    <row r="10" spans="1:49" x14ac:dyDescent="0.3">
      <c r="A10" s="2">
        <f>Data_nieuwveer!A10</f>
        <v>41549</v>
      </c>
      <c r="D10">
        <f>Data_nieuwveer!F10/(Data_nieuwveer!E10-Data_nieuwveer!F10)</f>
        <v>3.5116357772778852</v>
      </c>
      <c r="F10" s="46">
        <f t="shared" si="0"/>
        <v>2</v>
      </c>
      <c r="G10" s="48">
        <f>F10/(MAX(F$9:F$10)+1)</f>
        <v>0.66666666666666663</v>
      </c>
      <c r="H10" s="49">
        <f t="shared" ref="H10" si="4">E$11*(1-G10)+E$11*G10</f>
        <v>3276</v>
      </c>
      <c r="J10" s="46">
        <f t="shared" si="1"/>
        <v>2</v>
      </c>
      <c r="K10" s="48">
        <f>J10/(MAX(J$9:J$10)+1)</f>
        <v>0.66666666666666663</v>
      </c>
      <c r="L10" s="49">
        <f t="shared" ref="L10" si="5">I$11*(1-K10)+I$11*K10</f>
        <v>2607.6959999999999</v>
      </c>
      <c r="N10" s="45"/>
      <c r="O10" s="46">
        <f t="shared" si="2"/>
        <v>2</v>
      </c>
      <c r="P10" s="48">
        <f>O10/(MAX(O$9:O$12)+1)</f>
        <v>0.4</v>
      </c>
      <c r="Q10" s="49">
        <f>N$13*(1-P10)+N$13*P10</f>
        <v>39</v>
      </c>
      <c r="R10" s="45">
        <f>Data_nieuwveer!AN10*B$4</f>
        <v>10875</v>
      </c>
      <c r="S10" s="46">
        <f t="shared" si="3"/>
        <v>0</v>
      </c>
      <c r="T10" s="48">
        <f t="shared" ref="T10:T16" si="6">S10/(MAX(S$10:S$16)+1)</f>
        <v>0</v>
      </c>
      <c r="U10" s="49">
        <f t="shared" ref="U10:U16" si="7">R$10*(1-T10)+R$17*T10</f>
        <v>10875</v>
      </c>
      <c r="W10" s="47"/>
      <c r="X10" s="90"/>
      <c r="Y10" s="90"/>
      <c r="Z10" s="80">
        <f>$B$1/(Data_nieuwveer!E10+Data_nieuwveer!U10)</f>
        <v>1.5254948323862552E-2</v>
      </c>
      <c r="AA10" s="42"/>
      <c r="AB10" s="42"/>
      <c r="AC10" s="42"/>
      <c r="AD10" s="42"/>
      <c r="AL10" s="6"/>
      <c r="AM10" s="6"/>
      <c r="AN10" s="6"/>
      <c r="AO10" s="6"/>
      <c r="AP10" s="6"/>
      <c r="AQ10" s="6"/>
      <c r="AR10" s="6"/>
      <c r="AS10" s="6"/>
      <c r="AT10" s="6"/>
      <c r="AU10"/>
      <c r="AV10"/>
      <c r="AW10"/>
    </row>
    <row r="11" spans="1:49" x14ac:dyDescent="0.3">
      <c r="A11" s="2">
        <f>Data_nieuwveer!A11</f>
        <v>41550</v>
      </c>
      <c r="D11">
        <f>Data_nieuwveer!F11/(Data_nieuwveer!E11-Data_nieuwveer!F11)</f>
        <v>3.6153846153846154</v>
      </c>
      <c r="E11" s="86">
        <f>Data_nieuwveer!AF11</f>
        <v>3276</v>
      </c>
      <c r="F11" s="46">
        <f t="shared" si="0"/>
        <v>0</v>
      </c>
      <c r="G11" s="48">
        <f>F11/(MAX(F11:F14)+1)</f>
        <v>0</v>
      </c>
      <c r="H11" s="49">
        <f>E11*(1-G11)+E15*G11</f>
        <v>3276</v>
      </c>
      <c r="I11" s="24">
        <f>E11*(1-Data_nieuwveer!AG11/100)</f>
        <v>2607.6959999999999</v>
      </c>
      <c r="J11" s="46">
        <f t="shared" si="1"/>
        <v>0</v>
      </c>
      <c r="K11" s="48">
        <f>J11/(MAX(J11:J14)+1)</f>
        <v>0</v>
      </c>
      <c r="L11" s="49">
        <f>I11*(1-K11)+I15*K11</f>
        <v>2607.6959999999999</v>
      </c>
      <c r="M11" s="24">
        <f>I11/E11</f>
        <v>0.79599999999999993</v>
      </c>
      <c r="N11" s="45"/>
      <c r="O11" s="46">
        <f t="shared" si="2"/>
        <v>3</v>
      </c>
      <c r="P11" s="48">
        <f>O11/(MAX(O$9:O$12)+1)</f>
        <v>0.6</v>
      </c>
      <c r="Q11" s="49">
        <f>N$13*(1-P11)+N$13*P11</f>
        <v>39</v>
      </c>
      <c r="R11" s="45"/>
      <c r="S11" s="46">
        <f t="shared" si="3"/>
        <v>1</v>
      </c>
      <c r="T11" s="48">
        <f t="shared" si="6"/>
        <v>0.14285714285714285</v>
      </c>
      <c r="U11" s="49">
        <f t="shared" si="7"/>
        <v>10648.142857142859</v>
      </c>
      <c r="W11" s="47"/>
      <c r="X11" s="90"/>
      <c r="Y11" s="90"/>
      <c r="Z11" s="80">
        <f>$B$1/(Data_nieuwveer!E11+Data_nieuwveer!U11)</f>
        <v>1.513540577255295E-2</v>
      </c>
      <c r="AA11" s="42"/>
      <c r="AB11" s="42"/>
      <c r="AC11" s="42"/>
      <c r="AD11" s="42"/>
      <c r="AL11" s="6"/>
      <c r="AM11" s="6"/>
      <c r="AN11" s="6"/>
      <c r="AO11" s="6"/>
      <c r="AP11" s="6"/>
      <c r="AQ11" s="6"/>
      <c r="AR11" s="6"/>
      <c r="AS11" s="6"/>
      <c r="AT11" s="6"/>
      <c r="AU11"/>
      <c r="AV11"/>
      <c r="AW11"/>
    </row>
    <row r="12" spans="1:49" x14ac:dyDescent="0.3">
      <c r="A12" s="2">
        <f>Data_nieuwveer!A12</f>
        <v>41551</v>
      </c>
      <c r="D12">
        <f>Data_nieuwveer!F12/(Data_nieuwveer!E12-Data_nieuwveer!F12)</f>
        <v>1.8204057279236276</v>
      </c>
      <c r="F12" s="46">
        <f t="shared" si="0"/>
        <v>1</v>
      </c>
      <c r="G12" s="48">
        <f>F12/(MAX(F11:F14)+1)</f>
        <v>0.25</v>
      </c>
      <c r="H12" s="49">
        <f>E11*(1-G12)+E15*G12</f>
        <v>3252.5</v>
      </c>
      <c r="J12" s="46">
        <f t="shared" si="1"/>
        <v>1</v>
      </c>
      <c r="K12" s="48">
        <f>J12/(MAX(J11:J14)+1)</f>
        <v>0.25</v>
      </c>
      <c r="L12" s="49">
        <f>I11*(1-K12)+I15*K12</f>
        <v>2564.3294999999998</v>
      </c>
      <c r="N12" s="45"/>
      <c r="O12" s="46">
        <f t="shared" si="2"/>
        <v>4</v>
      </c>
      <c r="P12" s="48">
        <f>O12/(MAX(O$9:O$12)+1)</f>
        <v>0.8</v>
      </c>
      <c r="Q12" s="49">
        <f>N$13*(1-P12)+N$13*P12</f>
        <v>39</v>
      </c>
      <c r="R12" s="45"/>
      <c r="S12" s="46">
        <f t="shared" si="3"/>
        <v>2</v>
      </c>
      <c r="T12" s="48">
        <f t="shared" si="6"/>
        <v>0.2857142857142857</v>
      </c>
      <c r="U12" s="49">
        <f t="shared" si="7"/>
        <v>10421.285714285714</v>
      </c>
      <c r="W12" s="47"/>
      <c r="X12" s="90"/>
      <c r="Y12" s="90"/>
      <c r="Z12" s="80">
        <f>$B$1/(Data_nieuwveer!E12+Data_nieuwveer!U12)</f>
        <v>1.4592797978889141E-2</v>
      </c>
      <c r="AA12" s="42"/>
      <c r="AB12" s="42"/>
      <c r="AC12" s="42"/>
      <c r="AD12" s="42"/>
      <c r="AL12" s="6"/>
      <c r="AM12" s="6"/>
      <c r="AN12" s="6"/>
      <c r="AO12" s="6"/>
      <c r="AP12" s="6"/>
      <c r="AQ12" s="6"/>
      <c r="AR12" s="6"/>
      <c r="AS12" s="6"/>
      <c r="AT12" s="6"/>
      <c r="AU12"/>
      <c r="AV12"/>
      <c r="AW12"/>
    </row>
    <row r="13" spans="1:49" x14ac:dyDescent="0.3">
      <c r="A13" s="2">
        <f>Data_nieuwveer!A13</f>
        <v>41552</v>
      </c>
      <c r="B13" s="21">
        <f>Data_nieuwveer!Q13/Data_nieuwveer!P13</f>
        <v>0.4</v>
      </c>
      <c r="C13">
        <f>Data_nieuwveer!P13*'Edited data A'!$B$8</f>
        <v>64.086818727490993</v>
      </c>
      <c r="D13">
        <f>Data_nieuwveer!F13/(Data_nieuwveer!E13-Data_nieuwveer!F13)</f>
        <v>2.0424836601307188</v>
      </c>
      <c r="F13" s="46">
        <f t="shared" si="0"/>
        <v>2</v>
      </c>
      <c r="G13" s="48">
        <f>F13/(MAX(F11:F14)+1)</f>
        <v>0.5</v>
      </c>
      <c r="H13" s="49">
        <f>E11*(1-G13)+E15*G13</f>
        <v>3229</v>
      </c>
      <c r="J13" s="46">
        <f t="shared" si="1"/>
        <v>2</v>
      </c>
      <c r="K13" s="48">
        <f>J13/(MAX(J11:J14)+1)</f>
        <v>0.5</v>
      </c>
      <c r="L13" s="49">
        <f>I11*(1-K13)+I15*K13</f>
        <v>2520.9629999999997</v>
      </c>
      <c r="N13" s="45">
        <f>Data_nieuwveer!AV13</f>
        <v>39</v>
      </c>
      <c r="O13" s="46">
        <f t="shared" si="2"/>
        <v>0</v>
      </c>
      <c r="P13" s="48">
        <f>O13/(MAX(O$13:O$18)+1)</f>
        <v>0</v>
      </c>
      <c r="Q13" s="49">
        <f>N$13*(1-P13)+N$19*P13</f>
        <v>39</v>
      </c>
      <c r="R13" s="45"/>
      <c r="S13" s="46">
        <f t="shared" si="3"/>
        <v>3</v>
      </c>
      <c r="T13" s="48">
        <f t="shared" si="6"/>
        <v>0.42857142857142855</v>
      </c>
      <c r="U13" s="49">
        <f t="shared" si="7"/>
        <v>10194.428571428571</v>
      </c>
      <c r="V13">
        <f>(Data_nieuwveer!E13*C13)/(L13*$B$1)</f>
        <v>1.6905339131824428</v>
      </c>
      <c r="W13" s="47">
        <f>($B$1+$B$3)*H13/(Data_nieuwveer!AK13*'Edited data A'!U13+Data_nieuwveer!AP13*'Edited data A'!Q13)</f>
        <v>9.2607244029829765</v>
      </c>
      <c r="X13" s="90">
        <f>($B$1*H13)/(Data_nieuwveer!AL13*'Edited data A'!U13+Data_nieuwveer!AQ13*'Edited data A'!N13)</f>
        <v>0.3443278475988692</v>
      </c>
      <c r="Y13" s="90">
        <f>X13*$B$2</f>
        <v>0.1721639237994346</v>
      </c>
      <c r="Z13" s="80">
        <f>$B$1/(Data_nieuwveer!E13+Data_nieuwveer!U13)</f>
        <v>1.475489495220921E-2</v>
      </c>
      <c r="AA13" s="42">
        <f>Data_nieuwveer!E13*Data_nieuwveer!P13/1000</f>
        <v>37240</v>
      </c>
      <c r="AB13" s="42">
        <f>Data_nieuwveer!AQ13*Data_nieuwveer!AR13/1000</f>
        <v>23488.841499999999</v>
      </c>
      <c r="AC13" s="42">
        <f>Data_nieuwveer!AQ13*Data_nieuwveer!AR13/1000/B$5</f>
        <v>8475.9325338657036</v>
      </c>
      <c r="AD13" s="42">
        <f>Data_nieuwveer!AL13*Data_nieuwveer!AR13/B$5/1000</f>
        <v>83.753127675974568</v>
      </c>
      <c r="AE13">
        <f>((H13-H12)*($B$1+B$3)+Data_nieuwveer!AQ13*N13+U13*Data_nieuwveer!AL13)/(AA13*1000-(AC13+AD13)*1000)</f>
        <v>1.1319340163490965</v>
      </c>
      <c r="AF13" s="21">
        <f>(AA13-AB13)/AA13</f>
        <v>0.36925774704618691</v>
      </c>
      <c r="AL13" s="6"/>
      <c r="AM13" s="6"/>
      <c r="AN13" s="6"/>
      <c r="AO13" s="6"/>
      <c r="AP13" s="6"/>
      <c r="AQ13" s="6"/>
      <c r="AR13" s="6"/>
      <c r="AS13" s="6"/>
      <c r="AT13" s="6"/>
      <c r="AU13"/>
      <c r="AV13"/>
      <c r="AW13"/>
    </row>
    <row r="14" spans="1:49" x14ac:dyDescent="0.3">
      <c r="A14" s="2">
        <f>Data_nieuwveer!A14</f>
        <v>41553</v>
      </c>
      <c r="D14">
        <f>Data_nieuwveer!F14/(Data_nieuwveer!E14-Data_nieuwveer!F14)</f>
        <v>3.5498565207794033</v>
      </c>
      <c r="F14" s="46">
        <f t="shared" si="0"/>
        <v>3</v>
      </c>
      <c r="G14" s="48">
        <f>F14/(MAX(F11:F14)+1)</f>
        <v>0.75</v>
      </c>
      <c r="H14" s="49">
        <f>E11*(1-G14)+E15*G14</f>
        <v>3205.5</v>
      </c>
      <c r="J14" s="46">
        <f t="shared" si="1"/>
        <v>3</v>
      </c>
      <c r="K14" s="48">
        <f>J14/(MAX(J11:J14)+1)</f>
        <v>0.75</v>
      </c>
      <c r="L14" s="49">
        <f>I11*(1-K14)+I15*K14</f>
        <v>2477.5965000000001</v>
      </c>
      <c r="N14" s="45"/>
      <c r="O14" s="46">
        <f t="shared" si="2"/>
        <v>1</v>
      </c>
      <c r="P14" s="48">
        <f>O14/(MAX(O$13:O$18)+1)</f>
        <v>0.16666666666666666</v>
      </c>
      <c r="Q14" s="49">
        <f t="shared" ref="Q14:Q18" si="8">N$13*(1-P14)+N$19*P14</f>
        <v>39</v>
      </c>
      <c r="R14" s="45"/>
      <c r="S14" s="46">
        <f t="shared" si="3"/>
        <v>4</v>
      </c>
      <c r="T14" s="48">
        <f t="shared" si="6"/>
        <v>0.5714285714285714</v>
      </c>
      <c r="U14" s="49">
        <f t="shared" si="7"/>
        <v>9967.5714285714275</v>
      </c>
      <c r="W14" s="47"/>
      <c r="X14" s="90"/>
      <c r="Y14" s="90"/>
      <c r="Z14" s="80">
        <f>$B$1/(Data_nieuwveer!E14+Data_nieuwveer!U14)</f>
        <v>1.5155396507607749E-2</v>
      </c>
      <c r="AA14" s="42"/>
      <c r="AB14" s="42"/>
      <c r="AC14" s="42"/>
      <c r="AD14" s="42"/>
      <c r="AF14" s="21"/>
      <c r="AL14" s="6"/>
      <c r="AM14" s="6"/>
      <c r="AN14" s="6"/>
      <c r="AO14" s="6"/>
      <c r="AP14" s="6"/>
      <c r="AQ14" s="6"/>
      <c r="AR14" s="6"/>
      <c r="AS14" s="6"/>
      <c r="AT14" s="6"/>
      <c r="AU14"/>
      <c r="AV14"/>
      <c r="AW14"/>
    </row>
    <row r="15" spans="1:49" x14ac:dyDescent="0.3">
      <c r="A15" s="2">
        <f>Data_nieuwveer!A15</f>
        <v>41554</v>
      </c>
      <c r="D15">
        <f>Data_nieuwveer!F15/(Data_nieuwveer!E15-Data_nieuwveer!F15)</f>
        <v>3.6917771222005236</v>
      </c>
      <c r="E15" s="86">
        <f>Data_nieuwveer!AF15</f>
        <v>3182</v>
      </c>
      <c r="F15" s="46">
        <f t="shared" si="0"/>
        <v>0</v>
      </c>
      <c r="G15" s="48">
        <f>F15/(MAX(F15:F17)+1)</f>
        <v>0</v>
      </c>
      <c r="H15" s="49">
        <f>E15*(1-G15)+E18*G15</f>
        <v>3182</v>
      </c>
      <c r="I15" s="24">
        <f>E15*(1-Data_nieuwveer!AG15/100)</f>
        <v>2434.23</v>
      </c>
      <c r="J15" s="46">
        <f t="shared" si="1"/>
        <v>0</v>
      </c>
      <c r="K15" s="48">
        <f>J15/(MAX(J15:J17)+1)</f>
        <v>0</v>
      </c>
      <c r="L15" s="49">
        <f>I15*(1-K15)+I18*K15</f>
        <v>2434.23</v>
      </c>
      <c r="M15" s="24">
        <f>I15/E15</f>
        <v>0.76500000000000001</v>
      </c>
      <c r="N15" s="45"/>
      <c r="O15" s="46">
        <f t="shared" si="2"/>
        <v>2</v>
      </c>
      <c r="P15" s="48">
        <f>O15/(MAX(O$13:O$18)+1)</f>
        <v>0.33333333333333331</v>
      </c>
      <c r="Q15" s="49">
        <f t="shared" si="8"/>
        <v>39</v>
      </c>
      <c r="R15" s="45"/>
      <c r="S15" s="46">
        <f t="shared" si="3"/>
        <v>5</v>
      </c>
      <c r="T15" s="48">
        <f t="shared" si="6"/>
        <v>0.7142857142857143</v>
      </c>
      <c r="U15" s="49">
        <f t="shared" si="7"/>
        <v>9740.7142857142862</v>
      </c>
      <c r="W15" s="47"/>
      <c r="X15" s="90"/>
      <c r="Y15" s="90"/>
      <c r="Z15" s="80">
        <f>$B$1/(Data_nieuwveer!E15+Data_nieuwveer!U15)</f>
        <v>1.5221494489818995E-2</v>
      </c>
      <c r="AA15" s="42"/>
      <c r="AB15" s="42"/>
      <c r="AC15" s="42"/>
      <c r="AD15" s="42"/>
      <c r="AF15" s="21"/>
      <c r="AL15" s="6"/>
      <c r="AM15" s="6"/>
      <c r="AN15" s="6"/>
      <c r="AO15" s="6"/>
      <c r="AP15" s="6"/>
      <c r="AQ15" s="6"/>
      <c r="AR15" s="6"/>
      <c r="AS15" s="6"/>
      <c r="AT15" s="6"/>
      <c r="AU15"/>
      <c r="AV15"/>
      <c r="AW15"/>
    </row>
    <row r="16" spans="1:49" x14ac:dyDescent="0.3">
      <c r="A16" s="2">
        <f>Data_nieuwveer!A16</f>
        <v>41555</v>
      </c>
      <c r="D16">
        <f>Data_nieuwveer!F16/(Data_nieuwveer!E16-Data_nieuwveer!F16)</f>
        <v>3.6109481520441808</v>
      </c>
      <c r="F16" s="46">
        <f t="shared" si="0"/>
        <v>1</v>
      </c>
      <c r="G16" s="48">
        <f>F16/(MAX(F15:F17)+1)</f>
        <v>0.33333333333333331</v>
      </c>
      <c r="H16" s="49">
        <f>E15*(1-G16)+E18*G16</f>
        <v>3146.666666666667</v>
      </c>
      <c r="J16" s="46">
        <f t="shared" si="1"/>
        <v>1</v>
      </c>
      <c r="K16" s="48">
        <f>J16/(MAX(J15:J17)+1)</f>
        <v>0.33333333333333331</v>
      </c>
      <c r="L16" s="49">
        <f>I15*(1-K16)+I18*K16</f>
        <v>2406.1746666666668</v>
      </c>
      <c r="N16" s="45"/>
      <c r="O16" s="46">
        <f t="shared" si="2"/>
        <v>3</v>
      </c>
      <c r="P16" s="48">
        <f t="shared" ref="P16" si="9">O16/(MAX(O$13:O$18)+1)</f>
        <v>0.5</v>
      </c>
      <c r="Q16" s="49">
        <f t="shared" si="8"/>
        <v>39</v>
      </c>
      <c r="R16" s="45"/>
      <c r="S16" s="46">
        <f t="shared" si="3"/>
        <v>6</v>
      </c>
      <c r="T16" s="48">
        <f t="shared" si="6"/>
        <v>0.8571428571428571</v>
      </c>
      <c r="U16" s="49">
        <f t="shared" si="7"/>
        <v>9513.8571428571431</v>
      </c>
      <c r="W16" s="47"/>
      <c r="X16" s="90"/>
      <c r="Y16" s="90"/>
      <c r="Z16" s="80">
        <f>$B$1/(Data_nieuwveer!E16+Data_nieuwveer!U16)</f>
        <v>1.5058932054959078E-2</v>
      </c>
      <c r="AA16" s="42"/>
      <c r="AB16" s="42"/>
      <c r="AC16" s="42"/>
      <c r="AD16" s="42"/>
      <c r="AF16" s="21"/>
      <c r="AL16" s="6"/>
      <c r="AM16" s="6"/>
      <c r="AN16" s="6"/>
      <c r="AO16" s="6"/>
      <c r="AP16" s="6"/>
      <c r="AQ16" s="6"/>
      <c r="AR16" s="6"/>
      <c r="AS16" s="6"/>
      <c r="AT16" s="6"/>
      <c r="AV16"/>
      <c r="AW16"/>
    </row>
    <row r="17" spans="1:49" x14ac:dyDescent="0.3">
      <c r="A17" s="2">
        <f>Data_nieuwveer!A17</f>
        <v>41556</v>
      </c>
      <c r="D17">
        <f>Data_nieuwveer!F17/(Data_nieuwveer!E17-Data_nieuwveer!F17)</f>
        <v>3.6709129511677281</v>
      </c>
      <c r="F17" s="46">
        <f t="shared" si="0"/>
        <v>2</v>
      </c>
      <c r="G17" s="48">
        <f>F17/(MAX(F15:F17)+1)</f>
        <v>0.66666666666666663</v>
      </c>
      <c r="H17" s="49">
        <f>E15*(1-G17)+E18*G17</f>
        <v>3111.333333333333</v>
      </c>
      <c r="J17" s="46">
        <f t="shared" si="1"/>
        <v>2</v>
      </c>
      <c r="K17" s="48">
        <f>J17/(MAX(J15:J17)+1)</f>
        <v>0.66666666666666663</v>
      </c>
      <c r="L17" s="49">
        <f>I15*(1-K17)+I18*K17</f>
        <v>2378.1193333333331</v>
      </c>
      <c r="N17" s="45"/>
      <c r="O17" s="46">
        <f t="shared" si="2"/>
        <v>4</v>
      </c>
      <c r="P17" s="48">
        <f>O17/(MAX(O$13:O$18)+1)</f>
        <v>0.66666666666666663</v>
      </c>
      <c r="Q17" s="49">
        <f t="shared" si="8"/>
        <v>39</v>
      </c>
      <c r="R17" s="45">
        <f>Data_nieuwveer!AN17*B$4</f>
        <v>9287</v>
      </c>
      <c r="S17" s="46">
        <f t="shared" si="3"/>
        <v>0</v>
      </c>
      <c r="T17" s="48">
        <f t="shared" ref="T17:T23" si="10">S17/(MAX(S$17:S$23)+1)</f>
        <v>0</v>
      </c>
      <c r="U17" s="49">
        <f t="shared" ref="U17:U23" si="11">R$17*(1-T17)+R$24*T17</f>
        <v>9287</v>
      </c>
      <c r="W17" s="47"/>
      <c r="X17" s="90"/>
      <c r="Y17" s="90"/>
      <c r="Z17" s="80">
        <f>$B$1/(Data_nieuwveer!E17+Data_nieuwveer!U17)</f>
        <v>1.5627385966964599E-2</v>
      </c>
      <c r="AA17" s="42"/>
      <c r="AB17" s="42"/>
      <c r="AC17" s="42"/>
      <c r="AD17" s="42"/>
      <c r="AF17" s="21"/>
      <c r="AT17" s="6"/>
      <c r="AU17"/>
      <c r="AV17"/>
      <c r="AW17"/>
    </row>
    <row r="18" spans="1:49" x14ac:dyDescent="0.3">
      <c r="A18" s="2">
        <f>Data_nieuwveer!A18</f>
        <v>41557</v>
      </c>
      <c r="D18">
        <f>Data_nieuwveer!F18/(Data_nieuwveer!E18-Data_nieuwveer!F18)</f>
        <v>1.7777777777777777</v>
      </c>
      <c r="E18" s="86">
        <f>Data_nieuwveer!AF18</f>
        <v>3076</v>
      </c>
      <c r="F18" s="46">
        <f t="shared" ref="F18:F72" si="12">IF(E18&gt;0,0,F17+1)</f>
        <v>0</v>
      </c>
      <c r="G18" s="48">
        <f>F18/(MAX(F18:F21)+1)</f>
        <v>0</v>
      </c>
      <c r="H18" s="49">
        <f>E18*(1-G18)+E22*G18</f>
        <v>3076</v>
      </c>
      <c r="I18" s="24">
        <f>E18*(1-Data_nieuwveer!AG18/100)</f>
        <v>2350.0639999999999</v>
      </c>
      <c r="J18" s="46">
        <f t="shared" ref="J18" si="13">IF(I18&gt;0,0,J17+1)</f>
        <v>0</v>
      </c>
      <c r="K18" s="48">
        <f>J18/(MAX(J18:J21)+1)</f>
        <v>0</v>
      </c>
      <c r="L18" s="49">
        <f>I18*(1-K18)+I22*K18</f>
        <v>2350.0639999999999</v>
      </c>
      <c r="M18" s="24">
        <f>I18/E18</f>
        <v>0.7639999999999999</v>
      </c>
      <c r="N18" s="45"/>
      <c r="O18" s="46">
        <f t="shared" si="2"/>
        <v>5</v>
      </c>
      <c r="P18" s="48">
        <f>O18/(MAX(O$13:O$18)+1)</f>
        <v>0.83333333333333337</v>
      </c>
      <c r="Q18" s="49">
        <f t="shared" si="8"/>
        <v>39</v>
      </c>
      <c r="R18" s="45"/>
      <c r="S18" s="46">
        <f t="shared" si="3"/>
        <v>1</v>
      </c>
      <c r="T18" s="48">
        <f t="shared" si="10"/>
        <v>0.14285714285714285</v>
      </c>
      <c r="U18" s="49">
        <f t="shared" si="11"/>
        <v>9195.5714285714294</v>
      </c>
      <c r="W18" s="47"/>
      <c r="X18" s="90"/>
      <c r="Y18" s="90"/>
      <c r="Z18" s="80">
        <f>$B$1/(Data_nieuwveer!E18+Data_nieuwveer!U18)</f>
        <v>1.4520361851566015E-2</v>
      </c>
      <c r="AA18" s="42"/>
      <c r="AB18" s="42"/>
      <c r="AC18" s="42"/>
      <c r="AD18" s="42"/>
      <c r="AF18" s="21"/>
      <c r="AT18" s="6"/>
      <c r="AU18"/>
      <c r="AV18"/>
      <c r="AW18"/>
    </row>
    <row r="19" spans="1:49" x14ac:dyDescent="0.3">
      <c r="A19" s="2">
        <f>Data_nieuwveer!A19</f>
        <v>41558</v>
      </c>
      <c r="B19" s="42"/>
      <c r="C19">
        <f>Data_nieuwveer!P19*'Edited data A'!$B$8</f>
        <v>56.075966386554619</v>
      </c>
      <c r="D19">
        <f>Data_nieuwveer!F19/(Data_nieuwveer!E19-Data_nieuwveer!F19)</f>
        <v>1.996785599485696</v>
      </c>
      <c r="F19" s="46">
        <f>IF(E19&gt;0,0,F18+1)</f>
        <v>1</v>
      </c>
      <c r="G19" s="48">
        <f>F19/(MAX(F18:F21)+1)</f>
        <v>0.25</v>
      </c>
      <c r="H19" s="49">
        <f>E18*(1-G19)+E22*G19</f>
        <v>2846.5</v>
      </c>
      <c r="J19" s="46">
        <f>IF(I19&gt;0,0,J18+1)</f>
        <v>1</v>
      </c>
      <c r="K19" s="48">
        <f>J19/(MAX(J18:J21)+1)</f>
        <v>0.25</v>
      </c>
      <c r="L19" s="49">
        <f>I18*(1-K19)+I22*K19</f>
        <v>2149.3694999999998</v>
      </c>
      <c r="N19" s="45">
        <f>Data_nieuwveer!AV19</f>
        <v>39</v>
      </c>
      <c r="O19" s="46">
        <f t="shared" si="2"/>
        <v>0</v>
      </c>
      <c r="P19" s="48">
        <f>O19/(MAX(O$19:O$24)+1)</f>
        <v>0</v>
      </c>
      <c r="Q19" s="49">
        <f t="shared" ref="Q19:Q24" si="14">N$19*(1-P19)+N$25*P19</f>
        <v>39</v>
      </c>
      <c r="R19" s="45"/>
      <c r="S19" s="46">
        <f t="shared" si="3"/>
        <v>2</v>
      </c>
      <c r="T19" s="48">
        <f t="shared" si="10"/>
        <v>0.2857142857142857</v>
      </c>
      <c r="U19" s="49">
        <f t="shared" si="11"/>
        <v>9104.1428571428569</v>
      </c>
      <c r="V19">
        <f>(Data_nieuwveer!E19*C19)/(L19*$B$1)</f>
        <v>1.7373740618946585</v>
      </c>
      <c r="W19" s="47">
        <f>($B$1+$B$3)*H19/(Data_nieuwveer!AL19*'Edited data A'!U19+Data_nieuwveer!AQ19*'Edited data A'!Q19)</f>
        <v>1.5475434967512958</v>
      </c>
      <c r="X19" s="90">
        <f>($B$1*H19)/(Data_nieuwveer!AL19*'Edited data A'!U19+Data_nieuwveer!AQ19*'Edited data A'!N19)</f>
        <v>0.3558506168208091</v>
      </c>
      <c r="Y19" s="90">
        <f>X19*$B$2</f>
        <v>0.17792530841040455</v>
      </c>
      <c r="Z19" s="80">
        <f>$B$1/(Data_nieuwveer!E19+Data_nieuwveer!U19)</f>
        <v>1.4785280239673617E-2</v>
      </c>
      <c r="AA19" s="42">
        <f>Data_nieuwveer!E19*Data_nieuwveer!P19/1000</f>
        <v>32630.5</v>
      </c>
      <c r="AB19" s="42">
        <f>Data_nieuwveer!AQ19*Data_nieuwveer!AR19/1000</f>
        <v>21822.629024999998</v>
      </c>
      <c r="AC19" s="42">
        <f>Data_nieuwveer!AQ19*Data_nieuwveer!AR19/1000/B$5</f>
        <v>7874.6808916684759</v>
      </c>
      <c r="AD19" s="42">
        <f>Data_nieuwveer!AL19*Data_nieuwveer!AR19/B$5/1000</f>
        <v>69.467103011210099</v>
      </c>
      <c r="AE19">
        <f>((H19-H18)*($B$1+B$3)+Data_nieuwveer!AQ19*N19+U19*Data_nieuwveer!AL19)/(AA19*1000-(AC19+AD19)*1000)</f>
        <v>0.99260438658594619</v>
      </c>
      <c r="AF19" s="21">
        <f>(AA19-AB19)/AA19</f>
        <v>0.33121990085962527</v>
      </c>
      <c r="AT19" s="6"/>
      <c r="AU19"/>
      <c r="AV19"/>
      <c r="AW19"/>
    </row>
    <row r="20" spans="1:49" x14ac:dyDescent="0.3">
      <c r="A20" s="2">
        <f>Data_nieuwveer!A20</f>
        <v>41559</v>
      </c>
      <c r="D20">
        <f>Data_nieuwveer!F20/(Data_nieuwveer!E20-Data_nieuwveer!F20)</f>
        <v>0.65175940370948171</v>
      </c>
      <c r="F20" s="46">
        <f t="shared" si="12"/>
        <v>2</v>
      </c>
      <c r="G20" s="48">
        <f>F20/(MAX(F18:F21)+1)</f>
        <v>0.5</v>
      </c>
      <c r="H20" s="49">
        <f>E18*(1-G20)+E22*G20</f>
        <v>2617</v>
      </c>
      <c r="J20" s="46">
        <f t="shared" ref="J20" si="15">IF(I20&gt;0,0,J19+1)</f>
        <v>2</v>
      </c>
      <c r="K20" s="48">
        <f>J20/(MAX(J18:J21)+1)</f>
        <v>0.5</v>
      </c>
      <c r="L20" s="49">
        <f>I18*(1-K20)+I22*K20</f>
        <v>1948.6749999999997</v>
      </c>
      <c r="N20" s="45"/>
      <c r="O20" s="46">
        <f t="shared" si="2"/>
        <v>1</v>
      </c>
      <c r="P20" s="48">
        <f>O20/(MAX(O$19:O$24)+1)</f>
        <v>0.16666666666666666</v>
      </c>
      <c r="Q20" s="49">
        <f t="shared" si="14"/>
        <v>37.833333333333336</v>
      </c>
      <c r="R20" s="45"/>
      <c r="S20" s="46">
        <f t="shared" si="3"/>
        <v>3</v>
      </c>
      <c r="T20" s="48">
        <f t="shared" si="10"/>
        <v>0.42857142857142855</v>
      </c>
      <c r="U20" s="49">
        <f t="shared" si="11"/>
        <v>9012.7142857142844</v>
      </c>
      <c r="W20" s="47"/>
      <c r="X20" s="90"/>
      <c r="Y20" s="90"/>
      <c r="Z20" s="80">
        <f>$B$1/(Data_nieuwveer!E20+Data_nieuwveer!U20)</f>
        <v>1.4455558244748297E-2</v>
      </c>
      <c r="AA20" s="42"/>
      <c r="AB20" s="42"/>
      <c r="AC20" s="42"/>
      <c r="AD20" s="42"/>
      <c r="AF20" s="21"/>
      <c r="AT20" s="6"/>
      <c r="AU20"/>
      <c r="AV20"/>
      <c r="AW20"/>
    </row>
    <row r="21" spans="1:49" x14ac:dyDescent="0.3">
      <c r="A21" s="2">
        <f>Data_nieuwveer!A21</f>
        <v>41560</v>
      </c>
      <c r="D21">
        <f>Data_nieuwveer!F21/(Data_nieuwveer!E21-Data_nieuwveer!F21)</f>
        <v>0.87086614173228349</v>
      </c>
      <c r="F21" s="46">
        <f>IF(E21&gt;0,0,F20+1)</f>
        <v>3</v>
      </c>
      <c r="G21" s="48">
        <f>F21/(MAX(F18:F21)+1)</f>
        <v>0.75</v>
      </c>
      <c r="H21" s="49">
        <f>E18*(1-G21)+E22*G21</f>
        <v>2387.5</v>
      </c>
      <c r="J21" s="46">
        <f>IF(I21&gt;0,0,J20+1)</f>
        <v>3</v>
      </c>
      <c r="K21" s="48">
        <f>J21/(MAX(J18:J21)+1)</f>
        <v>0.75</v>
      </c>
      <c r="L21" s="49">
        <f>I18*(1-K21)+I22*K21</f>
        <v>1747.9804999999997</v>
      </c>
      <c r="N21" s="45"/>
      <c r="O21" s="46">
        <f t="shared" si="2"/>
        <v>2</v>
      </c>
      <c r="P21" s="48">
        <f t="shared" ref="P21:P24" si="16">O21/(MAX(O$19:O$24)+1)</f>
        <v>0.33333333333333331</v>
      </c>
      <c r="Q21" s="49">
        <f t="shared" si="14"/>
        <v>36.666666666666671</v>
      </c>
      <c r="R21" s="45"/>
      <c r="S21" s="46">
        <f t="shared" si="3"/>
        <v>4</v>
      </c>
      <c r="T21" s="48">
        <f t="shared" si="10"/>
        <v>0.5714285714285714</v>
      </c>
      <c r="U21" s="49">
        <f t="shared" si="11"/>
        <v>8921.2857142857138</v>
      </c>
      <c r="W21" s="47"/>
      <c r="X21" s="90"/>
      <c r="Y21" s="90"/>
      <c r="Z21" s="80">
        <f>$B$1/(Data_nieuwveer!E21+Data_nieuwveer!U21)</f>
        <v>1.4491898511164456E-2</v>
      </c>
      <c r="AA21" s="42"/>
      <c r="AB21" s="42"/>
      <c r="AC21" s="42"/>
      <c r="AD21" s="42"/>
      <c r="AF21" s="21"/>
      <c r="AT21" s="6"/>
      <c r="AU21"/>
      <c r="AV21"/>
      <c r="AW21"/>
    </row>
    <row r="22" spans="1:49" x14ac:dyDescent="0.3">
      <c r="A22" s="2">
        <f>Data_nieuwveer!A22</f>
        <v>41561</v>
      </c>
      <c r="D22">
        <f>Data_nieuwveer!F22/(Data_nieuwveer!E22-Data_nieuwveer!F22)</f>
        <v>6.4034151547491995E-3</v>
      </c>
      <c r="E22" s="86">
        <f>Data_nieuwveer!AF22</f>
        <v>2158</v>
      </c>
      <c r="F22" s="46">
        <f>IF(E22&gt;0,0,F21+1)</f>
        <v>0</v>
      </c>
      <c r="G22" s="48">
        <f>F22/(MAX(F22:F24)+1)</f>
        <v>0</v>
      </c>
      <c r="H22" s="49">
        <f>E22*(1-G22)+E25*G22</f>
        <v>2158</v>
      </c>
      <c r="I22" s="24">
        <f>E22*(1-Data_nieuwveer!AG22/100)</f>
        <v>1547.2859999999998</v>
      </c>
      <c r="J22" s="46">
        <f>IF(I22&gt;0,0,J21+1)</f>
        <v>0</v>
      </c>
      <c r="K22" s="48">
        <f>J22/(MAX(J22:J24)+1)</f>
        <v>0</v>
      </c>
      <c r="L22" s="49">
        <f>I22*(1-K22)+I25*K22</f>
        <v>1547.2859999999998</v>
      </c>
      <c r="M22" s="24">
        <f>I22/E22</f>
        <v>0.71699999999999997</v>
      </c>
      <c r="N22" s="45"/>
      <c r="O22" s="46">
        <f t="shared" si="2"/>
        <v>3</v>
      </c>
      <c r="P22" s="48">
        <f t="shared" si="16"/>
        <v>0.5</v>
      </c>
      <c r="Q22" s="49">
        <f t="shared" si="14"/>
        <v>35.5</v>
      </c>
      <c r="R22" s="45"/>
      <c r="S22" s="46">
        <f t="shared" si="3"/>
        <v>5</v>
      </c>
      <c r="T22" s="48">
        <f t="shared" si="10"/>
        <v>0.7142857142857143</v>
      </c>
      <c r="U22" s="49">
        <f t="shared" si="11"/>
        <v>8829.8571428571431</v>
      </c>
      <c r="W22" s="47"/>
      <c r="X22" s="90"/>
      <c r="Y22" s="90"/>
      <c r="Z22" s="80">
        <f>$B$1/(Data_nieuwveer!E22+Data_nieuwveer!U22)</f>
        <v>1.2241533143601227E-2</v>
      </c>
      <c r="AA22" s="42"/>
      <c r="AB22" s="42"/>
      <c r="AC22" s="42"/>
      <c r="AD22" s="42"/>
      <c r="AF22" s="21"/>
      <c r="AT22" s="6"/>
      <c r="AU22"/>
      <c r="AV22"/>
      <c r="AW22"/>
    </row>
    <row r="23" spans="1:49" x14ac:dyDescent="0.3">
      <c r="A23" s="2">
        <f>Data_nieuwveer!A23</f>
        <v>41562</v>
      </c>
      <c r="D23">
        <f>Data_nieuwveer!F23/(Data_nieuwveer!E23-Data_nieuwveer!F23)</f>
        <v>0.26531151003167897</v>
      </c>
      <c r="F23" s="46">
        <f>IF(E23&gt;0,0,F22+1)</f>
        <v>1</v>
      </c>
      <c r="G23" s="48">
        <f>F23/(MAX(F22:F24)+1)</f>
        <v>0.33333333333333331</v>
      </c>
      <c r="H23" s="49">
        <f>E22*(1-G23)+E25*G23</f>
        <v>2146</v>
      </c>
      <c r="J23" s="46">
        <f>IF(I23&gt;0,0,J22+1)</f>
        <v>1</v>
      </c>
      <c r="K23" s="48">
        <f>J23/(MAX(J22:J24)+1)</f>
        <v>0.33333333333333331</v>
      </c>
      <c r="L23" s="49">
        <f>I22*(1-K23)+I25*K23</f>
        <v>1529.4866666666667</v>
      </c>
      <c r="N23" s="45"/>
      <c r="O23" s="46">
        <f t="shared" si="2"/>
        <v>4</v>
      </c>
      <c r="P23" s="48">
        <f t="shared" si="16"/>
        <v>0.66666666666666663</v>
      </c>
      <c r="Q23" s="49">
        <f t="shared" si="14"/>
        <v>34.333333333333336</v>
      </c>
      <c r="R23" s="45"/>
      <c r="S23" s="46">
        <f t="shared" si="3"/>
        <v>6</v>
      </c>
      <c r="T23" s="48">
        <f t="shared" si="10"/>
        <v>0.8571428571428571</v>
      </c>
      <c r="U23" s="49">
        <f t="shared" si="11"/>
        <v>8738.4285714285725</v>
      </c>
      <c r="W23" s="47"/>
      <c r="X23" s="90"/>
      <c r="Y23" s="90"/>
      <c r="Z23" s="80">
        <f>$B$1/(Data_nieuwveer!E23+Data_nieuwveer!U23)</f>
        <v>1.4386452335381581E-2</v>
      </c>
      <c r="AA23" s="42"/>
      <c r="AB23" s="42"/>
      <c r="AC23" s="42"/>
      <c r="AD23" s="42"/>
      <c r="AF23" s="21"/>
      <c r="AT23" s="6"/>
      <c r="AU23"/>
      <c r="AV23"/>
      <c r="AW23"/>
    </row>
    <row r="24" spans="1:49" x14ac:dyDescent="0.3">
      <c r="A24" s="16">
        <f>Data_nieuwveer!A24</f>
        <v>41563</v>
      </c>
      <c r="D24">
        <f>Data_nieuwveer!F24/(Data_nieuwveer!E24-Data_nieuwveer!F24)</f>
        <v>0.74774693657043223</v>
      </c>
      <c r="F24" s="46">
        <f t="shared" si="12"/>
        <v>2</v>
      </c>
      <c r="G24" s="48">
        <f>F24/(MAX(F22:F24)+1)</f>
        <v>0.66666666666666663</v>
      </c>
      <c r="H24" s="49">
        <f>E22*(1-G24)+E25*G24</f>
        <v>2134</v>
      </c>
      <c r="J24" s="46">
        <f t="shared" ref="J24:J87" si="17">IF(I24&gt;0,0,J23+1)</f>
        <v>2</v>
      </c>
      <c r="K24" s="48">
        <f>J24/(MAX(J22:J24)+1)</f>
        <v>0.66666666666666663</v>
      </c>
      <c r="L24" s="49">
        <f>I22*(1-K24)+I25*K24</f>
        <v>1511.6873333333333</v>
      </c>
      <c r="N24" s="45"/>
      <c r="O24" s="46">
        <f t="shared" si="2"/>
        <v>5</v>
      </c>
      <c r="P24" s="48">
        <f t="shared" si="16"/>
        <v>0.83333333333333337</v>
      </c>
      <c r="Q24" s="49">
        <f t="shared" si="14"/>
        <v>33.166666666666664</v>
      </c>
      <c r="R24" s="45">
        <f>Data_nieuwveer!AN24*B$4</f>
        <v>8647</v>
      </c>
      <c r="S24" s="46">
        <f t="shared" si="3"/>
        <v>0</v>
      </c>
      <c r="T24" s="48">
        <f t="shared" ref="T24:T30" si="18">S24/(MAX(S$24:S$30)+1)</f>
        <v>0</v>
      </c>
      <c r="U24" s="49">
        <f t="shared" ref="U24:U30" si="19">R$24*(1-T24)+R$31*T24</f>
        <v>8647</v>
      </c>
      <c r="W24" s="47"/>
      <c r="X24" s="90"/>
      <c r="Y24" s="90"/>
      <c r="Z24" s="80">
        <f>$B$1/(Data_nieuwveer!E24+Data_nieuwveer!U24)</f>
        <v>1.6062762997626403E-2</v>
      </c>
      <c r="AA24" s="42"/>
      <c r="AB24" s="42"/>
      <c r="AC24" s="42"/>
      <c r="AD24" s="42"/>
      <c r="AF24" s="21"/>
      <c r="AT24" s="6"/>
      <c r="AU24"/>
      <c r="AV24"/>
      <c r="AW24"/>
    </row>
    <row r="25" spans="1:49" x14ac:dyDescent="0.3">
      <c r="A25" s="2">
        <f>Data_nieuwveer!A25</f>
        <v>41564</v>
      </c>
      <c r="C25">
        <f>Data_nieuwveer!P25*'Edited data A'!$B$8</f>
        <v>52.070540216086428</v>
      </c>
      <c r="D25">
        <f>Data_nieuwveer!F25/(Data_nieuwveer!E25-Data_nieuwveer!F25)</f>
        <v>2.116504854368932</v>
      </c>
      <c r="E25" s="86">
        <f>Data_nieuwveer!AF25</f>
        <v>2122</v>
      </c>
      <c r="F25" s="46">
        <f t="shared" si="12"/>
        <v>0</v>
      </c>
      <c r="G25" s="48">
        <f>F25/(MAX(F25:F28)+1)</f>
        <v>0</v>
      </c>
      <c r="H25" s="49">
        <f>E25*(1-G25)+E29*G25</f>
        <v>2122</v>
      </c>
      <c r="I25" s="24">
        <f>E25*(1-Data_nieuwveer!AG25/100)</f>
        <v>1493.8879999999999</v>
      </c>
      <c r="J25" s="46">
        <f t="shared" si="17"/>
        <v>0</v>
      </c>
      <c r="K25" s="48">
        <f>J25/(MAX(J25:J28)+1)</f>
        <v>0</v>
      </c>
      <c r="L25" s="49">
        <f>I25*(1-K25)+I29*K25</f>
        <v>1493.8879999999999</v>
      </c>
      <c r="M25" s="24">
        <f>I25/E25</f>
        <v>0.70399999999999996</v>
      </c>
      <c r="N25" s="45">
        <f>Data_nieuwveer!AV25</f>
        <v>32</v>
      </c>
      <c r="O25" s="46">
        <f t="shared" si="2"/>
        <v>0</v>
      </c>
      <c r="P25" s="48">
        <f t="shared" ref="P25:P30" si="20">O25/(MAX(O$25:O$30)+1)</f>
        <v>0</v>
      </c>
      <c r="Q25" s="49">
        <f t="shared" ref="Q25:Q30" si="21">N$25*(1-P25)+N$31*P25</f>
        <v>32</v>
      </c>
      <c r="R25" s="45"/>
      <c r="S25" s="46">
        <f t="shared" si="3"/>
        <v>1</v>
      </c>
      <c r="T25" s="48">
        <f t="shared" si="18"/>
        <v>0.14285714285714285</v>
      </c>
      <c r="U25" s="49">
        <f t="shared" si="19"/>
        <v>9037</v>
      </c>
      <c r="V25">
        <f>(Data_nieuwveer!E25*C25)/(L25*$B$1)</f>
        <v>2.2377371542396411</v>
      </c>
      <c r="W25" s="47">
        <f>($B$1+$B$3)*H25/(Data_nieuwveer!AL25*'Edited data A'!U25+Data_nieuwveer!AQ25*'Edited data A'!Q25)</f>
        <v>1.2550773980978849</v>
      </c>
      <c r="X25" s="90">
        <f>($B$1*H25)/(Data_nieuwveer!AL25*'Edited data A'!U25+Data_nieuwveer!AQ25*'Edited data A'!N25)</f>
        <v>0.28859936228517163</v>
      </c>
      <c r="Y25" s="90">
        <f>X25*$B$2</f>
        <v>0.14429968114258582</v>
      </c>
      <c r="Z25" s="80">
        <f>$B$1/(Data_nieuwveer!E25+Data_nieuwveer!U25)</f>
        <v>1.5282971865577094E-2</v>
      </c>
      <c r="AA25" s="42">
        <f>Data_nieuwveer!E25*Data_nieuwveer!P25/1000</f>
        <v>29211</v>
      </c>
      <c r="AB25" s="42">
        <f>Data_nieuwveer!AQ25*Data_nieuwveer!AR25/1000</f>
        <v>15660.864449999999</v>
      </c>
      <c r="AC25" s="42">
        <f>Data_nieuwveer!AQ25*Data_nieuwveer!AR25/1000/B$5</f>
        <v>5651.2123214001776</v>
      </c>
      <c r="AD25" s="42">
        <f>Data_nieuwveer!AL25*Data_nieuwveer!AR25/B$5/1000</f>
        <v>50.892745001761092</v>
      </c>
      <c r="AE25">
        <f>((H25-H24)*($B$1+B$3)+Data_nieuwveer!AQ25*N25+U25*Data_nieuwveer!AL25)/(AA25*1000-(AC25+AD25)*1000)</f>
        <v>1.0869071333285867</v>
      </c>
      <c r="AF25" s="21">
        <f>(AA25-AB25)/AA25</f>
        <v>0.46387099209202015</v>
      </c>
      <c r="AT25" s="6"/>
      <c r="AU25"/>
      <c r="AV25"/>
      <c r="AW25"/>
    </row>
    <row r="26" spans="1:49" x14ac:dyDescent="0.3">
      <c r="A26" s="2">
        <f>Data_nieuwveer!A26</f>
        <v>41565</v>
      </c>
      <c r="D26">
        <f>Data_nieuwveer!F26/(Data_nieuwveer!E26-Data_nieuwveer!F26)</f>
        <v>2.7143968367148505</v>
      </c>
      <c r="F26" s="46">
        <f t="shared" si="12"/>
        <v>1</v>
      </c>
      <c r="G26" s="48">
        <f>F26/(MAX(F25:F28)+1)</f>
        <v>0.25</v>
      </c>
      <c r="H26" s="49">
        <f>E25*(1-G26)+E29*G26</f>
        <v>2289.5</v>
      </c>
      <c r="J26" s="46">
        <f t="shared" si="17"/>
        <v>1</v>
      </c>
      <c r="K26" s="48">
        <f>J26/(MAX(J25:J28)+1)</f>
        <v>0.25</v>
      </c>
      <c r="L26" s="49">
        <f>I25*(1-K26)+I29*K26</f>
        <v>1628.56</v>
      </c>
      <c r="N26" s="45"/>
      <c r="O26" s="46">
        <f t="shared" si="2"/>
        <v>1</v>
      </c>
      <c r="P26" s="48">
        <f t="shared" si="20"/>
        <v>0.16666666666666666</v>
      </c>
      <c r="Q26" s="49">
        <f t="shared" si="21"/>
        <v>35.333333333333336</v>
      </c>
      <c r="R26" s="45"/>
      <c r="S26" s="46">
        <f t="shared" si="3"/>
        <v>2</v>
      </c>
      <c r="T26" s="48">
        <f t="shared" si="18"/>
        <v>0.2857142857142857</v>
      </c>
      <c r="U26" s="49">
        <f t="shared" si="19"/>
        <v>9427</v>
      </c>
      <c r="W26" s="47"/>
      <c r="X26" s="90"/>
      <c r="Y26" s="90"/>
      <c r="Z26" s="80">
        <f>$B$1/(Data_nieuwveer!E26+Data_nieuwveer!U26)</f>
        <v>1.497819923101925E-2</v>
      </c>
      <c r="AA26" s="42"/>
      <c r="AB26" s="42"/>
      <c r="AC26" s="42"/>
      <c r="AD26" s="42"/>
      <c r="AF26" s="21"/>
      <c r="AT26" s="6"/>
      <c r="AU26"/>
      <c r="AV26"/>
      <c r="AW26"/>
    </row>
    <row r="27" spans="1:49" x14ac:dyDescent="0.3">
      <c r="A27" s="2">
        <f>Data_nieuwveer!A27</f>
        <v>41566</v>
      </c>
      <c r="D27">
        <f>Data_nieuwveer!F27/(Data_nieuwveer!E27-Data_nieuwveer!F27)</f>
        <v>3.0138408304498272</v>
      </c>
      <c r="F27" s="46">
        <f t="shared" si="12"/>
        <v>2</v>
      </c>
      <c r="G27" s="48">
        <f>F27/(MAX(F25:F28)+1)</f>
        <v>0.5</v>
      </c>
      <c r="H27" s="49">
        <f>E25*(1-G27)+E29*G27</f>
        <v>2457</v>
      </c>
      <c r="J27" s="46">
        <f t="shared" si="17"/>
        <v>2</v>
      </c>
      <c r="K27" s="48">
        <f>J27/(MAX(J25:J28)+1)</f>
        <v>0.5</v>
      </c>
      <c r="L27" s="49">
        <f>I25*(1-K27)+I29*K27</f>
        <v>1763.232</v>
      </c>
      <c r="N27" s="45"/>
      <c r="O27" s="46">
        <f t="shared" si="2"/>
        <v>2</v>
      </c>
      <c r="P27" s="48">
        <f t="shared" si="20"/>
        <v>0.33333333333333331</v>
      </c>
      <c r="Q27" s="49">
        <f t="shared" si="21"/>
        <v>38.666666666666671</v>
      </c>
      <c r="R27" s="45"/>
      <c r="S27" s="46">
        <f t="shared" si="3"/>
        <v>3</v>
      </c>
      <c r="T27" s="48">
        <f t="shared" si="18"/>
        <v>0.42857142857142855</v>
      </c>
      <c r="U27" s="49">
        <f t="shared" si="19"/>
        <v>9817</v>
      </c>
      <c r="W27" s="47"/>
      <c r="X27" s="90"/>
      <c r="Y27" s="90"/>
      <c r="Z27" s="80">
        <f>$B$1/(Data_nieuwveer!E27+Data_nieuwveer!U27)</f>
        <v>1.4794231264268508E-2</v>
      </c>
      <c r="AA27" s="42"/>
      <c r="AB27" s="42"/>
      <c r="AC27" s="42"/>
      <c r="AD27" s="42"/>
      <c r="AF27" s="21"/>
      <c r="AJ27" s="17"/>
      <c r="AK27" s="1"/>
      <c r="AT27" s="6"/>
      <c r="AU27"/>
      <c r="AV27"/>
      <c r="AW27"/>
    </row>
    <row r="28" spans="1:49" x14ac:dyDescent="0.3">
      <c r="A28" s="2">
        <f>Data_nieuwveer!A28</f>
        <v>41567</v>
      </c>
      <c r="D28">
        <f>Data_nieuwveer!F28/(Data_nieuwveer!E28-Data_nieuwveer!F28)</f>
        <v>1.3175891758917588</v>
      </c>
      <c r="F28" s="46">
        <f t="shared" si="12"/>
        <v>3</v>
      </c>
      <c r="G28" s="48">
        <f>F28/(MAX(F25:F28)+1)</f>
        <v>0.75</v>
      </c>
      <c r="H28" s="49">
        <f>E25*(1-G28)+E29*G28</f>
        <v>2624.5</v>
      </c>
      <c r="J28" s="46">
        <f t="shared" si="17"/>
        <v>3</v>
      </c>
      <c r="K28" s="48">
        <f>J28/(MAX(J25:J28)+1)</f>
        <v>0.75</v>
      </c>
      <c r="L28" s="49">
        <f>I25*(1-K28)+I29*K28</f>
        <v>1897.904</v>
      </c>
      <c r="N28" s="45"/>
      <c r="O28" s="46">
        <f t="shared" si="2"/>
        <v>3</v>
      </c>
      <c r="P28" s="48">
        <f t="shared" si="20"/>
        <v>0.5</v>
      </c>
      <c r="Q28" s="49">
        <f t="shared" si="21"/>
        <v>42</v>
      </c>
      <c r="R28" s="45"/>
      <c r="S28" s="46">
        <f t="shared" si="3"/>
        <v>4</v>
      </c>
      <c r="T28" s="48">
        <f t="shared" si="18"/>
        <v>0.5714285714285714</v>
      </c>
      <c r="U28" s="49">
        <f t="shared" si="19"/>
        <v>10207</v>
      </c>
      <c r="W28" s="47"/>
      <c r="X28" s="90"/>
      <c r="Y28" s="90"/>
      <c r="Z28" s="80">
        <f>$B$1/(Data_nieuwveer!E28+Data_nieuwveer!U28)</f>
        <v>1.4618847997186497E-2</v>
      </c>
      <c r="AA28" s="42"/>
      <c r="AB28" s="42"/>
      <c r="AC28" s="42"/>
      <c r="AD28" s="42"/>
      <c r="AF28" s="21"/>
      <c r="AT28" s="6"/>
      <c r="AU28"/>
      <c r="AV28"/>
      <c r="AW28"/>
    </row>
    <row r="29" spans="1:49" x14ac:dyDescent="0.3">
      <c r="A29" s="2">
        <f>Data_nieuwveer!A29</f>
        <v>41568</v>
      </c>
      <c r="D29">
        <f>Data_nieuwveer!F29/(Data_nieuwveer!E29-Data_nieuwveer!F29)</f>
        <v>0.57784237726098187</v>
      </c>
      <c r="E29" s="86">
        <f>Data_nieuwveer!AF29</f>
        <v>2792</v>
      </c>
      <c r="F29" s="46">
        <f t="shared" si="12"/>
        <v>0</v>
      </c>
      <c r="G29" s="48">
        <f>F29/(MAX(F29:F31)+1)</f>
        <v>0</v>
      </c>
      <c r="H29" s="49">
        <f>E29*(1-G29)+E32*G29</f>
        <v>2792</v>
      </c>
      <c r="I29" s="24">
        <f>E29*(1-Data_nieuwveer!AG29/100)</f>
        <v>2032.576</v>
      </c>
      <c r="J29" s="46">
        <f t="shared" si="17"/>
        <v>0</v>
      </c>
      <c r="K29" s="48">
        <f>J29/(MAX(J29:J31)+1)</f>
        <v>0</v>
      </c>
      <c r="L29" s="49">
        <f>I29*(1-K29)+I32*K29</f>
        <v>2032.576</v>
      </c>
      <c r="M29" s="24">
        <f>I29/E29</f>
        <v>0.72799999999999998</v>
      </c>
      <c r="N29" s="45"/>
      <c r="O29" s="46">
        <f t="shared" si="2"/>
        <v>4</v>
      </c>
      <c r="P29" s="48">
        <f t="shared" si="20"/>
        <v>0.66666666666666663</v>
      </c>
      <c r="Q29" s="49">
        <f t="shared" si="21"/>
        <v>45.333333333333329</v>
      </c>
      <c r="R29" s="45"/>
      <c r="S29" s="46">
        <f t="shared" si="3"/>
        <v>5</v>
      </c>
      <c r="T29" s="48">
        <f t="shared" si="18"/>
        <v>0.7142857142857143</v>
      </c>
      <c r="U29" s="49">
        <f t="shared" si="19"/>
        <v>10597</v>
      </c>
      <c r="W29" s="47"/>
      <c r="X29" s="90"/>
      <c r="Y29" s="90"/>
      <c r="Z29" s="80">
        <f>$B$1/(Data_nieuwveer!E29+Data_nieuwveer!U29)</f>
        <v>1.4127666067182703E-2</v>
      </c>
      <c r="AA29" s="42"/>
      <c r="AB29" s="42"/>
      <c r="AC29" s="42"/>
      <c r="AD29" s="42"/>
      <c r="AF29" s="21"/>
      <c r="AT29" s="6"/>
      <c r="AU29"/>
      <c r="AV29"/>
      <c r="AW29"/>
    </row>
    <row r="30" spans="1:49" x14ac:dyDescent="0.3">
      <c r="A30" s="2">
        <f>Data_nieuwveer!A30</f>
        <v>41569</v>
      </c>
      <c r="D30">
        <f>Data_nieuwveer!F30/(Data_nieuwveer!E30-Data_nieuwveer!F30)</f>
        <v>1.9227871939736347</v>
      </c>
      <c r="F30" s="46">
        <f t="shared" si="12"/>
        <v>1</v>
      </c>
      <c r="G30" s="48">
        <f>F30/(MAX(F29:F31)+1)</f>
        <v>0.33333333333333331</v>
      </c>
      <c r="H30" s="49">
        <f>E29*(1-G30)+E32*G30</f>
        <v>2626</v>
      </c>
      <c r="J30" s="46">
        <f t="shared" si="17"/>
        <v>1</v>
      </c>
      <c r="K30" s="48">
        <f>J30/(MAX(J29:J31)+1)</f>
        <v>0.33333333333333331</v>
      </c>
      <c r="L30" s="49">
        <f>I29*(1-K30)+I32*K30</f>
        <v>1911.7280000000001</v>
      </c>
      <c r="N30" s="45"/>
      <c r="O30" s="46">
        <f t="shared" si="2"/>
        <v>5</v>
      </c>
      <c r="P30" s="48">
        <f t="shared" si="20"/>
        <v>0.83333333333333337</v>
      </c>
      <c r="Q30" s="49">
        <f t="shared" si="21"/>
        <v>48.666666666666671</v>
      </c>
      <c r="R30" s="45"/>
      <c r="S30" s="46">
        <f t="shared" si="3"/>
        <v>6</v>
      </c>
      <c r="T30" s="48">
        <f t="shared" si="18"/>
        <v>0.8571428571428571</v>
      </c>
      <c r="U30" s="49">
        <f t="shared" si="19"/>
        <v>10987</v>
      </c>
      <c r="W30" s="47"/>
      <c r="X30" s="90"/>
      <c r="Y30" s="90"/>
      <c r="Z30" s="80">
        <f>$B$1/(Data_nieuwveer!E30+Data_nieuwveer!U30)</f>
        <v>1.4814648639920018E-2</v>
      </c>
      <c r="AA30" s="42"/>
      <c r="AB30" s="42"/>
      <c r="AC30" s="42"/>
      <c r="AD30" s="42"/>
      <c r="AF30" s="21"/>
      <c r="AT30" s="6"/>
      <c r="AU30"/>
      <c r="AV30"/>
      <c r="AW30"/>
    </row>
    <row r="31" spans="1:49" x14ac:dyDescent="0.3">
      <c r="A31" s="16">
        <f>Data_nieuwveer!A31</f>
        <v>41570</v>
      </c>
      <c r="C31">
        <f>Data_nieuwveer!P31*'Edited data A'!$B$8</f>
        <v>84.113949579831925</v>
      </c>
      <c r="D31">
        <f>Data_nieuwveer!F31/(Data_nieuwveer!E31-Data_nieuwveer!F31)</f>
        <v>1.0237797246558198</v>
      </c>
      <c r="F31" s="46">
        <f t="shared" si="12"/>
        <v>2</v>
      </c>
      <c r="G31" s="48">
        <f>F31/(MAX(F29:F31)+1)</f>
        <v>0.66666666666666663</v>
      </c>
      <c r="H31" s="49">
        <f>E29*(1-G31)+E32*G31</f>
        <v>2460</v>
      </c>
      <c r="J31" s="46">
        <f t="shared" si="17"/>
        <v>2</v>
      </c>
      <c r="K31" s="48">
        <f>J31/(MAX(J29:J31)+1)</f>
        <v>0.66666666666666663</v>
      </c>
      <c r="L31" s="49">
        <f>I29*(1-K31)+I32*K31</f>
        <v>1790.88</v>
      </c>
      <c r="N31" s="45">
        <f>Data_nieuwveer!AV31</f>
        <v>52</v>
      </c>
      <c r="O31" s="46">
        <f t="shared" si="2"/>
        <v>0</v>
      </c>
      <c r="P31" s="48">
        <f t="shared" ref="P31:P36" si="22">O31/(MAX(O$31:O$36)+1)</f>
        <v>0</v>
      </c>
      <c r="Q31" s="49">
        <f t="shared" ref="Q31:Q36" si="23">N$31*(1-P31)+N$37*P31</f>
        <v>52</v>
      </c>
      <c r="R31" s="45">
        <f>Data_nieuwveer!AN31*B$4</f>
        <v>11377</v>
      </c>
      <c r="S31" s="46">
        <f t="shared" si="3"/>
        <v>0</v>
      </c>
      <c r="T31" s="48">
        <f t="shared" ref="T31:T37" si="24">S31/(MAX(S$31:S$37)+1)</f>
        <v>0</v>
      </c>
      <c r="U31" s="49">
        <f t="shared" ref="U31:U37" si="25">R$31*(1-T31)+R$38*T31</f>
        <v>11377</v>
      </c>
      <c r="V31">
        <f>(Data_nieuwveer!E31*C31)/(L31*$B$1)</f>
        <v>3.2548784429343969</v>
      </c>
      <c r="W31" s="47">
        <f>($B$1+$B$3)*H31/(Data_nieuwveer!AL31*'Edited data A'!U31+Data_nieuwveer!AQ31*'Edited data A'!Q31)</f>
        <v>1.1767148258646429</v>
      </c>
      <c r="X31" s="90">
        <f>($B$1*H31)/(Data_nieuwveer!AL31*'Edited data A'!U31+Data_nieuwveer!AQ31*'Edited data A'!N31)</f>
        <v>0.27058024377677226</v>
      </c>
      <c r="Y31" s="90">
        <f>X31*$B$2</f>
        <v>0.13529012188838613</v>
      </c>
      <c r="Z31" s="80">
        <f>$B$1/(Data_nieuwveer!E31+Data_nieuwveer!U31)</f>
        <v>1.419971904841597E-2</v>
      </c>
      <c r="AA31" s="42">
        <f>Data_nieuwveer!E31*Data_nieuwveer!P31/1000</f>
        <v>50935.5</v>
      </c>
      <c r="AB31" s="42">
        <f>Data_nieuwveer!AQ31*Data_nieuwveer!AR31/1000</f>
        <v>23501.351999999999</v>
      </c>
      <c r="AC31" s="42">
        <f>Data_nieuwveer!AQ31*Data_nieuwveer!AR31/1000/B$5</f>
        <v>8480.4469393107302</v>
      </c>
      <c r="AD31" s="42">
        <f>Data_nieuwveer!AL31*Data_nieuwveer!AR31/B$5/1000</f>
        <v>58.128495609941368</v>
      </c>
      <c r="AE31">
        <f>((H31-H30)*($B$1+B$3)+Data_nieuwveer!AQ31*N31+U31*Data_nieuwveer!AL31)/(AA31*1000-(AC31+AD31)*1000)</f>
        <v>0.69094207423073695</v>
      </c>
      <c r="AF31" s="21">
        <f>(AA31-AB31)/AA31</f>
        <v>0.53860564831993407</v>
      </c>
      <c r="AT31" s="6"/>
      <c r="AU31"/>
      <c r="AV31"/>
      <c r="AW31"/>
    </row>
    <row r="32" spans="1:49" x14ac:dyDescent="0.3">
      <c r="A32" s="2">
        <f>Data_nieuwveer!A32</f>
        <v>41571</v>
      </c>
      <c r="D32">
        <f>Data_nieuwveer!F32/(Data_nieuwveer!E32-Data_nieuwveer!F32)</f>
        <v>2.5638297872340425</v>
      </c>
      <c r="E32" s="86">
        <f>Data_nieuwveer!AF32</f>
        <v>2294</v>
      </c>
      <c r="F32" s="46">
        <f t="shared" si="12"/>
        <v>0</v>
      </c>
      <c r="G32" s="48">
        <f>F32/(MAX(F32:F35)+1)</f>
        <v>0</v>
      </c>
      <c r="H32" s="49">
        <f>E32*(1-G32)+E36*G32</f>
        <v>2294</v>
      </c>
      <c r="I32" s="24">
        <f>E32*(1-Data_nieuwveer!AG32/100)</f>
        <v>1670.0319999999999</v>
      </c>
      <c r="J32" s="46">
        <f t="shared" si="17"/>
        <v>0</v>
      </c>
      <c r="K32" s="48">
        <f>J32/(MAX(J32:J35)+1)</f>
        <v>0</v>
      </c>
      <c r="L32" s="49">
        <f>I32*(1-K32)+I36*K32</f>
        <v>1670.0319999999999</v>
      </c>
      <c r="M32" s="24">
        <f>I32/E32</f>
        <v>0.72799999999999998</v>
      </c>
      <c r="N32" s="45"/>
      <c r="O32" s="46">
        <f t="shared" si="2"/>
        <v>1</v>
      </c>
      <c r="P32" s="48">
        <f t="shared" si="22"/>
        <v>0.16666666666666666</v>
      </c>
      <c r="Q32" s="49">
        <f t="shared" si="23"/>
        <v>54.5</v>
      </c>
      <c r="R32" s="45"/>
      <c r="S32" s="46">
        <f t="shared" si="3"/>
        <v>1</v>
      </c>
      <c r="T32" s="48">
        <f t="shared" si="24"/>
        <v>0.14285714285714285</v>
      </c>
      <c r="U32" s="49">
        <f t="shared" si="25"/>
        <v>11085</v>
      </c>
      <c r="W32" s="47"/>
      <c r="X32" s="90"/>
      <c r="Y32" s="90"/>
      <c r="Z32" s="80">
        <f>$B$1/(Data_nieuwveer!E32+Data_nieuwveer!U32)</f>
        <v>1.4786481100553563E-2</v>
      </c>
      <c r="AA32" s="42"/>
      <c r="AB32" s="42"/>
      <c r="AC32" s="42"/>
      <c r="AD32" s="42"/>
      <c r="AF32" s="21"/>
      <c r="AT32" s="6"/>
      <c r="AU32"/>
      <c r="AV32"/>
      <c r="AW32"/>
    </row>
    <row r="33" spans="1:49" x14ac:dyDescent="0.3">
      <c r="A33" s="2">
        <f>Data_nieuwveer!A33</f>
        <v>41572</v>
      </c>
      <c r="D33">
        <f>Data_nieuwveer!F33/(Data_nieuwveer!E33-Data_nieuwveer!F33)</f>
        <v>3.0385964912280703</v>
      </c>
      <c r="F33" s="46">
        <f t="shared" si="12"/>
        <v>1</v>
      </c>
      <c r="G33" s="48">
        <f>F33/(MAX(F32:F35)+1)</f>
        <v>0.25</v>
      </c>
      <c r="H33" s="49">
        <f>E32*(1-G33)+E36*G33</f>
        <v>2505</v>
      </c>
      <c r="J33" s="46">
        <f t="shared" si="17"/>
        <v>1</v>
      </c>
      <c r="K33" s="48">
        <f>J33/(MAX(J32:J35)+1)</f>
        <v>0.25</v>
      </c>
      <c r="L33" s="49">
        <f>I32*(1-K33)+I36*K33</f>
        <v>1792.2599999999998</v>
      </c>
      <c r="N33" s="45"/>
      <c r="O33" s="46">
        <f t="shared" si="2"/>
        <v>2</v>
      </c>
      <c r="P33" s="48">
        <f t="shared" si="22"/>
        <v>0.33333333333333331</v>
      </c>
      <c r="Q33" s="49">
        <f t="shared" si="23"/>
        <v>57</v>
      </c>
      <c r="R33" s="45"/>
      <c r="S33" s="46">
        <f t="shared" si="3"/>
        <v>2</v>
      </c>
      <c r="T33" s="48">
        <f t="shared" si="24"/>
        <v>0.2857142857142857</v>
      </c>
      <c r="U33" s="49">
        <f t="shared" si="25"/>
        <v>10793</v>
      </c>
      <c r="W33" s="47"/>
      <c r="X33" s="90"/>
      <c r="Y33" s="90"/>
      <c r="Z33" s="80">
        <f>$B$1/(Data_nieuwveer!E33+Data_nieuwveer!U33)</f>
        <v>1.4990198551604187E-2</v>
      </c>
      <c r="AA33" s="42"/>
      <c r="AB33" s="42"/>
      <c r="AC33" s="42"/>
      <c r="AD33" s="42"/>
      <c r="AF33" s="21"/>
      <c r="AT33" s="6"/>
      <c r="AU33"/>
      <c r="AV33"/>
      <c r="AW33"/>
    </row>
    <row r="34" spans="1:49" x14ac:dyDescent="0.3">
      <c r="A34" s="2">
        <f>Data_nieuwveer!A34</f>
        <v>41573</v>
      </c>
      <c r="D34">
        <f>Data_nieuwveer!F34/(Data_nieuwveer!E34-Data_nieuwveer!F34)</f>
        <v>3.0634920634920637</v>
      </c>
      <c r="F34" s="46">
        <f t="shared" si="12"/>
        <v>2</v>
      </c>
      <c r="G34" s="48">
        <f>F34/(MAX(F32:F35)+1)</f>
        <v>0.5</v>
      </c>
      <c r="H34" s="49">
        <f>E32*(1-G34)+E36*G34</f>
        <v>2716</v>
      </c>
      <c r="J34" s="46">
        <f t="shared" si="17"/>
        <v>2</v>
      </c>
      <c r="K34" s="48">
        <f>J34/(MAX(J32:J35)+1)</f>
        <v>0.5</v>
      </c>
      <c r="L34" s="49">
        <f>I32*(1-K34)+I36*K34</f>
        <v>1914.4879999999998</v>
      </c>
      <c r="N34" s="45"/>
      <c r="O34" s="46">
        <f t="shared" si="2"/>
        <v>3</v>
      </c>
      <c r="P34" s="48">
        <f t="shared" si="22"/>
        <v>0.5</v>
      </c>
      <c r="Q34" s="49">
        <f t="shared" si="23"/>
        <v>59.5</v>
      </c>
      <c r="R34" s="45"/>
      <c r="S34" s="46">
        <f t="shared" si="3"/>
        <v>3</v>
      </c>
      <c r="T34" s="48">
        <f t="shared" si="24"/>
        <v>0.42857142857142855</v>
      </c>
      <c r="U34" s="49">
        <f t="shared" si="25"/>
        <v>10501</v>
      </c>
      <c r="W34" s="47"/>
      <c r="X34" s="90"/>
      <c r="Y34" s="90"/>
      <c r="Z34" s="80">
        <f>$B$1/(Data_nieuwveer!E34+Data_nieuwveer!U34)</f>
        <v>1.4982886333188998E-2</v>
      </c>
      <c r="AA34" s="42"/>
      <c r="AB34" s="42"/>
      <c r="AC34" s="42"/>
      <c r="AD34" s="42"/>
      <c r="AF34" s="21"/>
      <c r="AT34" s="6"/>
      <c r="AU34"/>
      <c r="AV34"/>
      <c r="AW34"/>
    </row>
    <row r="35" spans="1:49" x14ac:dyDescent="0.3">
      <c r="A35" s="2">
        <f>Data_nieuwveer!A35</f>
        <v>41574</v>
      </c>
      <c r="D35">
        <f>Data_nieuwveer!F35/(Data_nieuwveer!E35-Data_nieuwveer!F35)</f>
        <v>3.1068965517241378</v>
      </c>
      <c r="F35" s="46">
        <f t="shared" si="12"/>
        <v>3</v>
      </c>
      <c r="G35" s="48">
        <f>F35/(MAX(F32:F35)+1)</f>
        <v>0.75</v>
      </c>
      <c r="H35" s="49">
        <f>E32*(1-G35)+E36*G35</f>
        <v>2927</v>
      </c>
      <c r="J35" s="46">
        <f t="shared" si="17"/>
        <v>3</v>
      </c>
      <c r="K35" s="48">
        <f>J35/(MAX(J32:J35)+1)</f>
        <v>0.75</v>
      </c>
      <c r="L35" s="49">
        <f>I32*(1-K35)+I36*K35</f>
        <v>2036.7160000000001</v>
      </c>
      <c r="N35" s="45"/>
      <c r="O35" s="46">
        <f t="shared" si="2"/>
        <v>4</v>
      </c>
      <c r="P35" s="48">
        <f t="shared" si="22"/>
        <v>0.66666666666666663</v>
      </c>
      <c r="Q35" s="49">
        <f t="shared" si="23"/>
        <v>62</v>
      </c>
      <c r="R35" s="45"/>
      <c r="S35" s="46">
        <f t="shared" si="3"/>
        <v>4</v>
      </c>
      <c r="T35" s="48">
        <f t="shared" si="24"/>
        <v>0.5714285714285714</v>
      </c>
      <c r="U35" s="49">
        <f t="shared" si="25"/>
        <v>10209</v>
      </c>
      <c r="W35" s="47"/>
      <c r="X35" s="90"/>
      <c r="Y35" s="90"/>
      <c r="Z35" s="80">
        <f>$B$1/(Data_nieuwveer!E35+Data_nieuwveer!U35)</f>
        <v>1.4488069327415224E-2</v>
      </c>
      <c r="AA35" s="42"/>
      <c r="AB35" s="42"/>
      <c r="AC35" s="42"/>
      <c r="AD35" s="42"/>
      <c r="AF35" s="21"/>
      <c r="AT35" s="6"/>
      <c r="AU35"/>
      <c r="AV35"/>
      <c r="AW35"/>
    </row>
    <row r="36" spans="1:49" x14ac:dyDescent="0.3">
      <c r="A36" s="2">
        <f>Data_nieuwveer!A36</f>
        <v>41575</v>
      </c>
      <c r="D36">
        <f>Data_nieuwveer!F36/(Data_nieuwveer!E36-Data_nieuwveer!F36)</f>
        <v>1.0058091286307054</v>
      </c>
      <c r="E36" s="86">
        <f>Data_nieuwveer!AF36</f>
        <v>3138</v>
      </c>
      <c r="F36" s="46">
        <f t="shared" si="12"/>
        <v>0</v>
      </c>
      <c r="G36" s="48">
        <f>F36/(MAX(F36:F38)+1)</f>
        <v>0</v>
      </c>
      <c r="H36" s="49">
        <f>E36*(1-G36)+E39*G36</f>
        <v>3138</v>
      </c>
      <c r="I36" s="24">
        <f>E36*(1-Data_nieuwveer!AG36/100)</f>
        <v>2158.944</v>
      </c>
      <c r="J36" s="46">
        <f t="shared" si="17"/>
        <v>0</v>
      </c>
      <c r="K36" s="48">
        <f>J36/(MAX(J36:J38)+1)</f>
        <v>0</v>
      </c>
      <c r="L36" s="49">
        <f>I36*(1-K36)+I39*K36</f>
        <v>2158.944</v>
      </c>
      <c r="M36" s="24">
        <f>I36/E36</f>
        <v>0.68799999999999994</v>
      </c>
      <c r="N36" s="45"/>
      <c r="O36" s="46">
        <f t="shared" si="2"/>
        <v>5</v>
      </c>
      <c r="P36" s="48">
        <f t="shared" si="22"/>
        <v>0.83333333333333337</v>
      </c>
      <c r="Q36" s="49">
        <f t="shared" si="23"/>
        <v>64.5</v>
      </c>
      <c r="R36" s="45"/>
      <c r="S36" s="46">
        <f t="shared" si="3"/>
        <v>5</v>
      </c>
      <c r="T36" s="48">
        <f t="shared" si="24"/>
        <v>0.7142857142857143</v>
      </c>
      <c r="U36" s="49">
        <f t="shared" si="25"/>
        <v>9917</v>
      </c>
      <c r="W36" s="47"/>
      <c r="X36" s="90"/>
      <c r="Y36" s="90"/>
      <c r="Z36" s="80">
        <f>$B$1/(Data_nieuwveer!E36+Data_nieuwveer!U36)</f>
        <v>1.4267439268341581E-2</v>
      </c>
      <c r="AA36" s="42"/>
      <c r="AB36" s="42"/>
      <c r="AC36" s="42"/>
      <c r="AD36" s="42"/>
      <c r="AF36" s="21"/>
      <c r="AT36" s="6"/>
      <c r="AU36"/>
      <c r="AV36"/>
      <c r="AW36"/>
    </row>
    <row r="37" spans="1:49" x14ac:dyDescent="0.3">
      <c r="A37" s="2">
        <f>Data_nieuwveer!A37</f>
        <v>41576</v>
      </c>
      <c r="C37">
        <f>Data_nieuwveer!P37*'Edited data A'!$B$8</f>
        <v>72.09767106842736</v>
      </c>
      <c r="D37">
        <f>Data_nieuwveer!F37/(Data_nieuwveer!E37-Data_nieuwveer!F37)</f>
        <v>1.1611721611721613</v>
      </c>
      <c r="F37" s="46">
        <f t="shared" si="12"/>
        <v>1</v>
      </c>
      <c r="G37" s="48">
        <f>F37/(MAX(F36:F38)+1)</f>
        <v>0.33333333333333331</v>
      </c>
      <c r="H37" s="49">
        <f>E36*(1-G37)+E39*G37</f>
        <v>2890.666666666667</v>
      </c>
      <c r="J37" s="46">
        <f t="shared" si="17"/>
        <v>1</v>
      </c>
      <c r="K37" s="48">
        <f>J37/(MAX(J36:J38)+1)</f>
        <v>0.33333333333333331</v>
      </c>
      <c r="L37" s="49">
        <f>I36*(1-K37)+I39*K37</f>
        <v>1991.1746666666668</v>
      </c>
      <c r="N37" s="45">
        <f>Data_nieuwveer!AV37</f>
        <v>67</v>
      </c>
      <c r="O37" s="46">
        <f t="shared" si="2"/>
        <v>0</v>
      </c>
      <c r="P37" s="48">
        <f t="shared" ref="P37:P42" si="26">O37/(MAX(O$37:O$42)+1)</f>
        <v>0</v>
      </c>
      <c r="Q37" s="49">
        <f t="shared" ref="Q37:Q42" si="27">N$37*(1-P37)+N$43*P37</f>
        <v>67</v>
      </c>
      <c r="R37" s="45"/>
      <c r="S37" s="46">
        <f t="shared" si="3"/>
        <v>6</v>
      </c>
      <c r="T37" s="48">
        <f t="shared" si="24"/>
        <v>0.8571428571428571</v>
      </c>
      <c r="U37" s="49">
        <f t="shared" si="25"/>
        <v>9625</v>
      </c>
      <c r="V37">
        <f>(Data_nieuwveer!E37*C37)/(L37*$B$1)</f>
        <v>2.4414949852739025</v>
      </c>
      <c r="W37" s="47">
        <f>($B$1+$B$3)*H37/(Data_nieuwveer!AL37*'Edited data A'!U37+Data_nieuwveer!AQ37*'Edited data A'!Q37)</f>
        <v>1.2775764474606326</v>
      </c>
      <c r="X37" s="90">
        <f>($B$1*H37)/(Data_nieuwveer!AL37*'Edited data A'!U37+Data_nieuwveer!AQ37*'Edited data A'!N37)</f>
        <v>0.29377291676711215</v>
      </c>
      <c r="Y37" s="90">
        <f>X37*$B$2</f>
        <v>0.14688645838355607</v>
      </c>
      <c r="Z37" s="80">
        <f>$B$1/(Data_nieuwveer!E37+Data_nieuwveer!U37)</f>
        <v>1.4567482091882104E-2</v>
      </c>
      <c r="AA37" s="42">
        <f>Data_nieuwveer!E37*Data_nieuwveer!P37/1000</f>
        <v>42480</v>
      </c>
      <c r="AB37" s="42">
        <f>Data_nieuwveer!AQ37*Data_nieuwveer!AR37/1000</f>
        <v>18114.003399999998</v>
      </c>
      <c r="AC37" s="42">
        <f>Data_nieuwveer!AQ37*Data_nieuwveer!AR37/1000/B$5</f>
        <v>6536.4258486998588</v>
      </c>
      <c r="AD37" s="42">
        <f>Data_nieuwveer!AL37*Data_nieuwveer!AR37/B$5/1000</f>
        <v>52.627708542761027</v>
      </c>
      <c r="AE37">
        <f>((H37-H36)*($B$1+B$3)+Data_nieuwveer!AQ37*N37+U37*Data_nieuwveer!AL37)/(AA37*1000-(AC37+AD37)*1000)</f>
        <v>0.85466228738928474</v>
      </c>
      <c r="AF37" s="21">
        <f>(AA37-AB37)/AA37</f>
        <v>0.5735874905838042</v>
      </c>
      <c r="AT37" s="6"/>
      <c r="AU37"/>
      <c r="AV37"/>
      <c r="AW37"/>
    </row>
    <row r="38" spans="1:49" x14ac:dyDescent="0.3">
      <c r="A38" s="2">
        <f>Data_nieuwveer!A38</f>
        <v>41577</v>
      </c>
      <c r="D38">
        <f>Data_nieuwveer!F38/(Data_nieuwveer!E38-Data_nieuwveer!F38)</f>
        <v>1.6346569436902243</v>
      </c>
      <c r="F38" s="46">
        <f t="shared" si="12"/>
        <v>2</v>
      </c>
      <c r="G38" s="48">
        <f>F38/(MAX(F36:F38)+1)</f>
        <v>0.66666666666666663</v>
      </c>
      <c r="H38" s="49">
        <f>E36*(1-G38)+E39*G38</f>
        <v>2643.3333333333335</v>
      </c>
      <c r="J38" s="46">
        <f t="shared" si="17"/>
        <v>2</v>
      </c>
      <c r="K38" s="48">
        <f>J38/(MAX(J36:J38)+1)</f>
        <v>0.66666666666666663</v>
      </c>
      <c r="L38" s="49">
        <f>I36*(1-K38)+I39*K38</f>
        <v>1823.4053333333336</v>
      </c>
      <c r="N38" s="45"/>
      <c r="O38" s="46">
        <f t="shared" si="2"/>
        <v>1</v>
      </c>
      <c r="P38" s="48">
        <f t="shared" si="26"/>
        <v>0.16666666666666666</v>
      </c>
      <c r="Q38" s="49">
        <f t="shared" si="27"/>
        <v>64.333333333333343</v>
      </c>
      <c r="R38" s="45">
        <f>Data_nieuwveer!AN38*B$4</f>
        <v>9333</v>
      </c>
      <c r="S38" s="46">
        <f t="shared" si="3"/>
        <v>0</v>
      </c>
      <c r="T38" s="48">
        <f t="shared" ref="T38:T58" si="28">S38/(MAX(S$38:S$58)+1)</f>
        <v>0</v>
      </c>
      <c r="U38" s="49">
        <f t="shared" ref="U38:U58" si="29">R$38*(1-T38)+R$59*T38</f>
        <v>9333</v>
      </c>
      <c r="W38" s="47"/>
      <c r="X38" s="90"/>
      <c r="Y38" s="90"/>
      <c r="Z38" s="80">
        <f>$B$1/(Data_nieuwveer!E38+Data_nieuwveer!U38)</f>
        <v>1.4481300503535506E-2</v>
      </c>
      <c r="AA38" s="42"/>
      <c r="AB38" s="42"/>
      <c r="AC38" s="42"/>
      <c r="AD38" s="42"/>
      <c r="AF38" s="21"/>
      <c r="AT38" s="6"/>
      <c r="AU38"/>
      <c r="AV38"/>
      <c r="AW38"/>
    </row>
    <row r="39" spans="1:49" x14ac:dyDescent="0.3">
      <c r="A39" s="2">
        <f>Data_nieuwveer!A39</f>
        <v>41578</v>
      </c>
      <c r="D39">
        <f>Data_nieuwveer!F39/(Data_nieuwveer!E39-Data_nieuwveer!F39)</f>
        <v>2.9264371354781331</v>
      </c>
      <c r="E39" s="86">
        <f>Data_nieuwveer!AF39</f>
        <v>2396</v>
      </c>
      <c r="F39" s="46">
        <f t="shared" si="12"/>
        <v>0</v>
      </c>
      <c r="G39" s="48">
        <f>F39/(MAX(F39:F42)+1)</f>
        <v>0</v>
      </c>
      <c r="H39" s="49">
        <f>E39*(1-G39)+E43*G39</f>
        <v>2396</v>
      </c>
      <c r="I39" s="24">
        <f>E39*(1-Data_nieuwveer!AG39/100)</f>
        <v>1655.6360000000002</v>
      </c>
      <c r="J39" s="46">
        <f t="shared" si="17"/>
        <v>0</v>
      </c>
      <c r="K39" s="48">
        <f>J39/(MAX(J39:J42)+1)</f>
        <v>0</v>
      </c>
      <c r="L39" s="49">
        <f>I39*(1-K39)+I43*K39</f>
        <v>1655.6360000000002</v>
      </c>
      <c r="M39" s="24">
        <f>I39/E39</f>
        <v>0.69100000000000006</v>
      </c>
      <c r="N39" s="45"/>
      <c r="O39" s="46">
        <f t="shared" si="2"/>
        <v>2</v>
      </c>
      <c r="P39" s="48">
        <f t="shared" si="26"/>
        <v>0.33333333333333331</v>
      </c>
      <c r="Q39" s="49">
        <f t="shared" si="27"/>
        <v>61.666666666666671</v>
      </c>
      <c r="R39" s="45"/>
      <c r="S39" s="46">
        <f t="shared" si="3"/>
        <v>1</v>
      </c>
      <c r="T39" s="48">
        <f t="shared" si="28"/>
        <v>4.7619047619047616E-2</v>
      </c>
      <c r="U39" s="49">
        <f t="shared" si="29"/>
        <v>9283.0952380952367</v>
      </c>
      <c r="W39" s="47"/>
      <c r="X39" s="90"/>
      <c r="Y39" s="90"/>
      <c r="Z39" s="80">
        <f>$B$1/(Data_nieuwveer!E39+Data_nieuwveer!U39)</f>
        <v>1.4929874380036966E-2</v>
      </c>
      <c r="AA39" s="42"/>
      <c r="AB39" s="42"/>
      <c r="AC39" s="42"/>
      <c r="AD39" s="42"/>
      <c r="AF39" s="21"/>
      <c r="AT39" s="6"/>
      <c r="AU39"/>
      <c r="AV39"/>
      <c r="AW39"/>
    </row>
    <row r="40" spans="1:49" x14ac:dyDescent="0.3">
      <c r="A40" s="2">
        <f>Data_nieuwveer!A40</f>
        <v>41579</v>
      </c>
      <c r="D40">
        <f>Data_nieuwveer!F40/(Data_nieuwveer!E40-Data_nieuwveer!F40)</f>
        <v>3.1695692025664526</v>
      </c>
      <c r="F40" s="46">
        <f t="shared" si="12"/>
        <v>1</v>
      </c>
      <c r="G40" s="48">
        <f>F40/(MAX(F39:F42)+1)</f>
        <v>0.25</v>
      </c>
      <c r="H40" s="49">
        <f>E39*(1-G40)+E43*G40</f>
        <v>2416.5</v>
      </c>
      <c r="J40" s="46">
        <f t="shared" si="17"/>
        <v>1</v>
      </c>
      <c r="K40" s="48">
        <f>J40/(MAX(J39:J42)+1)</f>
        <v>0.25</v>
      </c>
      <c r="L40" s="49">
        <f>I39*(1-K40)+I43*K40</f>
        <v>1723.0785000000001</v>
      </c>
      <c r="N40" s="45"/>
      <c r="O40" s="46">
        <f t="shared" si="2"/>
        <v>3</v>
      </c>
      <c r="P40" s="48">
        <f t="shared" si="26"/>
        <v>0.5</v>
      </c>
      <c r="Q40" s="49">
        <f t="shared" si="27"/>
        <v>59</v>
      </c>
      <c r="R40" s="45"/>
      <c r="S40" s="46">
        <f t="shared" si="3"/>
        <v>2</v>
      </c>
      <c r="T40" s="48">
        <f t="shared" si="28"/>
        <v>9.5238095238095233E-2</v>
      </c>
      <c r="U40" s="49">
        <f t="shared" si="29"/>
        <v>9233.1904761904752</v>
      </c>
      <c r="W40" s="47"/>
      <c r="X40" s="90"/>
      <c r="Y40" s="90"/>
      <c r="Z40" s="80">
        <f>$B$1/(Data_nieuwveer!E40+Data_nieuwveer!U40)</f>
        <v>1.5073521099161158E-2</v>
      </c>
      <c r="AA40" s="42"/>
      <c r="AB40" s="42"/>
      <c r="AC40" s="42"/>
      <c r="AD40" s="42"/>
      <c r="AF40" s="21"/>
      <c r="AT40" s="6"/>
      <c r="AU40"/>
      <c r="AV40"/>
      <c r="AW40"/>
    </row>
    <row r="41" spans="1:49" x14ac:dyDescent="0.3">
      <c r="A41" s="2">
        <f>Data_nieuwveer!A41</f>
        <v>41580</v>
      </c>
      <c r="D41">
        <f>Data_nieuwveer!F41/(Data_nieuwveer!E41-Data_nieuwveer!F41)</f>
        <v>1.3579407479358911</v>
      </c>
      <c r="F41" s="46">
        <f t="shared" si="12"/>
        <v>2</v>
      </c>
      <c r="G41" s="48">
        <f>F41/(MAX(F39:F42)+1)</f>
        <v>0.5</v>
      </c>
      <c r="H41" s="49">
        <f>E39*(1-G41)+E43*G41</f>
        <v>2437</v>
      </c>
      <c r="J41" s="46">
        <f t="shared" si="17"/>
        <v>2</v>
      </c>
      <c r="K41" s="48">
        <f>J41/(MAX(J39:J42)+1)</f>
        <v>0.5</v>
      </c>
      <c r="L41" s="49">
        <f>I39*(1-K41)+I43*K41</f>
        <v>1790.5210000000002</v>
      </c>
      <c r="N41" s="45"/>
      <c r="O41" s="46">
        <f t="shared" ref="O41:O72" si="30">IF(N41&gt;0,0,O40+1)</f>
        <v>4</v>
      </c>
      <c r="P41" s="48">
        <f t="shared" si="26"/>
        <v>0.66666666666666663</v>
      </c>
      <c r="Q41" s="49">
        <f t="shared" si="27"/>
        <v>56.333333333333336</v>
      </c>
      <c r="R41" s="45"/>
      <c r="S41" s="46">
        <f t="shared" ref="S41:S72" si="31">IF(R41&gt;0,0,S40+1)</f>
        <v>3</v>
      </c>
      <c r="T41" s="48">
        <f t="shared" si="28"/>
        <v>0.14285714285714285</v>
      </c>
      <c r="U41" s="49">
        <f t="shared" si="29"/>
        <v>9183.2857142857138</v>
      </c>
      <c r="W41" s="47"/>
      <c r="X41" s="90"/>
      <c r="Y41" s="90"/>
      <c r="Z41" s="80">
        <f>$B$1/(Data_nieuwveer!E41+Data_nieuwveer!U41)</f>
        <v>1.4160738543203908E-2</v>
      </c>
      <c r="AA41" s="42"/>
      <c r="AB41" s="42"/>
      <c r="AC41" s="42"/>
      <c r="AD41" s="42"/>
      <c r="AF41" s="21"/>
      <c r="AT41" s="6"/>
      <c r="AU41"/>
      <c r="AV41"/>
      <c r="AW41"/>
    </row>
    <row r="42" spans="1:49" x14ac:dyDescent="0.3">
      <c r="A42" s="2">
        <f>Data_nieuwveer!A42</f>
        <v>41581</v>
      </c>
      <c r="D42">
        <f>Data_nieuwveer!F42/(Data_nieuwveer!E42-Data_nieuwveer!F42)</f>
        <v>0.97520316732652634</v>
      </c>
      <c r="F42" s="46">
        <f t="shared" si="12"/>
        <v>3</v>
      </c>
      <c r="G42" s="48">
        <f>F42/(MAX(F39:F42)+1)</f>
        <v>0.75</v>
      </c>
      <c r="H42" s="49">
        <f>E39*(1-G42)+E43*G42</f>
        <v>2457.5</v>
      </c>
      <c r="J42" s="46">
        <f t="shared" si="17"/>
        <v>3</v>
      </c>
      <c r="K42" s="48">
        <f>J42/(MAX(J39:J42)+1)</f>
        <v>0.75</v>
      </c>
      <c r="L42" s="49">
        <f>I39*(1-K42)+I43*K42</f>
        <v>1857.9635000000001</v>
      </c>
      <c r="N42" s="45"/>
      <c r="O42" s="46">
        <f t="shared" si="30"/>
        <v>5</v>
      </c>
      <c r="P42" s="48">
        <f t="shared" si="26"/>
        <v>0.83333333333333337</v>
      </c>
      <c r="Q42" s="49">
        <f t="shared" si="27"/>
        <v>53.666666666666664</v>
      </c>
      <c r="R42" s="45"/>
      <c r="S42" s="46">
        <f t="shared" si="31"/>
        <v>4</v>
      </c>
      <c r="T42" s="48">
        <f t="shared" si="28"/>
        <v>0.19047619047619047</v>
      </c>
      <c r="U42" s="49">
        <f t="shared" si="29"/>
        <v>9133.3809523809523</v>
      </c>
      <c r="W42" s="47"/>
      <c r="X42" s="90"/>
      <c r="Y42" s="90"/>
      <c r="Z42" s="80">
        <f>$B$1/(Data_nieuwveer!E42+Data_nieuwveer!U42)</f>
        <v>1.4561797042249389E-2</v>
      </c>
      <c r="AA42" s="42"/>
      <c r="AB42" s="42"/>
      <c r="AC42" s="42"/>
      <c r="AD42" s="42"/>
      <c r="AF42" s="21"/>
      <c r="AT42" s="6"/>
      <c r="AU42"/>
      <c r="AV42"/>
      <c r="AW42"/>
    </row>
    <row r="43" spans="1:49" x14ac:dyDescent="0.3">
      <c r="A43" s="2">
        <f>Data_nieuwveer!A43</f>
        <v>41582</v>
      </c>
      <c r="C43">
        <f>Data_nieuwveer!P43*'Edited data A'!$B$8</f>
        <v>72.09767106842736</v>
      </c>
      <c r="D43">
        <f>Data_nieuwveer!F43/(Data_nieuwveer!E43-Data_nieuwveer!F43)</f>
        <v>0.57270550678371912</v>
      </c>
      <c r="E43" s="86">
        <f>Data_nieuwveer!AF43</f>
        <v>2478</v>
      </c>
      <c r="F43" s="46">
        <f t="shared" si="12"/>
        <v>0</v>
      </c>
      <c r="G43" s="48">
        <f>F43/(MAX(F43:F45)+1)</f>
        <v>0</v>
      </c>
      <c r="H43" s="49">
        <f>E43*(1-G43)+E46*G43</f>
        <v>2478</v>
      </c>
      <c r="I43" s="24">
        <f>E43*(1-Data_nieuwveer!AG43/100)</f>
        <v>1925.4059999999999</v>
      </c>
      <c r="J43" s="46">
        <f t="shared" si="17"/>
        <v>0</v>
      </c>
      <c r="K43" s="48">
        <f>J43/(MAX(J43:J45)+1)</f>
        <v>0</v>
      </c>
      <c r="L43" s="49">
        <f>I43*(1-K43)+I46*K43</f>
        <v>1925.4059999999999</v>
      </c>
      <c r="M43" s="24">
        <f>I43/E43</f>
        <v>0.77700000000000002</v>
      </c>
      <c r="N43" s="45">
        <f>Data_nieuwveer!AV43</f>
        <v>51</v>
      </c>
      <c r="O43" s="46">
        <f t="shared" si="30"/>
        <v>0</v>
      </c>
      <c r="P43" s="48">
        <f t="shared" ref="P43:P48" si="32">O43/(MAX(O$43:O$48)+1)</f>
        <v>0</v>
      </c>
      <c r="Q43" s="49">
        <f t="shared" ref="Q43:Q48" si="33">N$43*(1-P43)+N$49*P43</f>
        <v>51</v>
      </c>
      <c r="R43" s="45"/>
      <c r="S43" s="46">
        <f t="shared" si="31"/>
        <v>5</v>
      </c>
      <c r="T43" s="48">
        <f t="shared" si="28"/>
        <v>0.23809523809523808</v>
      </c>
      <c r="U43" s="49">
        <f t="shared" si="29"/>
        <v>9083.476190476189</v>
      </c>
      <c r="V43">
        <f>(Data_nieuwveer!E43*C43)/(L43*$B$1)</f>
        <v>2.6353564355377319</v>
      </c>
      <c r="W43" s="47">
        <f>($B$1+$B$3)*H43/(Data_nieuwveer!AL43*'Edited data A'!U43+Data_nieuwveer!AQ43*'Edited data A'!Q43)</f>
        <v>1.430679628381931</v>
      </c>
      <c r="X43" s="90">
        <f>($B$1*H43)/(Data_nieuwveer!AL43*'Edited data A'!U43+Data_nieuwveer!AQ43*'Edited data A'!N43)</f>
        <v>0.32897829967392145</v>
      </c>
      <c r="Y43" s="90">
        <f>X43*$B$2</f>
        <v>0.16448914983696072</v>
      </c>
      <c r="Z43" s="80">
        <f>$B$1/(Data_nieuwveer!E43+Data_nieuwveer!U43)</f>
        <v>1.3998353793593874E-2</v>
      </c>
      <c r="AA43" s="42">
        <f>Data_nieuwveer!E43*Data_nieuwveer!P43/1000</f>
        <v>44338.5</v>
      </c>
      <c r="AB43" s="42">
        <f>Data_nieuwveer!AQ43*Data_nieuwveer!AR43/1000</f>
        <v>22615.538399999998</v>
      </c>
      <c r="AC43" s="42">
        <f>Data_nieuwveer!AQ43*Data_nieuwveer!AR43/1000/B$5</f>
        <v>8160.801702180549</v>
      </c>
      <c r="AD43" s="42">
        <f>Data_nieuwveer!AL43*Data_nieuwveer!AR43/B$5/1000</f>
        <v>49.485793494614924</v>
      </c>
      <c r="AE43">
        <f>((H43-H42)*($B$1+B$3)+Data_nieuwveer!AQ43*N43+U43*Data_nieuwveer!AL43)/(AA43*1000-(AC43+AD43)*1000)</f>
        <v>0.73835569683538449</v>
      </c>
      <c r="AF43" s="21">
        <f>(AA43-AB43)/AA43</f>
        <v>0.4899345174058663</v>
      </c>
      <c r="AT43" s="6"/>
      <c r="AU43"/>
      <c r="AV43"/>
      <c r="AW43"/>
    </row>
    <row r="44" spans="1:49" x14ac:dyDescent="0.3">
      <c r="A44" s="2">
        <f>Data_nieuwveer!A44</f>
        <v>41583</v>
      </c>
      <c r="D44">
        <f>Data_nieuwveer!F44/(Data_nieuwveer!E44-Data_nieuwveer!F44)</f>
        <v>7.1352122725651087E-3</v>
      </c>
      <c r="F44" s="46">
        <f t="shared" si="12"/>
        <v>1</v>
      </c>
      <c r="G44" s="48">
        <f>F44/(MAX(F43:F45)+1)</f>
        <v>0.33333333333333331</v>
      </c>
      <c r="H44" s="49">
        <f>E43*(1-G44)+E46*G44</f>
        <v>2464</v>
      </c>
      <c r="J44" s="46">
        <f t="shared" si="17"/>
        <v>1</v>
      </c>
      <c r="K44" s="48">
        <f>J44/(MAX(J43:J45)+1)</f>
        <v>0.33333333333333331</v>
      </c>
      <c r="L44" s="49">
        <f>I43*(1-K44)+I46*K44</f>
        <v>1898.288</v>
      </c>
      <c r="N44" s="45"/>
      <c r="O44" s="46">
        <f t="shared" si="30"/>
        <v>1</v>
      </c>
      <c r="P44" s="48">
        <f t="shared" si="32"/>
        <v>0.16666666666666666</v>
      </c>
      <c r="Q44" s="49">
        <f t="shared" si="33"/>
        <v>49</v>
      </c>
      <c r="R44" s="45"/>
      <c r="S44" s="46">
        <f t="shared" si="31"/>
        <v>6</v>
      </c>
      <c r="T44" s="48">
        <f t="shared" si="28"/>
        <v>0.2857142857142857</v>
      </c>
      <c r="U44" s="49">
        <f t="shared" si="29"/>
        <v>9033.5714285714275</v>
      </c>
      <c r="W44" s="47"/>
      <c r="X44" s="90"/>
      <c r="Y44" s="90"/>
      <c r="Z44" s="80">
        <f>$B$1/(Data_nieuwveer!E44+Data_nieuwveer!U44)</f>
        <v>1.2255378272754998E-2</v>
      </c>
      <c r="AA44" s="42"/>
      <c r="AB44" s="42"/>
      <c r="AC44" s="42"/>
      <c r="AD44" s="42"/>
      <c r="AF44" s="21"/>
      <c r="AT44" s="6"/>
      <c r="AU44"/>
      <c r="AV44"/>
      <c r="AW44"/>
    </row>
    <row r="45" spans="1:49" x14ac:dyDescent="0.3">
      <c r="A45" s="16">
        <f>Data_nieuwveer!A45</f>
        <v>41584</v>
      </c>
      <c r="D45">
        <f>Data_nieuwveer!F45/(Data_nieuwveer!E45-Data_nieuwveer!F45)</f>
        <v>0.15979012640114476</v>
      </c>
      <c r="F45" s="46">
        <f t="shared" si="12"/>
        <v>2</v>
      </c>
      <c r="G45" s="48">
        <f>F45/(MAX(F43:F45)+1)</f>
        <v>0.66666666666666663</v>
      </c>
      <c r="H45" s="49">
        <f>E43*(1-G45)+E46*G45</f>
        <v>2450</v>
      </c>
      <c r="J45" s="46">
        <f t="shared" si="17"/>
        <v>2</v>
      </c>
      <c r="K45" s="48">
        <f>J45/(MAX(J43:J45)+1)</f>
        <v>0.66666666666666663</v>
      </c>
      <c r="L45" s="49">
        <f>I43*(1-K45)+I46*K45</f>
        <v>1871.17</v>
      </c>
      <c r="N45" s="45"/>
      <c r="O45" s="46">
        <f t="shared" si="30"/>
        <v>2</v>
      </c>
      <c r="P45" s="48">
        <f t="shared" si="32"/>
        <v>0.33333333333333331</v>
      </c>
      <c r="Q45" s="49">
        <f t="shared" si="33"/>
        <v>47.000000000000007</v>
      </c>
      <c r="R45" s="45"/>
      <c r="S45" s="46">
        <f t="shared" si="31"/>
        <v>7</v>
      </c>
      <c r="T45" s="48">
        <f t="shared" si="28"/>
        <v>0.33333333333333331</v>
      </c>
      <c r="U45" s="49">
        <f t="shared" si="29"/>
        <v>8983.6666666666679</v>
      </c>
      <c r="W45" s="47"/>
      <c r="X45" s="90"/>
      <c r="Y45" s="90"/>
      <c r="Z45" s="80">
        <f>$B$1/(Data_nieuwveer!E45+Data_nieuwveer!U45)</f>
        <v>1.4189860331231883E-2</v>
      </c>
      <c r="AA45" s="42"/>
      <c r="AB45" s="42"/>
      <c r="AC45" s="42"/>
      <c r="AD45" s="42"/>
      <c r="AF45" s="21"/>
      <c r="AT45" s="6"/>
      <c r="AU45"/>
      <c r="AV45"/>
      <c r="AW45"/>
    </row>
    <row r="46" spans="1:49" x14ac:dyDescent="0.3">
      <c r="A46" s="2">
        <f>Data_nieuwveer!A46</f>
        <v>41585</v>
      </c>
      <c r="D46">
        <f>Data_nieuwveer!F46/(Data_nieuwveer!E46-Data_nieuwveer!F46)</f>
        <v>0.67316394013226588</v>
      </c>
      <c r="E46" s="86">
        <f>Data_nieuwveer!AF46</f>
        <v>2436</v>
      </c>
      <c r="F46" s="46">
        <f t="shared" si="12"/>
        <v>0</v>
      </c>
      <c r="G46" s="48">
        <f>F46/(MAX(F46:F49)+1)</f>
        <v>0</v>
      </c>
      <c r="H46" s="49">
        <f>E46*(1-G46)+E50*G46</f>
        <v>2436</v>
      </c>
      <c r="I46" s="24">
        <f>E46*(1-Data_nieuwveer!AG46/100)</f>
        <v>1844.0519999999999</v>
      </c>
      <c r="J46" s="46">
        <f t="shared" si="17"/>
        <v>0</v>
      </c>
      <c r="K46" s="48">
        <f>J46/(MAX(J46:J49)+1)</f>
        <v>0</v>
      </c>
      <c r="L46" s="49">
        <f>I46*(1-K46)+I50*K46</f>
        <v>1844.0519999999999</v>
      </c>
      <c r="M46" s="24">
        <f>I46/E46</f>
        <v>0.75700000000000001</v>
      </c>
      <c r="N46" s="45"/>
      <c r="O46" s="46">
        <f t="shared" si="30"/>
        <v>3</v>
      </c>
      <c r="P46" s="48">
        <f t="shared" si="32"/>
        <v>0.5</v>
      </c>
      <c r="Q46" s="49">
        <f t="shared" si="33"/>
        <v>45</v>
      </c>
      <c r="R46" s="45"/>
      <c r="S46" s="46">
        <f t="shared" si="31"/>
        <v>8</v>
      </c>
      <c r="T46" s="48">
        <f t="shared" si="28"/>
        <v>0.38095238095238093</v>
      </c>
      <c r="U46" s="49">
        <f t="shared" si="29"/>
        <v>8933.7619047619046</v>
      </c>
      <c r="W46" s="47"/>
      <c r="X46" s="90"/>
      <c r="Y46" s="90"/>
      <c r="Z46" s="80">
        <f>$B$1/(Data_nieuwveer!E46+Data_nieuwveer!U46)</f>
        <v>1.4329644882740517E-2</v>
      </c>
      <c r="AA46" s="42"/>
      <c r="AB46" s="42"/>
      <c r="AC46" s="42"/>
      <c r="AD46" s="42"/>
      <c r="AF46" s="21"/>
      <c r="AT46" s="6"/>
      <c r="AU46"/>
      <c r="AV46"/>
      <c r="AW46"/>
    </row>
    <row r="47" spans="1:49" x14ac:dyDescent="0.3">
      <c r="A47" s="2">
        <f>Data_nieuwveer!A47</f>
        <v>41586</v>
      </c>
      <c r="D47">
        <f>Data_nieuwveer!F47/(Data_nieuwveer!E47-Data_nieuwveer!F47)</f>
        <v>0.39578587699316631</v>
      </c>
      <c r="F47" s="46">
        <f t="shared" si="12"/>
        <v>1</v>
      </c>
      <c r="G47" s="48">
        <f>F47/(MAX(F46:F49)+1)</f>
        <v>0.25</v>
      </c>
      <c r="H47" s="49">
        <f>E46*(1-G47)+E50*G47</f>
        <v>2568.5</v>
      </c>
      <c r="J47" s="46">
        <f t="shared" si="17"/>
        <v>1</v>
      </c>
      <c r="K47" s="48">
        <f>J47/(MAX(J46:J49)+1)</f>
        <v>0.25</v>
      </c>
      <c r="L47" s="49">
        <f>I46*(1-K47)+I50*K47</f>
        <v>1933.9735000000001</v>
      </c>
      <c r="N47" s="45"/>
      <c r="O47" s="46">
        <f t="shared" si="30"/>
        <v>4</v>
      </c>
      <c r="P47" s="48">
        <f t="shared" si="32"/>
        <v>0.66666666666666663</v>
      </c>
      <c r="Q47" s="49">
        <f t="shared" si="33"/>
        <v>43</v>
      </c>
      <c r="R47" s="45"/>
      <c r="S47" s="46">
        <f t="shared" si="31"/>
        <v>9</v>
      </c>
      <c r="T47" s="48">
        <f t="shared" si="28"/>
        <v>0.42857142857142855</v>
      </c>
      <c r="U47" s="49">
        <f t="shared" si="29"/>
        <v>8883.8571428571413</v>
      </c>
      <c r="W47" s="47"/>
      <c r="X47" s="90"/>
      <c r="Y47" s="90"/>
      <c r="Z47" s="80">
        <f>$B$1/(Data_nieuwveer!E47+Data_nieuwveer!U47)</f>
        <v>1.4057128168878321E-2</v>
      </c>
      <c r="AA47" s="42"/>
      <c r="AB47" s="42"/>
      <c r="AC47" s="42"/>
      <c r="AD47" s="42"/>
      <c r="AF47" s="21"/>
      <c r="AT47" s="6"/>
      <c r="AU47"/>
      <c r="AV47"/>
      <c r="AW47"/>
    </row>
    <row r="48" spans="1:49" x14ac:dyDescent="0.3">
      <c r="A48" s="2">
        <f>Data_nieuwveer!A48</f>
        <v>41587</v>
      </c>
      <c r="D48">
        <f>Data_nieuwveer!F48/(Data_nieuwveer!E48-Data_nieuwveer!F48)</f>
        <v>0.3431793770139635</v>
      </c>
      <c r="F48" s="46">
        <f t="shared" si="12"/>
        <v>2</v>
      </c>
      <c r="G48" s="48">
        <f>F48/(MAX(F46:F49)+1)</f>
        <v>0.5</v>
      </c>
      <c r="H48" s="49">
        <f>E46*(1-G48)+E50*G48</f>
        <v>2701</v>
      </c>
      <c r="J48" s="46">
        <f t="shared" si="17"/>
        <v>2</v>
      </c>
      <c r="K48" s="48">
        <f>J48/(MAX(J46:J49)+1)</f>
        <v>0.5</v>
      </c>
      <c r="L48" s="49">
        <f>I46*(1-K48)+I50*K48</f>
        <v>2023.895</v>
      </c>
      <c r="N48" s="45"/>
      <c r="O48" s="46">
        <f t="shared" si="30"/>
        <v>5</v>
      </c>
      <c r="P48" s="48">
        <f t="shared" si="32"/>
        <v>0.83333333333333337</v>
      </c>
      <c r="Q48" s="49">
        <f t="shared" si="33"/>
        <v>41</v>
      </c>
      <c r="R48" s="45"/>
      <c r="S48" s="46">
        <f t="shared" si="31"/>
        <v>10</v>
      </c>
      <c r="T48" s="48">
        <f t="shared" si="28"/>
        <v>0.47619047619047616</v>
      </c>
      <c r="U48" s="49">
        <f t="shared" si="29"/>
        <v>8833.9523809523816</v>
      </c>
      <c r="W48" s="47"/>
      <c r="X48" s="90"/>
      <c r="Y48" s="90"/>
      <c r="Z48" s="80">
        <f>$B$1/(Data_nieuwveer!E48+Data_nieuwveer!U48)</f>
        <v>1.3763948286880007E-2</v>
      </c>
      <c r="AA48" s="42"/>
      <c r="AB48" s="42"/>
      <c r="AC48" s="42"/>
      <c r="AD48" s="42"/>
      <c r="AF48" s="21"/>
      <c r="AT48" s="6"/>
      <c r="AU48"/>
      <c r="AV48"/>
      <c r="AW48"/>
    </row>
    <row r="49" spans="1:49" x14ac:dyDescent="0.3">
      <c r="A49" s="2">
        <f>Data_nieuwveer!A49</f>
        <v>41588</v>
      </c>
      <c r="B49">
        <f>Data_nieuwveer!Q49/Data_nieuwveer!P49</f>
        <v>0.34799999999999998</v>
      </c>
      <c r="C49">
        <f>Data_nieuwveer!P49*'Edited data A'!$B$8</f>
        <v>100.13565426170467</v>
      </c>
      <c r="D49">
        <f>Data_nieuwveer!F49/(Data_nieuwveer!E49-Data_nieuwveer!F49)</f>
        <v>9.3008890968647631E-2</v>
      </c>
      <c r="F49" s="46">
        <f t="shared" si="12"/>
        <v>3</v>
      </c>
      <c r="G49" s="48">
        <f>F49/(MAX(F46:F49)+1)</f>
        <v>0.75</v>
      </c>
      <c r="H49" s="49">
        <f>E46*(1-G49)+E50*G49</f>
        <v>2833.5</v>
      </c>
      <c r="J49" s="46">
        <f t="shared" si="17"/>
        <v>3</v>
      </c>
      <c r="K49" s="48">
        <f>J49/(MAX(J46:J49)+1)</f>
        <v>0.75</v>
      </c>
      <c r="L49" s="49">
        <f>I46*(1-K49)+I50*K49</f>
        <v>2113.8164999999999</v>
      </c>
      <c r="N49" s="45">
        <f>Data_nieuwveer!AV49</f>
        <v>39</v>
      </c>
      <c r="O49" s="46">
        <f t="shared" si="30"/>
        <v>0</v>
      </c>
      <c r="P49" s="48">
        <f t="shared" ref="P49:P54" si="34">O49/(MAX(O$49:O$54)+1)</f>
        <v>0</v>
      </c>
      <c r="Q49" s="49">
        <f t="shared" ref="Q49:Q50" si="35">N$49*(1-P49)+N$55*P49</f>
        <v>39</v>
      </c>
      <c r="R49" s="45"/>
      <c r="S49" s="46">
        <f t="shared" si="31"/>
        <v>11</v>
      </c>
      <c r="T49" s="48">
        <f t="shared" si="28"/>
        <v>0.52380952380952384</v>
      </c>
      <c r="U49" s="49">
        <f t="shared" si="29"/>
        <v>8784.0476190476184</v>
      </c>
      <c r="V49">
        <f>(Data_nieuwveer!E49*C49)/(L49*$B$1)</f>
        <v>3.1614158668972085</v>
      </c>
      <c r="W49" s="47">
        <f>($B$1+$B$3)*H49/(Data_nieuwveer!AL49*'Edited data A'!U49+Data_nieuwveer!AQ49*'Edited data A'!Q49)</f>
        <v>1.7303340663877749</v>
      </c>
      <c r="X49" s="90">
        <f>($B$1*H49)/(Data_nieuwveer!AL49*'Edited data A'!U49+Data_nieuwveer!AQ49*'Edited data A'!N49)</f>
        <v>0.39788248028100731</v>
      </c>
      <c r="Y49" s="90">
        <f>X49*$B$2</f>
        <v>0.19894124014050366</v>
      </c>
      <c r="Z49" s="80">
        <f>$B$1/(Data_nieuwveer!E49+Data_nieuwveer!U49)</f>
        <v>1.4736534964850206E-2</v>
      </c>
      <c r="AA49" s="42">
        <f>Data_nieuwveer!E49*Data_nieuwveer!P49/1000</f>
        <v>58394</v>
      </c>
      <c r="AB49" s="42">
        <f>Data_nieuwveer!AQ49*Data_nieuwveer!AR49/1000</f>
        <v>20507.113650000003</v>
      </c>
      <c r="AC49" s="42">
        <f>Data_nieuwveer!AQ49*Data_nieuwveer!AR49/1000/B$5</f>
        <v>7399.9780602937144</v>
      </c>
      <c r="AD49" s="42">
        <f>Data_nieuwveer!AL49*Data_nieuwveer!AR49/B$5/1000</f>
        <v>56.226458832776089</v>
      </c>
      <c r="AE49">
        <f>((H49-H48)*($B$1+B$3)+Data_nieuwveer!AQ49*N49+U49*Data_nieuwveer!AL49)/(AA49*1000-(AC49+AD49)*1000)</f>
        <v>0.52891680099957616</v>
      </c>
      <c r="AF49" s="21">
        <f>(AA49-AB49)/AA49</f>
        <v>0.64881471298421067</v>
      </c>
      <c r="AT49" s="6"/>
      <c r="AU49"/>
      <c r="AV49"/>
      <c r="AW49"/>
    </row>
    <row r="50" spans="1:49" x14ac:dyDescent="0.3">
      <c r="A50" s="2">
        <f>Data_nieuwveer!A50</f>
        <v>41589</v>
      </c>
      <c r="D50">
        <f>Data_nieuwveer!F50/(Data_nieuwveer!E50-Data_nieuwveer!F50)</f>
        <v>0.45352921079603692</v>
      </c>
      <c r="E50" s="86">
        <f>Data_nieuwveer!AF50</f>
        <v>2966</v>
      </c>
      <c r="F50" s="46">
        <f t="shared" si="12"/>
        <v>0</v>
      </c>
      <c r="G50" s="48">
        <f>F50/(MAX(F50:F52)+1)</f>
        <v>0</v>
      </c>
      <c r="H50" s="49">
        <f>E50*(1-G50)+E53*G50</f>
        <v>2966</v>
      </c>
      <c r="I50" s="24">
        <f>E50*(1-Data_nieuwveer!AG50/100)</f>
        <v>2203.7379999999998</v>
      </c>
      <c r="J50" s="46">
        <f t="shared" si="17"/>
        <v>0</v>
      </c>
      <c r="K50" s="48">
        <f>J50/(MAX(J50:J52)+1)</f>
        <v>0</v>
      </c>
      <c r="L50" s="49">
        <f>I50*(1-K50)+I53*K50</f>
        <v>2203.7379999999998</v>
      </c>
      <c r="M50" s="24">
        <f>I50/E50</f>
        <v>0.74299999999999999</v>
      </c>
      <c r="N50" s="45"/>
      <c r="O50" s="46">
        <f t="shared" si="30"/>
        <v>1</v>
      </c>
      <c r="P50" s="48">
        <f t="shared" si="34"/>
        <v>0.16666666666666666</v>
      </c>
      <c r="Q50" s="49">
        <f t="shared" si="35"/>
        <v>37.833333333333336</v>
      </c>
      <c r="R50" s="45"/>
      <c r="S50" s="46">
        <f t="shared" si="31"/>
        <v>12</v>
      </c>
      <c r="T50" s="48">
        <f t="shared" si="28"/>
        <v>0.5714285714285714</v>
      </c>
      <c r="U50" s="49">
        <f t="shared" si="29"/>
        <v>8734.1428571428569</v>
      </c>
      <c r="W50" s="47"/>
      <c r="X50" s="90"/>
      <c r="Y50" s="90"/>
      <c r="Z50" s="80">
        <f>$B$1/(Data_nieuwveer!E50+Data_nieuwveer!U50)</f>
        <v>1.6127345203980965E-2</v>
      </c>
      <c r="AA50" s="42"/>
      <c r="AB50" s="42"/>
      <c r="AC50" s="42"/>
      <c r="AD50" s="42"/>
      <c r="AF50" s="21"/>
      <c r="AT50" s="6"/>
      <c r="AU50"/>
      <c r="AV50"/>
      <c r="AW50"/>
    </row>
    <row r="51" spans="1:49" x14ac:dyDescent="0.3">
      <c r="A51" s="2">
        <f>Data_nieuwveer!A51</f>
        <v>41590</v>
      </c>
      <c r="D51">
        <f>Data_nieuwveer!F51/(Data_nieuwveer!E51-Data_nieuwveer!F51)</f>
        <v>1.6095979730988488</v>
      </c>
      <c r="F51" s="46">
        <f t="shared" si="12"/>
        <v>1</v>
      </c>
      <c r="G51" s="48">
        <f>F51/(MAX(F50:F52)+1)</f>
        <v>0.33333333333333331</v>
      </c>
      <c r="H51" s="49">
        <f>E50*(1-G51)+E53*G51</f>
        <v>2826</v>
      </c>
      <c r="J51" s="46">
        <f t="shared" si="17"/>
        <v>1</v>
      </c>
      <c r="K51" s="48">
        <f>J51/(MAX(J50:J52)+1)</f>
        <v>0.33333333333333331</v>
      </c>
      <c r="L51" s="49">
        <f>I50*(1-K51)+I53*K51</f>
        <v>2098.0206666666668</v>
      </c>
      <c r="N51" s="45"/>
      <c r="O51" s="46">
        <f t="shared" si="30"/>
        <v>2</v>
      </c>
      <c r="P51" s="48">
        <f t="shared" si="34"/>
        <v>0.33333333333333331</v>
      </c>
      <c r="Q51" s="49">
        <f>N$49*(1-P51)+N$55*P51</f>
        <v>36.666666666666671</v>
      </c>
      <c r="R51" s="45"/>
      <c r="S51" s="46">
        <f t="shared" si="31"/>
        <v>13</v>
      </c>
      <c r="T51" s="48">
        <f t="shared" si="28"/>
        <v>0.61904761904761907</v>
      </c>
      <c r="U51" s="49">
        <f t="shared" si="29"/>
        <v>8684.2380952380954</v>
      </c>
      <c r="W51" s="47"/>
      <c r="X51" s="90"/>
      <c r="Y51" s="90"/>
      <c r="Z51" s="80">
        <f>$B$1/(Data_nieuwveer!E51+Data_nieuwveer!U51)</f>
        <v>1.6292061739466193E-2</v>
      </c>
      <c r="AA51" s="42"/>
      <c r="AB51" s="42"/>
      <c r="AC51" s="42"/>
      <c r="AD51" s="42"/>
      <c r="AF51" s="21"/>
      <c r="AT51" s="6"/>
      <c r="AU51"/>
      <c r="AV51"/>
      <c r="AW51"/>
    </row>
    <row r="52" spans="1:49" x14ac:dyDescent="0.3">
      <c r="A52" s="16">
        <f>Data_nieuwveer!A52</f>
        <v>41591</v>
      </c>
      <c r="D52">
        <f>Data_nieuwveer!F52/(Data_nieuwveer!E52-Data_nieuwveer!F52)</f>
        <v>0.9401726785514527</v>
      </c>
      <c r="F52" s="46">
        <f t="shared" si="12"/>
        <v>2</v>
      </c>
      <c r="G52" s="48">
        <f>F52/(MAX(F50:F52)+1)</f>
        <v>0.66666666666666663</v>
      </c>
      <c r="H52" s="49">
        <f>E50*(1-G52)+E53*G52</f>
        <v>2686</v>
      </c>
      <c r="J52" s="46">
        <f t="shared" si="17"/>
        <v>2</v>
      </c>
      <c r="K52" s="48">
        <f>J52/(MAX(J50:J52)+1)</f>
        <v>0.66666666666666663</v>
      </c>
      <c r="L52" s="49">
        <f>I50*(1-K52)+I53*K52</f>
        <v>1992.3033333333333</v>
      </c>
      <c r="N52" s="45"/>
      <c r="O52" s="46">
        <f t="shared" si="30"/>
        <v>3</v>
      </c>
      <c r="P52" s="48">
        <f t="shared" si="34"/>
        <v>0.5</v>
      </c>
      <c r="Q52" s="49">
        <f>N$49*(1-P52)+N$55*P52</f>
        <v>35.5</v>
      </c>
      <c r="R52" s="45"/>
      <c r="S52" s="46">
        <f t="shared" si="31"/>
        <v>14</v>
      </c>
      <c r="T52" s="48">
        <f t="shared" si="28"/>
        <v>0.66666666666666663</v>
      </c>
      <c r="U52" s="49">
        <f t="shared" si="29"/>
        <v>8634.3333333333339</v>
      </c>
      <c r="W52" s="47"/>
      <c r="X52" s="90"/>
      <c r="Y52" s="90"/>
      <c r="Z52" s="80">
        <f>$B$1/(Data_nieuwveer!E52+Data_nieuwveer!U52)</f>
        <v>1.7919633005916039E-2</v>
      </c>
      <c r="AA52" s="42"/>
      <c r="AB52" s="42"/>
      <c r="AC52" s="42"/>
      <c r="AD52" s="42"/>
      <c r="AF52" s="21"/>
      <c r="AT52" s="6"/>
      <c r="AU52"/>
      <c r="AV52"/>
      <c r="AW52"/>
    </row>
    <row r="53" spans="1:49" x14ac:dyDescent="0.3">
      <c r="A53" s="2">
        <f>Data_nieuwveer!A53</f>
        <v>41592</v>
      </c>
      <c r="D53">
        <f>Data_nieuwveer!F53/(Data_nieuwveer!E53-Data_nieuwveer!F53)</f>
        <v>1.5748987854251013</v>
      </c>
      <c r="E53" s="86">
        <f>Data_nieuwveer!AF53</f>
        <v>2546</v>
      </c>
      <c r="F53" s="46">
        <f t="shared" si="12"/>
        <v>0</v>
      </c>
      <c r="G53" s="48">
        <f>F53/(MAX(F53:F56)+1)</f>
        <v>0</v>
      </c>
      <c r="H53" s="49">
        <f>E53*(1-G53)+E57*G53</f>
        <v>2546</v>
      </c>
      <c r="I53" s="24">
        <f>E53*(1-Data_nieuwveer!AG53/100)</f>
        <v>1886.586</v>
      </c>
      <c r="J53" s="46">
        <f t="shared" si="17"/>
        <v>0</v>
      </c>
      <c r="K53" s="48">
        <f>J53/(MAX(J53:J56)+1)</f>
        <v>0</v>
      </c>
      <c r="L53" s="49">
        <f>I53*(1-K53)+I57*K53</f>
        <v>1886.586</v>
      </c>
      <c r="M53" s="24">
        <f>I53/E53</f>
        <v>0.74099999999999999</v>
      </c>
      <c r="N53" s="45"/>
      <c r="O53" s="46">
        <f t="shared" si="30"/>
        <v>4</v>
      </c>
      <c r="P53" s="48">
        <f t="shared" si="34"/>
        <v>0.66666666666666663</v>
      </c>
      <c r="Q53" s="49">
        <f>N$49*(1-P53)+N$55*P53</f>
        <v>34.333333333333336</v>
      </c>
      <c r="R53" s="45"/>
      <c r="S53" s="46">
        <f t="shared" si="31"/>
        <v>15</v>
      </c>
      <c r="T53" s="48">
        <f t="shared" si="28"/>
        <v>0.7142857142857143</v>
      </c>
      <c r="U53" s="49">
        <f t="shared" si="29"/>
        <v>8584.4285714285725</v>
      </c>
      <c r="W53" s="47"/>
      <c r="X53" s="90"/>
      <c r="Y53" s="90"/>
      <c r="Z53" s="80">
        <f>$B$1/(Data_nieuwveer!E53+Data_nieuwveer!U53)</f>
        <v>1.799439603095036E-2</v>
      </c>
      <c r="AA53" s="42"/>
      <c r="AB53" s="42"/>
      <c r="AC53" s="42"/>
      <c r="AD53" s="42"/>
      <c r="AF53" s="21"/>
      <c r="AT53" s="6"/>
      <c r="AU53"/>
      <c r="AV53"/>
      <c r="AW53"/>
    </row>
    <row r="54" spans="1:49" x14ac:dyDescent="0.3">
      <c r="A54" s="2">
        <f>Data_nieuwveer!A54</f>
        <v>41593</v>
      </c>
      <c r="D54">
        <f>Data_nieuwveer!F54/(Data_nieuwveer!E54-Data_nieuwveer!F54)</f>
        <v>0.5879492186082298</v>
      </c>
      <c r="F54" s="46">
        <f t="shared" si="12"/>
        <v>1</v>
      </c>
      <c r="G54" s="48">
        <f>F54/(MAX(F53:F56)+1)</f>
        <v>0.25</v>
      </c>
      <c r="H54" s="49">
        <f>E53*(1-G54)+E57*G54</f>
        <v>2662</v>
      </c>
      <c r="J54" s="46">
        <f t="shared" si="17"/>
        <v>1</v>
      </c>
      <c r="K54" s="48">
        <f>J54/(MAX(J53:J56)+1)</f>
        <v>0.25</v>
      </c>
      <c r="L54" s="49">
        <f>I53*(1-K54)+I57*K54</f>
        <v>1993.6120000000001</v>
      </c>
      <c r="N54" s="45"/>
      <c r="O54" s="46">
        <f t="shared" si="30"/>
        <v>5</v>
      </c>
      <c r="P54" s="48">
        <f t="shared" si="34"/>
        <v>0.83333333333333337</v>
      </c>
      <c r="Q54" s="49">
        <f>N$49*(1-P54)+N$55*P54</f>
        <v>33.166666666666664</v>
      </c>
      <c r="R54" s="45"/>
      <c r="S54" s="46">
        <f t="shared" si="31"/>
        <v>16</v>
      </c>
      <c r="T54" s="48">
        <f t="shared" si="28"/>
        <v>0.76190476190476186</v>
      </c>
      <c r="U54" s="49">
        <f t="shared" si="29"/>
        <v>8534.5238095238092</v>
      </c>
      <c r="W54" s="47"/>
      <c r="X54" s="90"/>
      <c r="Y54" s="90"/>
      <c r="Z54" s="80">
        <f>$B$1/(Data_nieuwveer!E54+Data_nieuwveer!U54)</f>
        <v>1.5714756515562547E-2</v>
      </c>
      <c r="AA54" s="42"/>
      <c r="AB54" s="42"/>
      <c r="AC54" s="42"/>
      <c r="AD54" s="42"/>
      <c r="AF54" s="21"/>
      <c r="AT54" s="6"/>
      <c r="AU54"/>
      <c r="AV54"/>
      <c r="AW54"/>
    </row>
    <row r="55" spans="1:49" x14ac:dyDescent="0.3">
      <c r="A55" s="2">
        <f>Data_nieuwveer!A55</f>
        <v>41594</v>
      </c>
      <c r="C55">
        <f>Data_nieuwveer!P55*'Edited data A'!$B$8</f>
        <v>80.108523409363741</v>
      </c>
      <c r="D55">
        <f>Data_nieuwveer!F55/(Data_nieuwveer!E55-Data_nieuwveer!F55)</f>
        <v>1.670805100795421</v>
      </c>
      <c r="F55" s="46">
        <f t="shared" si="12"/>
        <v>2</v>
      </c>
      <c r="G55" s="48">
        <f>F55/(MAX(F53:F56)+1)</f>
        <v>0.5</v>
      </c>
      <c r="H55" s="49">
        <f>E53*(1-G55)+E57*G55</f>
        <v>2778</v>
      </c>
      <c r="J55" s="46">
        <f t="shared" si="17"/>
        <v>2</v>
      </c>
      <c r="K55" s="48">
        <f>J55/(MAX(J53:J56)+1)</f>
        <v>0.5</v>
      </c>
      <c r="L55" s="49">
        <f>I53*(1-K55)+I57*K55</f>
        <v>2100.6379999999999</v>
      </c>
      <c r="N55" s="45">
        <f>Data_nieuwveer!AV55</f>
        <v>32</v>
      </c>
      <c r="O55" s="46">
        <f t="shared" si="30"/>
        <v>0</v>
      </c>
      <c r="P55" s="48">
        <f t="shared" ref="P55:P60" si="36">O55/(MAX(O$55:O$60)+1)</f>
        <v>0</v>
      </c>
      <c r="Q55" s="49">
        <f>N$55*(1-P55)+N$61*P55</f>
        <v>32</v>
      </c>
      <c r="R55" s="45"/>
      <c r="S55" s="46">
        <f t="shared" si="31"/>
        <v>17</v>
      </c>
      <c r="T55" s="48">
        <f t="shared" si="28"/>
        <v>0.80952380952380953</v>
      </c>
      <c r="U55" s="49">
        <f t="shared" si="29"/>
        <v>8484.6190476190477</v>
      </c>
      <c r="V55">
        <f>(Data_nieuwveer!E55*C55)/(L55*$B$1)</f>
        <v>2.0743767250364478</v>
      </c>
      <c r="W55" s="47">
        <f>($B$1+$B$3)*H55/(Data_nieuwveer!AL55*'Edited data A'!U55+Data_nieuwveer!AQ55*'Edited data A'!Q55)</f>
        <v>2.0646601798119169</v>
      </c>
      <c r="X55" s="90">
        <f>($B$1*H55)/(Data_nieuwveer!AL55*'Edited data A'!U55+Data_nieuwveer!AQ55*'Edited data A'!N55)</f>
        <v>0.47475925559041515</v>
      </c>
      <c r="Y55" s="90">
        <f>X55*$B$2</f>
        <v>0.23737962779520758</v>
      </c>
      <c r="Z55" s="80">
        <f>$B$1/(Data_nieuwveer!E55+Data_nieuwveer!U55)</f>
        <v>1.7956803114427933E-2</v>
      </c>
      <c r="AA55" s="42">
        <f>Data_nieuwveer!E55*Data_nieuwveer!P55/1000</f>
        <v>38076.6</v>
      </c>
      <c r="AB55" s="42">
        <f>Data_nieuwveer!AQ55*Data_nieuwveer!AR55/1000</f>
        <v>12559.768</v>
      </c>
      <c r="AC55" s="42">
        <f>Data_nieuwveer!AQ55*Data_nieuwveer!AR55/1000/B$5</f>
        <v>4532.1837694296419</v>
      </c>
      <c r="AD55" s="42">
        <f>Data_nieuwveer!AL55*Data_nieuwveer!AR55/B$5/1000</f>
        <v>39.522022010819107</v>
      </c>
      <c r="AE55">
        <f>((H55-H54)*($B$1+B$3)+Data_nieuwveer!AQ55*N55+U55*Data_nieuwveer!AL55)/(AA55*1000-(AC55+AD55)*1000)</f>
        <v>0.66394746262338622</v>
      </c>
      <c r="AF55" s="21">
        <f>(AA55-AB55)/AA55</f>
        <v>0.67014470829853501</v>
      </c>
      <c r="AT55" s="6"/>
      <c r="AU55"/>
      <c r="AV55"/>
      <c r="AW55"/>
    </row>
    <row r="56" spans="1:49" x14ac:dyDescent="0.3">
      <c r="A56" s="2">
        <f>Data_nieuwveer!A56</f>
        <v>41595</v>
      </c>
      <c r="D56">
        <f>Data_nieuwveer!F56/(Data_nieuwveer!E56-Data_nieuwveer!F56)</f>
        <v>1.9164658634538152</v>
      </c>
      <c r="F56" s="46">
        <f t="shared" si="12"/>
        <v>3</v>
      </c>
      <c r="G56" s="48">
        <f>F56/(MAX(F53:F56)+1)</f>
        <v>0.75</v>
      </c>
      <c r="H56" s="49">
        <f>E53*(1-G56)+E57*G56</f>
        <v>2894</v>
      </c>
      <c r="J56" s="46">
        <f t="shared" si="17"/>
        <v>3</v>
      </c>
      <c r="K56" s="48">
        <f>J56/(MAX(J53:J56)+1)</f>
        <v>0.75</v>
      </c>
      <c r="L56" s="49">
        <f>I53*(1-K56)+I57*K56</f>
        <v>2207.6639999999998</v>
      </c>
      <c r="N56" s="45"/>
      <c r="O56" s="46">
        <f t="shared" si="30"/>
        <v>1</v>
      </c>
      <c r="P56" s="48">
        <f t="shared" si="36"/>
        <v>0.16666666666666666</v>
      </c>
      <c r="Q56" s="49">
        <f>N$55*(1-P56)+N$61*P56</f>
        <v>31</v>
      </c>
      <c r="R56" s="45"/>
      <c r="S56" s="46">
        <f t="shared" si="31"/>
        <v>18</v>
      </c>
      <c r="T56" s="48">
        <f t="shared" si="28"/>
        <v>0.8571428571428571</v>
      </c>
      <c r="U56" s="49">
        <f t="shared" si="29"/>
        <v>8434.7142857142862</v>
      </c>
      <c r="W56" s="47"/>
      <c r="X56" s="90"/>
      <c r="Y56" s="90"/>
      <c r="Z56" s="80">
        <f>$B$1/(Data_nieuwveer!E56+Data_nieuwveer!U56)</f>
        <v>1.8830937724205851E-2</v>
      </c>
      <c r="AA56" s="42"/>
      <c r="AB56" s="42"/>
      <c r="AC56" s="42"/>
      <c r="AD56" s="42"/>
      <c r="AF56" s="21"/>
      <c r="AT56" s="6"/>
      <c r="AU56"/>
      <c r="AV56"/>
      <c r="AW56"/>
    </row>
    <row r="57" spans="1:49" x14ac:dyDescent="0.3">
      <c r="A57" s="2">
        <f>Data_nieuwveer!A57</f>
        <v>41596</v>
      </c>
      <c r="D57">
        <f>Data_nieuwveer!F57/(Data_nieuwveer!E57-Data_nieuwveer!F57)</f>
        <v>1.9653465346534653</v>
      </c>
      <c r="E57" s="86">
        <f>Data_nieuwveer!AF57</f>
        <v>3010</v>
      </c>
      <c r="F57" s="46">
        <f t="shared" si="12"/>
        <v>0</v>
      </c>
      <c r="G57" s="48">
        <f>F57/(MAX(F57:F59)+1)</f>
        <v>0</v>
      </c>
      <c r="H57" s="49">
        <f>E57*(1-G57)+E60*G57</f>
        <v>3010</v>
      </c>
      <c r="I57" s="24">
        <f>E57*(1-Data_nieuwveer!AG57/100)</f>
        <v>2314.69</v>
      </c>
      <c r="J57" s="46">
        <f t="shared" si="17"/>
        <v>0</v>
      </c>
      <c r="K57" s="48">
        <f>J57/(MAX(J57:J59)+1)</f>
        <v>0</v>
      </c>
      <c r="L57" s="49">
        <f>I57*(1-K57)+I60*K57</f>
        <v>2314.69</v>
      </c>
      <c r="M57" s="24">
        <f>I57/E57</f>
        <v>0.76900000000000002</v>
      </c>
      <c r="N57" s="45"/>
      <c r="O57" s="46">
        <f t="shared" si="30"/>
        <v>2</v>
      </c>
      <c r="P57" s="48">
        <f t="shared" si="36"/>
        <v>0.33333333333333331</v>
      </c>
      <c r="Q57" s="49">
        <f>N$55*(1-P57)+N$61*P57</f>
        <v>30</v>
      </c>
      <c r="R57" s="45"/>
      <c r="S57" s="46">
        <f t="shared" si="31"/>
        <v>19</v>
      </c>
      <c r="T57" s="48">
        <f t="shared" si="28"/>
        <v>0.90476190476190477</v>
      </c>
      <c r="U57" s="49">
        <f t="shared" si="29"/>
        <v>8384.8095238095229</v>
      </c>
      <c r="W57" s="47"/>
      <c r="X57" s="90"/>
      <c r="Y57" s="90"/>
      <c r="Z57" s="80">
        <f>$B$1/(Data_nieuwveer!E57+Data_nieuwveer!U57)</f>
        <v>1.9001085776330078E-2</v>
      </c>
      <c r="AA57" s="42"/>
      <c r="AB57" s="42"/>
      <c r="AC57" s="42"/>
      <c r="AD57" s="42"/>
      <c r="AF57" s="21"/>
      <c r="AT57" s="6"/>
      <c r="AU57"/>
      <c r="AV57"/>
      <c r="AW57"/>
    </row>
    <row r="58" spans="1:49" x14ac:dyDescent="0.3">
      <c r="A58" s="2">
        <f>Data_nieuwveer!A58</f>
        <v>41597</v>
      </c>
      <c r="D58">
        <f>Data_nieuwveer!F58/(Data_nieuwveer!E58-Data_nieuwveer!F58)</f>
        <v>1.5987532411699112</v>
      </c>
      <c r="F58" s="46">
        <f t="shared" si="12"/>
        <v>1</v>
      </c>
      <c r="G58" s="48">
        <f>F58/(MAX(F57:F59)+1)</f>
        <v>0.33333333333333331</v>
      </c>
      <c r="H58" s="49">
        <f>E57*(1-G58)+E60*G58</f>
        <v>2918</v>
      </c>
      <c r="J58" s="46">
        <f t="shared" si="17"/>
        <v>1</v>
      </c>
      <c r="K58" s="48">
        <f>J58/(MAX(J57:J59)+1)</f>
        <v>0.33333333333333331</v>
      </c>
      <c r="L58" s="49">
        <f>I57*(1-K58)+I60*K58</f>
        <v>2245.7646666666669</v>
      </c>
      <c r="N58" s="45"/>
      <c r="O58" s="46">
        <f t="shared" si="30"/>
        <v>3</v>
      </c>
      <c r="P58" s="48">
        <f t="shared" si="36"/>
        <v>0.5</v>
      </c>
      <c r="Q58" s="49">
        <f t="shared" ref="Q58" si="37">N$55*(1-P58)+N$61*P58</f>
        <v>29</v>
      </c>
      <c r="R58" s="45"/>
      <c r="S58" s="46">
        <f t="shared" si="31"/>
        <v>20</v>
      </c>
      <c r="T58" s="48">
        <f t="shared" si="28"/>
        <v>0.95238095238095233</v>
      </c>
      <c r="U58" s="49">
        <f t="shared" si="29"/>
        <v>8334.9047619047615</v>
      </c>
      <c r="W58" s="47"/>
      <c r="X58" s="90"/>
      <c r="Y58" s="90"/>
      <c r="Z58" s="80">
        <f>$B$1/(Data_nieuwveer!E58+Data_nieuwveer!U58)</f>
        <v>1.7642040478401733E-2</v>
      </c>
      <c r="AA58" s="42"/>
      <c r="AB58" s="42"/>
      <c r="AC58" s="42"/>
      <c r="AD58" s="42"/>
      <c r="AF58" s="21"/>
      <c r="AT58" s="6"/>
      <c r="AU58"/>
      <c r="AV58"/>
      <c r="AW58"/>
    </row>
    <row r="59" spans="1:49" x14ac:dyDescent="0.3">
      <c r="A59" s="2">
        <f>Data_nieuwveer!A59</f>
        <v>41598</v>
      </c>
      <c r="D59">
        <f>Data_nieuwveer!F59/(Data_nieuwveer!E59-Data_nieuwveer!F59)</f>
        <v>1.3720182318780223</v>
      </c>
      <c r="F59" s="46">
        <f t="shared" si="12"/>
        <v>2</v>
      </c>
      <c r="G59" s="48">
        <f>F59/(MAX(F57:F59)+1)</f>
        <v>0.66666666666666663</v>
      </c>
      <c r="H59" s="49">
        <f>E57*(1-G59)+E60*G59</f>
        <v>2826</v>
      </c>
      <c r="J59" s="46">
        <f t="shared" si="17"/>
        <v>2</v>
      </c>
      <c r="K59" s="48">
        <f>J59/(MAX(J57:J59)+1)</f>
        <v>0.66666666666666663</v>
      </c>
      <c r="L59" s="49">
        <f>I57*(1-K59)+I60*K59</f>
        <v>2176.8393333333333</v>
      </c>
      <c r="N59" s="45"/>
      <c r="O59" s="46">
        <f t="shared" si="30"/>
        <v>4</v>
      </c>
      <c r="P59" s="48">
        <f t="shared" si="36"/>
        <v>0.66666666666666663</v>
      </c>
      <c r="Q59" s="49">
        <f>N$55*(1-P59)+N$61*P59</f>
        <v>28</v>
      </c>
      <c r="R59" s="45">
        <f>Data_nieuwveer!AN59*B$4</f>
        <v>8285</v>
      </c>
      <c r="S59" s="46">
        <f t="shared" si="31"/>
        <v>0</v>
      </c>
      <c r="T59" s="48">
        <f t="shared" ref="T59:T79" si="38">S59/(MAX(S$59:S$79)+1)</f>
        <v>0</v>
      </c>
      <c r="U59" s="49">
        <f t="shared" ref="U59:U79" si="39">R$59*(1-T59)+R$80*T59</f>
        <v>8285</v>
      </c>
      <c r="W59" s="47"/>
      <c r="X59" s="90"/>
      <c r="Y59" s="90"/>
      <c r="Z59" s="80">
        <f>$B$1/(Data_nieuwveer!E59+Data_nieuwveer!U59)</f>
        <v>1.6715431949446802E-2</v>
      </c>
      <c r="AA59" s="42"/>
      <c r="AB59" s="42"/>
      <c r="AC59" s="42"/>
      <c r="AD59" s="42"/>
      <c r="AF59" s="21"/>
      <c r="AT59" s="6"/>
      <c r="AU59"/>
      <c r="AV59"/>
      <c r="AW59"/>
    </row>
    <row r="60" spans="1:49" x14ac:dyDescent="0.3">
      <c r="A60" s="2">
        <f>Data_nieuwveer!A60</f>
        <v>41599</v>
      </c>
      <c r="D60">
        <f>Data_nieuwveer!F60/(Data_nieuwveer!E60-Data_nieuwveer!F60)</f>
        <v>1.2812740816850758</v>
      </c>
      <c r="E60" s="86">
        <f>Data_nieuwveer!AF60</f>
        <v>2734</v>
      </c>
      <c r="F60" s="46">
        <f t="shared" si="12"/>
        <v>0</v>
      </c>
      <c r="G60" s="48">
        <f>F60/(MAX(F60:F63)+1)</f>
        <v>0</v>
      </c>
      <c r="H60" s="49">
        <f>E60*(1-G60)+E64*G60</f>
        <v>2734</v>
      </c>
      <c r="I60" s="24">
        <f>E60*(1-Data_nieuwveer!AG60/100)</f>
        <v>2107.9140000000002</v>
      </c>
      <c r="J60" s="46">
        <f t="shared" si="17"/>
        <v>0</v>
      </c>
      <c r="K60" s="48">
        <f>J60/(MAX(J60:J63)+1)</f>
        <v>0</v>
      </c>
      <c r="L60" s="49">
        <f>I60*(1-K60)+I64*K60</f>
        <v>2107.9140000000002</v>
      </c>
      <c r="M60" s="24">
        <f>I60/E60</f>
        <v>0.77100000000000013</v>
      </c>
      <c r="N60" s="45"/>
      <c r="O60" s="46">
        <f t="shared" si="30"/>
        <v>5</v>
      </c>
      <c r="P60" s="48">
        <f t="shared" si="36"/>
        <v>0.83333333333333337</v>
      </c>
      <c r="Q60" s="49">
        <f>N$55*(1-P60)+N$61*P60</f>
        <v>27</v>
      </c>
      <c r="R60" s="45"/>
      <c r="S60" s="46">
        <f t="shared" si="31"/>
        <v>1</v>
      </c>
      <c r="T60" s="48">
        <f t="shared" si="38"/>
        <v>7.1428571428571425E-2</v>
      </c>
      <c r="U60" s="49">
        <f t="shared" si="39"/>
        <v>8222.7142857142862</v>
      </c>
      <c r="W60" s="47"/>
      <c r="X60" s="90"/>
      <c r="Y60" s="90"/>
      <c r="Z60" s="80">
        <f>$B$1/(Data_nieuwveer!E60+Data_nieuwveer!U60)</f>
        <v>1.5541461177096949E-2</v>
      </c>
      <c r="AA60" s="42"/>
      <c r="AB60" s="42"/>
      <c r="AC60" s="42"/>
      <c r="AD60" s="42"/>
      <c r="AF60" s="21"/>
      <c r="AT60" s="6"/>
      <c r="AU60"/>
      <c r="AV60"/>
      <c r="AW60"/>
    </row>
    <row r="61" spans="1:49" x14ac:dyDescent="0.3">
      <c r="A61" s="16">
        <f>Data_nieuwveer!A61</f>
        <v>41600</v>
      </c>
      <c r="C61">
        <f>Data_nieuwveer!P61*'Edited data A'!$B$8</f>
        <v>100.13565426170467</v>
      </c>
      <c r="D61">
        <f>Data_nieuwveer!F61/(Data_nieuwveer!E61-Data_nieuwveer!F61)</f>
        <v>1.8602447690485591</v>
      </c>
      <c r="F61" s="46">
        <f t="shared" si="12"/>
        <v>1</v>
      </c>
      <c r="G61" s="48">
        <f>F61/(MAX(F60:F63)+1)</f>
        <v>0.25</v>
      </c>
      <c r="H61" s="49">
        <f>E60*(1-G61)+E64*G61</f>
        <v>2645.5</v>
      </c>
      <c r="J61" s="46">
        <f t="shared" si="17"/>
        <v>1</v>
      </c>
      <c r="K61" s="48">
        <f>J61/(MAX(J60:J63)+1)</f>
        <v>0.25</v>
      </c>
      <c r="L61" s="49">
        <f>I60*(1-K61)+I64*K61</f>
        <v>2046.2255</v>
      </c>
      <c r="N61" s="45">
        <f>Data_nieuwveer!AV61</f>
        <v>26</v>
      </c>
      <c r="O61" s="46">
        <f t="shared" si="30"/>
        <v>0</v>
      </c>
      <c r="P61" s="48">
        <f t="shared" ref="P61:P66" si="40">O61/(MAX(O$61:O$66)+1)</f>
        <v>0</v>
      </c>
      <c r="Q61" s="49">
        <f t="shared" ref="Q61:Q66" si="41">N$61*(1-P61)+N$67*P61</f>
        <v>26</v>
      </c>
      <c r="R61" s="45"/>
      <c r="S61" s="46">
        <f t="shared" si="31"/>
        <v>2</v>
      </c>
      <c r="T61" s="48">
        <f t="shared" si="38"/>
        <v>0.14285714285714285</v>
      </c>
      <c r="U61" s="49">
        <f t="shared" si="39"/>
        <v>8160.4285714285716</v>
      </c>
      <c r="V61">
        <f>(Data_nieuwveer!E61*C61)/(L61*$B$1)</f>
        <v>2.5324775338999621</v>
      </c>
      <c r="W61" s="47">
        <f>($B$1+$B$3)*H61/(Data_nieuwveer!AL61*'Edited data A'!U61+Data_nieuwveer!AQ61*'Edited data A'!Q61)</f>
        <v>2.0721203477004648</v>
      </c>
      <c r="X61" s="90">
        <f>($B$1*H61)/(Data_nieuwveer!AL61*'Edited data A'!U61+Data_nieuwveer!AQ61*'Edited data A'!N61)</f>
        <v>0.47647468740238008</v>
      </c>
      <c r="Y61" s="90">
        <f>X61*$B$2</f>
        <v>0.23823734370119004</v>
      </c>
      <c r="Z61" s="80">
        <f>$B$1/(Data_nieuwveer!E61+Data_nieuwveer!U61)</f>
        <v>1.8898258525476878E-2</v>
      </c>
      <c r="AA61" s="42">
        <f>Data_nieuwveer!E61*Data_nieuwveer!P61/1000</f>
        <v>45281.25</v>
      </c>
      <c r="AB61" s="42">
        <f>Data_nieuwveer!AQ61*Data_nieuwveer!AR61/1000</f>
        <v>16506.4725</v>
      </c>
      <c r="AC61" s="42">
        <f>Data_nieuwveer!AQ61*Data_nieuwveer!AR61/1000/B$5</f>
        <v>5956.3494130653307</v>
      </c>
      <c r="AD61" s="42">
        <f>Data_nieuwveer!AL61*Data_nieuwveer!AR61/B$5/1000</f>
        <v>58.360160874775389</v>
      </c>
      <c r="AE61">
        <f>((H61-H60)*($B$1+B$3)+Data_nieuwveer!AQ61*N61+U61*Data_nieuwveer!AL61)/(AA61*1000-(AC61+AD61)*1000)</f>
        <v>0.46058980359915336</v>
      </c>
      <c r="AF61" s="21">
        <f>(AA61-AB61)/AA61</f>
        <v>0.63546782608695651</v>
      </c>
      <c r="AT61" s="6"/>
      <c r="AU61"/>
      <c r="AV61"/>
      <c r="AW61"/>
    </row>
    <row r="62" spans="1:49" x14ac:dyDescent="0.3">
      <c r="A62" s="2">
        <f>Data_nieuwveer!A62</f>
        <v>41601</v>
      </c>
      <c r="D62">
        <f>Data_nieuwveer!F62/(Data_nieuwveer!E62-Data_nieuwveer!F62)</f>
        <v>2.4267004647232784</v>
      </c>
      <c r="F62" s="46">
        <f t="shared" si="12"/>
        <v>2</v>
      </c>
      <c r="G62" s="48">
        <f>F62/(MAX(F60:F63)+1)</f>
        <v>0.5</v>
      </c>
      <c r="H62" s="49">
        <f>E60*(1-G62)+E64*G62</f>
        <v>2557</v>
      </c>
      <c r="J62" s="46">
        <f t="shared" si="17"/>
        <v>2</v>
      </c>
      <c r="K62" s="48">
        <f>J62/(MAX(J60:J63)+1)</f>
        <v>0.5</v>
      </c>
      <c r="L62" s="49">
        <f>I60*(1-K62)+I64*K62</f>
        <v>1984.5370000000003</v>
      </c>
      <c r="N62" s="45"/>
      <c r="O62" s="46">
        <f t="shared" si="30"/>
        <v>1</v>
      </c>
      <c r="P62" s="48">
        <f t="shared" si="40"/>
        <v>0.16666666666666666</v>
      </c>
      <c r="Q62" s="49">
        <f t="shared" si="41"/>
        <v>30.333333333333336</v>
      </c>
      <c r="R62" s="45"/>
      <c r="S62" s="46">
        <f t="shared" si="31"/>
        <v>3</v>
      </c>
      <c r="T62" s="48">
        <f t="shared" si="38"/>
        <v>0.21428571428571427</v>
      </c>
      <c r="U62" s="49">
        <f t="shared" si="39"/>
        <v>8098.1428571428569</v>
      </c>
      <c r="W62" s="47"/>
      <c r="X62" s="90"/>
      <c r="Y62" s="90"/>
      <c r="Z62" s="80">
        <f>$B$1/(Data_nieuwveer!E62+Data_nieuwveer!U62)</f>
        <v>1.692095641113283E-2</v>
      </c>
      <c r="AA62" s="42"/>
      <c r="AB62" s="42"/>
      <c r="AC62" s="42"/>
      <c r="AD62" s="42"/>
      <c r="AF62" s="21"/>
      <c r="AT62" s="6"/>
      <c r="AU62"/>
      <c r="AV62"/>
      <c r="AW62"/>
    </row>
    <row r="63" spans="1:49" x14ac:dyDescent="0.3">
      <c r="A63" s="2">
        <f>Data_nieuwveer!A63</f>
        <v>41602</v>
      </c>
      <c r="D63">
        <f>Data_nieuwveer!F63/(Data_nieuwveer!E63-Data_nieuwveer!F63)</f>
        <v>2.427903019991493</v>
      </c>
      <c r="F63" s="46">
        <f t="shared" si="12"/>
        <v>3</v>
      </c>
      <c r="G63" s="48">
        <f>F63/(MAX(F60:F63)+1)</f>
        <v>0.75</v>
      </c>
      <c r="H63" s="49">
        <f>E60*(1-G63)+E64*G63</f>
        <v>2468.5</v>
      </c>
      <c r="J63" s="46">
        <f t="shared" si="17"/>
        <v>3</v>
      </c>
      <c r="K63" s="48">
        <f>J63/(MAX(J60:J63)+1)</f>
        <v>0.75</v>
      </c>
      <c r="L63" s="49">
        <f>I60*(1-K63)+I64*K63</f>
        <v>1922.8485000000001</v>
      </c>
      <c r="N63" s="45"/>
      <c r="O63" s="46">
        <f t="shared" si="30"/>
        <v>2</v>
      </c>
      <c r="P63" s="48">
        <f t="shared" si="40"/>
        <v>0.33333333333333331</v>
      </c>
      <c r="Q63" s="49">
        <f t="shared" si="41"/>
        <v>34.666666666666671</v>
      </c>
      <c r="R63" s="45"/>
      <c r="S63" s="46">
        <f t="shared" si="31"/>
        <v>4</v>
      </c>
      <c r="T63" s="48">
        <f t="shared" si="38"/>
        <v>0.2857142857142857</v>
      </c>
      <c r="U63" s="49">
        <f t="shared" si="39"/>
        <v>8035.8571428571431</v>
      </c>
      <c r="W63" s="47"/>
      <c r="X63" s="90"/>
      <c r="Y63" s="90"/>
      <c r="Z63" s="80">
        <f>$B$1/(Data_nieuwveer!E63+Data_nieuwveer!U63)</f>
        <v>1.7072038147713128E-2</v>
      </c>
      <c r="AA63" s="42"/>
      <c r="AB63" s="42"/>
      <c r="AC63" s="42"/>
      <c r="AD63" s="42"/>
      <c r="AF63" s="21"/>
      <c r="AT63" s="6"/>
      <c r="AU63"/>
      <c r="AV63"/>
      <c r="AW63"/>
    </row>
    <row r="64" spans="1:49" x14ac:dyDescent="0.3">
      <c r="A64" s="2">
        <f>Data_nieuwveer!A64</f>
        <v>41603</v>
      </c>
      <c r="D64">
        <f>Data_nieuwveer!F64/(Data_nieuwveer!E64-Data_nieuwveer!F64)</f>
        <v>2.5672175078159891</v>
      </c>
      <c r="E64" s="86">
        <f>Data_nieuwveer!AF64</f>
        <v>2380</v>
      </c>
      <c r="F64" s="46">
        <f t="shared" si="12"/>
        <v>0</v>
      </c>
      <c r="G64" s="48">
        <f>F64/(MAX(F64:F66)+1)</f>
        <v>0</v>
      </c>
      <c r="H64" s="49">
        <f>E64*(1-G64)+E67*G64</f>
        <v>2380</v>
      </c>
      <c r="I64" s="24">
        <f>E64*(1-Data_nieuwveer!AG64/100)</f>
        <v>1861.16</v>
      </c>
      <c r="J64" s="46">
        <f t="shared" si="17"/>
        <v>0</v>
      </c>
      <c r="K64" s="48">
        <f>J64/(MAX(J64:J66)+1)</f>
        <v>0</v>
      </c>
      <c r="L64" s="49">
        <f>I64*(1-K64)+I67*K64</f>
        <v>1861.16</v>
      </c>
      <c r="M64" s="24">
        <f>I64/E64</f>
        <v>0.78200000000000003</v>
      </c>
      <c r="N64" s="45"/>
      <c r="O64" s="46">
        <f t="shared" si="30"/>
        <v>3</v>
      </c>
      <c r="P64" s="48">
        <f t="shared" si="40"/>
        <v>0.5</v>
      </c>
      <c r="Q64" s="49">
        <f t="shared" si="41"/>
        <v>39</v>
      </c>
      <c r="R64" s="45"/>
      <c r="S64" s="46">
        <f t="shared" si="31"/>
        <v>5</v>
      </c>
      <c r="T64" s="48">
        <f t="shared" si="38"/>
        <v>0.35714285714285715</v>
      </c>
      <c r="U64" s="49">
        <f t="shared" si="39"/>
        <v>7973.5714285714284</v>
      </c>
      <c r="W64" s="47"/>
      <c r="X64" s="90"/>
      <c r="Y64" s="90"/>
      <c r="Z64" s="80">
        <f>$B$1/(Data_nieuwveer!E64+Data_nieuwveer!U64)</f>
        <v>1.7222452598496092E-2</v>
      </c>
      <c r="AA64" s="42"/>
      <c r="AB64" s="42"/>
      <c r="AC64" s="42"/>
      <c r="AD64" s="42"/>
      <c r="AF64" s="21"/>
      <c r="AT64" s="6"/>
      <c r="AU64"/>
      <c r="AV64"/>
      <c r="AW64"/>
    </row>
    <row r="65" spans="1:49" x14ac:dyDescent="0.3">
      <c r="A65" s="2">
        <f>Data_nieuwveer!A65</f>
        <v>41604</v>
      </c>
      <c r="D65">
        <f>Data_nieuwveer!F65/(Data_nieuwveer!E65-Data_nieuwveer!F65)</f>
        <v>2.2073813708260106</v>
      </c>
      <c r="F65" s="46">
        <f t="shared" si="12"/>
        <v>1</v>
      </c>
      <c r="G65" s="48">
        <f>F65/(MAX(F64:F66)+1)</f>
        <v>0.33333333333333331</v>
      </c>
      <c r="H65" s="49">
        <f>E64*(1-G65)+E67*G65</f>
        <v>2417.3333333333335</v>
      </c>
      <c r="J65" s="46">
        <f t="shared" si="17"/>
        <v>1</v>
      </c>
      <c r="K65" s="48">
        <f>J65/(MAX(J64:J66)+1)</f>
        <v>0.33333333333333331</v>
      </c>
      <c r="L65" s="49">
        <f>I64*(1-K65)+I67*K65</f>
        <v>1891.1853333333336</v>
      </c>
      <c r="N65" s="45"/>
      <c r="O65" s="46">
        <f t="shared" si="30"/>
        <v>4</v>
      </c>
      <c r="P65" s="48">
        <f t="shared" si="40"/>
        <v>0.66666666666666663</v>
      </c>
      <c r="Q65" s="49">
        <f t="shared" si="41"/>
        <v>43.333333333333329</v>
      </c>
      <c r="R65" s="45"/>
      <c r="S65" s="46">
        <f t="shared" si="31"/>
        <v>6</v>
      </c>
      <c r="T65" s="48">
        <f t="shared" si="38"/>
        <v>0.42857142857142855</v>
      </c>
      <c r="U65" s="49">
        <f t="shared" si="39"/>
        <v>7911.2857142857138</v>
      </c>
      <c r="W65" s="47"/>
      <c r="X65" s="90"/>
      <c r="Y65" s="90"/>
      <c r="Z65" s="80">
        <f>$B$1/(Data_nieuwveer!E65+Data_nieuwveer!U65)</f>
        <v>1.8817526728267114E-2</v>
      </c>
      <c r="AA65" s="42"/>
      <c r="AB65" s="42"/>
      <c r="AC65" s="42"/>
      <c r="AD65" s="42"/>
      <c r="AF65" s="21"/>
      <c r="AT65" s="6"/>
      <c r="AU65"/>
      <c r="AV65"/>
      <c r="AW65"/>
    </row>
    <row r="66" spans="1:49" x14ac:dyDescent="0.3">
      <c r="A66" s="2">
        <f>Data_nieuwveer!A66</f>
        <v>41605</v>
      </c>
      <c r="D66">
        <f>Data_nieuwveer!F66/(Data_nieuwveer!E66-Data_nieuwveer!F66)</f>
        <v>2.6908077994428967</v>
      </c>
      <c r="F66" s="46">
        <f t="shared" si="12"/>
        <v>2</v>
      </c>
      <c r="G66" s="48">
        <f>F66/(MAX(F64:F66)+1)</f>
        <v>0.66666666666666663</v>
      </c>
      <c r="H66" s="49">
        <f>E64*(1-G66)+E67*G66</f>
        <v>2454.6666666666665</v>
      </c>
      <c r="J66" s="46">
        <f t="shared" si="17"/>
        <v>2</v>
      </c>
      <c r="K66" s="48">
        <f>J66/(MAX(J64:J66)+1)</f>
        <v>0.66666666666666663</v>
      </c>
      <c r="L66" s="49">
        <f>I64*(1-K66)+I67*K66</f>
        <v>1921.2106666666668</v>
      </c>
      <c r="N66" s="45"/>
      <c r="O66" s="46">
        <f t="shared" si="30"/>
        <v>5</v>
      </c>
      <c r="P66" s="48">
        <f t="shared" si="40"/>
        <v>0.83333333333333337</v>
      </c>
      <c r="Q66" s="49">
        <f t="shared" si="41"/>
        <v>47.666666666666671</v>
      </c>
      <c r="R66" s="45">
        <f>Data_nieuwveer!AN66*B$4</f>
        <v>9631</v>
      </c>
      <c r="S66" s="46">
        <f t="shared" si="31"/>
        <v>0</v>
      </c>
      <c r="T66" s="48">
        <f t="shared" si="38"/>
        <v>0</v>
      </c>
      <c r="U66" s="49">
        <f t="shared" si="39"/>
        <v>8285</v>
      </c>
      <c r="W66" s="47"/>
      <c r="X66" s="90"/>
      <c r="Y66" s="90"/>
      <c r="Z66" s="80">
        <f>$B$1/(Data_nieuwveer!E66+Data_nieuwveer!U66)</f>
        <v>1.734215173490886E-2</v>
      </c>
      <c r="AA66" s="42"/>
      <c r="AB66" s="42"/>
      <c r="AC66" s="42"/>
      <c r="AD66" s="42"/>
      <c r="AF66" s="21"/>
      <c r="AT66" s="6"/>
      <c r="AU66"/>
      <c r="AV66"/>
      <c r="AW66"/>
    </row>
    <row r="67" spans="1:49" x14ac:dyDescent="0.3">
      <c r="A67" s="16">
        <f>Data_nieuwveer!A67</f>
        <v>41606</v>
      </c>
      <c r="C67">
        <f>Data_nieuwveer!P67*'Edited data A'!$B$8</f>
        <v>100.13565426170467</v>
      </c>
      <c r="D67">
        <f>Data_nieuwveer!F67/(Data_nieuwveer!E67-Data_nieuwveer!F67)</f>
        <v>2.3264810874496633</v>
      </c>
      <c r="E67" s="86">
        <f>Data_nieuwveer!AF67</f>
        <v>2492</v>
      </c>
      <c r="F67" s="46">
        <f t="shared" si="12"/>
        <v>0</v>
      </c>
      <c r="G67" s="48">
        <f>F67/(MAX(F67:F70)+1)</f>
        <v>0</v>
      </c>
      <c r="H67" s="49">
        <f>E67*(1-G67)+E71*G67</f>
        <v>2492</v>
      </c>
      <c r="I67" s="24">
        <f>E67*(1-Data_nieuwveer!AG67/100)</f>
        <v>1951.2360000000001</v>
      </c>
      <c r="J67" s="46">
        <f t="shared" si="17"/>
        <v>0</v>
      </c>
      <c r="K67" s="48">
        <f>J67/(MAX(J67:J70)+1)</f>
        <v>0</v>
      </c>
      <c r="L67" s="49">
        <f>I67*(1-K67)+I71*K67</f>
        <v>1951.2360000000001</v>
      </c>
      <c r="M67" s="24">
        <f>I67/E67</f>
        <v>0.78300000000000003</v>
      </c>
      <c r="N67" s="45">
        <f>Data_nieuwveer!AV67</f>
        <v>52</v>
      </c>
      <c r="O67" s="46">
        <f t="shared" si="30"/>
        <v>0</v>
      </c>
      <c r="P67" s="48">
        <f t="shared" ref="P67:P78" si="42">O67/(MAX(O$67:O$78)+1)</f>
        <v>0</v>
      </c>
      <c r="Q67" s="49">
        <f>N$67*(1-P67)+N$79*P67</f>
        <v>52</v>
      </c>
      <c r="R67" s="45"/>
      <c r="S67" s="46">
        <f t="shared" si="31"/>
        <v>1</v>
      </c>
      <c r="T67" s="48">
        <f t="shared" si="38"/>
        <v>7.1428571428571425E-2</v>
      </c>
      <c r="U67" s="49">
        <f t="shared" si="39"/>
        <v>8222.7142857142862</v>
      </c>
      <c r="V67">
        <f>(Data_nieuwveer!E67*C67)/(L67*$B$1)</f>
        <v>2.7736794684752035</v>
      </c>
      <c r="W67" s="47">
        <f>($B$1+$B$3)*H67/(Data_nieuwveer!AL67*'Edited data A'!U67+Data_nieuwveer!AQ67*'Edited data A'!Q67)</f>
        <v>2.3952125857504467</v>
      </c>
      <c r="X67" s="90">
        <f>($B$1*H67)/(Data_nieuwveer!AL67*'Edited data A'!U67+Data_nieuwveer!AQ67*'Edited data A'!N67)</f>
        <v>0.55076828395812127</v>
      </c>
      <c r="Y67" s="90">
        <f>X67*$B$2</f>
        <v>0.27538414197906064</v>
      </c>
      <c r="Z67" s="80">
        <f>$B$1/(Data_nieuwveer!E67+Data_nieuwveer!U67)</f>
        <v>1.8240752394554773E-2</v>
      </c>
      <c r="AA67" s="42">
        <f>Data_nieuwveer!E67*Data_nieuwveer!P67/1000</f>
        <v>47291.75</v>
      </c>
      <c r="AB67" s="42">
        <f>Data_nieuwveer!AQ67*Data_nieuwveer!AR67/1000</f>
        <v>19116.105</v>
      </c>
      <c r="AC67" s="42">
        <f>Data_nieuwveer!AQ67*Data_nieuwveer!AR67/1000/B$5</f>
        <v>6898.0335318067036</v>
      </c>
      <c r="AD67" s="42">
        <f>Data_nieuwveer!AL67*Data_nieuwveer!AR67/B$5/1000</f>
        <v>25.872896399687104</v>
      </c>
      <c r="AE67">
        <f>((H67-H66)*($B$1+B$3)+Data_nieuwveer!AQ67*N67+U67*Data_nieuwveer!AL67)/(AA67*1000-(AC67+AD67)*1000)</f>
        <v>0.40637076341095579</v>
      </c>
      <c r="AF67" s="21">
        <f>(AA67-AB67)/AA67</f>
        <v>0.59578351403786078</v>
      </c>
      <c r="AT67" s="6"/>
      <c r="AU67"/>
      <c r="AV67"/>
      <c r="AW67"/>
    </row>
    <row r="68" spans="1:49" x14ac:dyDescent="0.3">
      <c r="A68" s="2">
        <f>Data_nieuwveer!A68</f>
        <v>41607</v>
      </c>
      <c r="D68">
        <f>Data_nieuwveer!F68/(Data_nieuwveer!E68-Data_nieuwveer!F68)</f>
        <v>2.1593435060919561</v>
      </c>
      <c r="F68" s="46">
        <f t="shared" si="12"/>
        <v>1</v>
      </c>
      <c r="G68" s="48">
        <f>F68/(MAX(F67:F70)+1)</f>
        <v>0.25</v>
      </c>
      <c r="H68" s="49">
        <f>E67*(1-G68)+E71*G68</f>
        <v>2501</v>
      </c>
      <c r="J68" s="46">
        <f t="shared" si="17"/>
        <v>1</v>
      </c>
      <c r="K68" s="48">
        <f>J68/(MAX(J67:J70)+1)</f>
        <v>0.25</v>
      </c>
      <c r="L68" s="49">
        <f>I67*(1-K68)+I71*K68</f>
        <v>1954.4910000000002</v>
      </c>
      <c r="N68" s="45"/>
      <c r="O68" s="46">
        <f t="shared" si="30"/>
        <v>1</v>
      </c>
      <c r="P68" s="48">
        <f t="shared" si="42"/>
        <v>8.3333333333333329E-2</v>
      </c>
      <c r="Q68" s="49">
        <f>N$67*(1-P68)+N$79*P68</f>
        <v>51.833333333333329</v>
      </c>
      <c r="R68" s="45"/>
      <c r="S68" s="46">
        <f t="shared" si="31"/>
        <v>2</v>
      </c>
      <c r="T68" s="48">
        <f t="shared" si="38"/>
        <v>0.14285714285714285</v>
      </c>
      <c r="U68" s="49">
        <f t="shared" si="39"/>
        <v>8160.4285714285716</v>
      </c>
      <c r="W68" s="47"/>
      <c r="X68" s="90"/>
      <c r="Y68" s="90"/>
      <c r="Z68" s="80">
        <f>$B$1/(Data_nieuwveer!E68+Data_nieuwveer!U68)</f>
        <v>1.8216538430910655E-2</v>
      </c>
      <c r="AA68" s="42"/>
      <c r="AB68" s="42"/>
      <c r="AC68" s="42"/>
      <c r="AD68" s="42"/>
      <c r="AF68" s="21"/>
      <c r="AT68" s="6"/>
      <c r="AU68"/>
      <c r="AV68"/>
      <c r="AW68"/>
    </row>
    <row r="69" spans="1:49" x14ac:dyDescent="0.3">
      <c r="A69" s="2">
        <f>Data_nieuwveer!A69</f>
        <v>41608</v>
      </c>
      <c r="D69">
        <f>Data_nieuwveer!F69/(Data_nieuwveer!E69-Data_nieuwveer!F69)</f>
        <v>0.97126436781609193</v>
      </c>
      <c r="F69" s="46">
        <f t="shared" si="12"/>
        <v>2</v>
      </c>
      <c r="G69" s="48">
        <f>F69/(MAX(F67:F70)+1)</f>
        <v>0.5</v>
      </c>
      <c r="H69" s="49">
        <f>E67*(1-G69)+E71*G69</f>
        <v>2510</v>
      </c>
      <c r="J69" s="46">
        <f t="shared" si="17"/>
        <v>2</v>
      </c>
      <c r="K69" s="48">
        <f>J69/(MAX(J67:J70)+1)</f>
        <v>0.5</v>
      </c>
      <c r="L69" s="49">
        <f>I67*(1-K69)+I71*K69</f>
        <v>1957.7460000000001</v>
      </c>
      <c r="N69" s="45"/>
      <c r="O69" s="46">
        <f t="shared" si="30"/>
        <v>2</v>
      </c>
      <c r="P69" s="48">
        <f t="shared" si="42"/>
        <v>0.16666666666666666</v>
      </c>
      <c r="Q69" s="49">
        <f>N$67*(1-P69)+N$79*P69</f>
        <v>51.666666666666671</v>
      </c>
      <c r="R69" s="45"/>
      <c r="S69" s="46">
        <f t="shared" si="31"/>
        <v>3</v>
      </c>
      <c r="T69" s="48">
        <f t="shared" si="38"/>
        <v>0.21428571428571427</v>
      </c>
      <c r="U69" s="49">
        <f t="shared" si="39"/>
        <v>8098.1428571428569</v>
      </c>
      <c r="W69" s="47"/>
      <c r="X69" s="90"/>
      <c r="Y69" s="90"/>
      <c r="Z69" s="80">
        <f>$B$1/(Data_nieuwveer!E69+Data_nieuwveer!U69)</f>
        <v>1.6750314546978173E-2</v>
      </c>
      <c r="AA69" s="42"/>
      <c r="AB69" s="42"/>
      <c r="AC69" s="42"/>
      <c r="AD69" s="42"/>
      <c r="AF69" s="21"/>
      <c r="AT69" s="6"/>
      <c r="AU69"/>
      <c r="AV69"/>
      <c r="AW69"/>
    </row>
    <row r="70" spans="1:49" x14ac:dyDescent="0.3">
      <c r="A70" s="2">
        <f>Data_nieuwveer!A70</f>
        <v>41609</v>
      </c>
      <c r="D70">
        <f>Data_nieuwveer!F70/(Data_nieuwveer!E70-Data_nieuwveer!F70)</f>
        <v>1.9311334289813487</v>
      </c>
      <c r="F70" s="46">
        <f t="shared" si="12"/>
        <v>3</v>
      </c>
      <c r="G70" s="48">
        <f>F70/(MAX(F67:F70)+1)</f>
        <v>0.75</v>
      </c>
      <c r="H70" s="49">
        <f>E67*(1-G70)+E71*G70</f>
        <v>2519</v>
      </c>
      <c r="J70" s="46">
        <f t="shared" si="17"/>
        <v>3</v>
      </c>
      <c r="K70" s="48">
        <f>J70/(MAX(J67:J70)+1)</f>
        <v>0.75</v>
      </c>
      <c r="L70" s="49">
        <f>I67*(1-K70)+I71*K70</f>
        <v>1961.001</v>
      </c>
      <c r="N70" s="45"/>
      <c r="O70" s="46">
        <f t="shared" si="30"/>
        <v>3</v>
      </c>
      <c r="P70" s="48">
        <f t="shared" si="42"/>
        <v>0.25</v>
      </c>
      <c r="Q70" s="49">
        <f>N$67*(1-P70)+N$79*P70</f>
        <v>51.5</v>
      </c>
      <c r="R70" s="45"/>
      <c r="S70" s="46">
        <f t="shared" si="31"/>
        <v>4</v>
      </c>
      <c r="T70" s="48">
        <f t="shared" si="38"/>
        <v>0.2857142857142857</v>
      </c>
      <c r="U70" s="49">
        <f t="shared" si="39"/>
        <v>8035.8571428571431</v>
      </c>
      <c r="W70" s="47"/>
      <c r="X70" s="90"/>
      <c r="Y70" s="90"/>
      <c r="Z70" s="80">
        <f>$B$1/(Data_nieuwveer!E70+Data_nieuwveer!U70)</f>
        <v>1.6869884508770652E-2</v>
      </c>
      <c r="AA70" s="42"/>
      <c r="AB70" s="42"/>
      <c r="AC70" s="42"/>
      <c r="AD70" s="42"/>
      <c r="AF70" s="21"/>
      <c r="AT70" s="6"/>
      <c r="AU70"/>
      <c r="AV70"/>
      <c r="AW70"/>
    </row>
    <row r="71" spans="1:49" x14ac:dyDescent="0.3">
      <c r="A71" s="2">
        <f>Data_nieuwveer!A71</f>
        <v>41610</v>
      </c>
      <c r="D71">
        <f>Data_nieuwveer!F71/(Data_nieuwveer!E71-Data_nieuwveer!F71)</f>
        <v>2.6369313113291706</v>
      </c>
      <c r="E71" s="86">
        <f>Data_nieuwveer!AF71</f>
        <v>2528</v>
      </c>
      <c r="F71" s="46">
        <f t="shared" si="12"/>
        <v>0</v>
      </c>
      <c r="G71" s="48">
        <f>F71/(MAX(F71:F73)+1)</f>
        <v>0</v>
      </c>
      <c r="H71" s="49">
        <f>E71*(1-G71)+E74*G71</f>
        <v>2528</v>
      </c>
      <c r="I71" s="24">
        <f>E71*(1-Data_nieuwveer!AG71/100)</f>
        <v>1964.2560000000001</v>
      </c>
      <c r="J71" s="46">
        <f t="shared" si="17"/>
        <v>0</v>
      </c>
      <c r="K71" s="48">
        <f>J71/(MAX(J71:J73)+1)</f>
        <v>0</v>
      </c>
      <c r="L71" s="49">
        <f>I71*(1-K71)+I74*K71</f>
        <v>1964.2560000000001</v>
      </c>
      <c r="M71" s="24">
        <f>I71/E71</f>
        <v>0.77700000000000002</v>
      </c>
      <c r="N71" s="45"/>
      <c r="O71" s="46">
        <f t="shared" si="30"/>
        <v>4</v>
      </c>
      <c r="P71" s="48">
        <f t="shared" si="42"/>
        <v>0.33333333333333331</v>
      </c>
      <c r="Q71" s="49">
        <f t="shared" ref="Q71:Q78" si="43">N$67*(1-P71)+N$79*P71</f>
        <v>51.333333333333336</v>
      </c>
      <c r="R71" s="45"/>
      <c r="S71" s="46">
        <f t="shared" si="31"/>
        <v>5</v>
      </c>
      <c r="T71" s="48">
        <f t="shared" si="38"/>
        <v>0.35714285714285715</v>
      </c>
      <c r="U71" s="49">
        <f t="shared" si="39"/>
        <v>7973.5714285714284</v>
      </c>
      <c r="W71" s="47"/>
      <c r="X71" s="90"/>
      <c r="Y71" s="90"/>
      <c r="Z71" s="80">
        <f>$B$1/(Data_nieuwveer!E71+Data_nieuwveer!U71)</f>
        <v>1.6933764547615689E-2</v>
      </c>
      <c r="AA71" s="42"/>
      <c r="AB71" s="42"/>
      <c r="AC71" s="42"/>
      <c r="AD71" s="42"/>
      <c r="AF71" s="21"/>
      <c r="AT71" s="6"/>
      <c r="AU71"/>
      <c r="AV71"/>
      <c r="AW71"/>
    </row>
    <row r="72" spans="1:49" x14ac:dyDescent="0.3">
      <c r="A72" s="2">
        <f>Data_nieuwveer!A72</f>
        <v>41611</v>
      </c>
      <c r="D72">
        <f>Data_nieuwveer!F72/(Data_nieuwveer!E72-Data_nieuwveer!F72)</f>
        <v>2.7883895131086143</v>
      </c>
      <c r="F72" s="46">
        <f t="shared" si="12"/>
        <v>1</v>
      </c>
      <c r="G72" s="48">
        <f>F72/(MAX(F71:F73)+1)</f>
        <v>0.33333333333333331</v>
      </c>
      <c r="H72" s="49">
        <f>E71*(1-G72)+E74*G72</f>
        <v>2722</v>
      </c>
      <c r="J72" s="46">
        <f t="shared" si="17"/>
        <v>1</v>
      </c>
      <c r="K72" s="48">
        <f>J72/(MAX(J71:J73)+1)</f>
        <v>0.33333333333333331</v>
      </c>
      <c r="L72" s="49">
        <f>I71*(1-K72)+I74*K72</f>
        <v>2110.8473333333336</v>
      </c>
      <c r="N72" s="45"/>
      <c r="O72" s="46">
        <f t="shared" si="30"/>
        <v>5</v>
      </c>
      <c r="P72" s="48">
        <f t="shared" si="42"/>
        <v>0.41666666666666669</v>
      </c>
      <c r="Q72" s="49">
        <f t="shared" si="43"/>
        <v>51.166666666666664</v>
      </c>
      <c r="R72" s="45"/>
      <c r="S72" s="46">
        <f t="shared" si="31"/>
        <v>6</v>
      </c>
      <c r="T72" s="48">
        <f t="shared" si="38"/>
        <v>0.42857142857142855</v>
      </c>
      <c r="U72" s="49">
        <f t="shared" si="39"/>
        <v>7911.2857142857138</v>
      </c>
      <c r="W72" s="47"/>
      <c r="X72" s="90"/>
      <c r="Y72" s="90"/>
      <c r="Z72" s="80">
        <f>$B$1/(Data_nieuwveer!E72+Data_nieuwveer!U72)</f>
        <v>1.7088333501775476E-2</v>
      </c>
      <c r="AA72" s="42"/>
      <c r="AB72" s="42"/>
      <c r="AC72" s="42"/>
      <c r="AD72" s="42"/>
      <c r="AF72" s="21"/>
      <c r="AT72" s="6"/>
      <c r="AU72"/>
      <c r="AV72"/>
      <c r="AW72"/>
    </row>
    <row r="73" spans="1:49" x14ac:dyDescent="0.3">
      <c r="A73" s="16">
        <f>Data_nieuwveer!A73</f>
        <v>41612</v>
      </c>
      <c r="D73">
        <f>Data_nieuwveer!F73/(Data_nieuwveer!E73-Data_nieuwveer!F73)</f>
        <v>2.7595754499307801</v>
      </c>
      <c r="F73" s="46">
        <f t="shared" ref="F73:F136" si="44">IF(E73&gt;0,0,F72+1)</f>
        <v>2</v>
      </c>
      <c r="G73" s="48">
        <f>F73/(MAX(F71:F73)+1)</f>
        <v>0.66666666666666663</v>
      </c>
      <c r="H73" s="49">
        <f>E71*(1-G73)+E74*G73</f>
        <v>2916</v>
      </c>
      <c r="J73" s="46">
        <f t="shared" si="17"/>
        <v>2</v>
      </c>
      <c r="K73" s="48">
        <f>J73/(MAX(J71:J73)+1)</f>
        <v>0.66666666666666663</v>
      </c>
      <c r="L73" s="49">
        <f>I71*(1-K73)+I74*K73</f>
        <v>2257.4386666666669</v>
      </c>
      <c r="N73" s="45"/>
      <c r="O73" s="46">
        <f t="shared" ref="O73:O104" si="45">IF(N73&gt;0,0,O72+1)</f>
        <v>6</v>
      </c>
      <c r="P73" s="48">
        <f t="shared" si="42"/>
        <v>0.5</v>
      </c>
      <c r="Q73" s="49">
        <f t="shared" si="43"/>
        <v>51</v>
      </c>
      <c r="R73" s="45"/>
      <c r="S73" s="46">
        <f t="shared" ref="S73:S104" si="46">IF(R73&gt;0,0,S72+1)</f>
        <v>7</v>
      </c>
      <c r="T73" s="48">
        <f t="shared" si="38"/>
        <v>0.5</v>
      </c>
      <c r="U73" s="49">
        <f t="shared" si="39"/>
        <v>7849</v>
      </c>
      <c r="W73" s="47"/>
      <c r="X73" s="90"/>
      <c r="Y73" s="90"/>
      <c r="Z73" s="80">
        <f>$B$1/(Data_nieuwveer!E73+Data_nieuwveer!U73)</f>
        <v>1.6947215717719427E-2</v>
      </c>
      <c r="AA73" s="42"/>
      <c r="AB73" s="42"/>
      <c r="AC73" s="42"/>
      <c r="AD73" s="42"/>
      <c r="AF73" s="21"/>
      <c r="AT73" s="6"/>
      <c r="AU73"/>
      <c r="AV73"/>
      <c r="AW73"/>
    </row>
    <row r="74" spans="1:49" x14ac:dyDescent="0.3">
      <c r="A74" s="2">
        <f>Data_nieuwveer!A74</f>
        <v>41613</v>
      </c>
      <c r="D74">
        <f>Data_nieuwveer!F74/(Data_nieuwveer!E74-Data_nieuwveer!F74)</f>
        <v>1.8344771901493742</v>
      </c>
      <c r="E74" s="86">
        <f>Data_nieuwveer!AF74</f>
        <v>3110</v>
      </c>
      <c r="F74" s="46">
        <f t="shared" si="44"/>
        <v>0</v>
      </c>
      <c r="G74" s="48">
        <f>F74/(MAX(F74:F77)+1)</f>
        <v>0</v>
      </c>
      <c r="H74" s="49">
        <f>E74*(1-G74)+E78*G74</f>
        <v>3110</v>
      </c>
      <c r="I74" s="24">
        <f>E74*(1-Data_nieuwveer!AG74/100)</f>
        <v>2404.0300000000002</v>
      </c>
      <c r="J74" s="46">
        <f t="shared" si="17"/>
        <v>0</v>
      </c>
      <c r="K74" s="48">
        <f>J74/(MAX(J74:J77)+1)</f>
        <v>0</v>
      </c>
      <c r="L74" s="49">
        <f>I74*(1-K74)+I78*K74</f>
        <v>2404.0300000000002</v>
      </c>
      <c r="M74" s="24">
        <f>I74/E74</f>
        <v>0.77300000000000002</v>
      </c>
      <c r="N74" s="45"/>
      <c r="O74" s="46">
        <f t="shared" si="45"/>
        <v>7</v>
      </c>
      <c r="P74" s="48">
        <f t="shared" si="42"/>
        <v>0.58333333333333337</v>
      </c>
      <c r="Q74" s="49">
        <f t="shared" si="43"/>
        <v>50.833333333333329</v>
      </c>
      <c r="R74" s="45"/>
      <c r="S74" s="46">
        <f t="shared" si="46"/>
        <v>8</v>
      </c>
      <c r="T74" s="48">
        <f t="shared" si="38"/>
        <v>0.5714285714285714</v>
      </c>
      <c r="U74" s="49">
        <f t="shared" si="39"/>
        <v>7786.7142857142862</v>
      </c>
      <c r="W74" s="47"/>
      <c r="X74" s="90"/>
      <c r="Y74" s="90"/>
      <c r="Z74" s="80">
        <f>$B$1/(Data_nieuwveer!E74+Data_nieuwveer!U74)</f>
        <v>1.9558809147934449E-2</v>
      </c>
      <c r="AA74" s="42"/>
      <c r="AB74" s="42"/>
      <c r="AC74" s="42"/>
      <c r="AD74" s="42"/>
      <c r="AF74" s="21"/>
      <c r="AT74" s="6"/>
      <c r="AU74"/>
      <c r="AV74"/>
      <c r="AW74"/>
    </row>
    <row r="75" spans="1:49" x14ac:dyDescent="0.3">
      <c r="A75" s="2">
        <f>Data_nieuwveer!A75</f>
        <v>41614</v>
      </c>
      <c r="D75">
        <f>Data_nieuwveer!F75/(Data_nieuwveer!E75-Data_nieuwveer!F75)</f>
        <v>1.705163043478261</v>
      </c>
      <c r="F75" s="46">
        <f t="shared" si="44"/>
        <v>1</v>
      </c>
      <c r="G75" s="48">
        <f>F75/(MAX(F74:F77)+1)</f>
        <v>0.25</v>
      </c>
      <c r="H75" s="49">
        <f>E74*(1-G75)+E78*G75</f>
        <v>3097.5</v>
      </c>
      <c r="J75" s="46">
        <f t="shared" si="17"/>
        <v>1</v>
      </c>
      <c r="K75" s="48">
        <f>J75/(MAX(J74:J77)+1)</f>
        <v>0.25</v>
      </c>
      <c r="L75" s="49">
        <f>I74*(1-K75)+I78*K75</f>
        <v>2457.8625000000002</v>
      </c>
      <c r="N75" s="45"/>
      <c r="O75" s="46">
        <f t="shared" si="45"/>
        <v>8</v>
      </c>
      <c r="P75" s="48">
        <f t="shared" si="42"/>
        <v>0.66666666666666663</v>
      </c>
      <c r="Q75" s="49">
        <f t="shared" si="43"/>
        <v>50.666666666666664</v>
      </c>
      <c r="R75" s="45"/>
      <c r="S75" s="46">
        <f t="shared" si="46"/>
        <v>9</v>
      </c>
      <c r="T75" s="48">
        <f t="shared" si="38"/>
        <v>0.6428571428571429</v>
      </c>
      <c r="U75" s="49">
        <f t="shared" si="39"/>
        <v>7724.4285714285706</v>
      </c>
      <c r="W75" s="47"/>
      <c r="X75" s="90"/>
      <c r="Y75" s="90"/>
      <c r="Z75" s="80">
        <f>$B$1/(Data_nieuwveer!E75+Data_nieuwveer!U75)</f>
        <v>1.7236543738099089E-2</v>
      </c>
      <c r="AA75" s="42"/>
      <c r="AB75" s="42"/>
      <c r="AC75" s="42"/>
      <c r="AD75" s="42"/>
      <c r="AF75" s="21"/>
      <c r="AT75" s="6"/>
      <c r="AU75"/>
      <c r="AV75"/>
      <c r="AW75"/>
    </row>
    <row r="76" spans="1:49" x14ac:dyDescent="0.3">
      <c r="A76" s="2">
        <f>Data_nieuwveer!A76</f>
        <v>41615</v>
      </c>
      <c r="D76">
        <f>Data_nieuwveer!F76/(Data_nieuwveer!E76-Data_nieuwveer!F76)</f>
        <v>1.8010963194988254</v>
      </c>
      <c r="F76" s="46">
        <f t="shared" si="44"/>
        <v>2</v>
      </c>
      <c r="G76" s="48">
        <f>F76/(MAX(F74:F77)+1)</f>
        <v>0.5</v>
      </c>
      <c r="H76" s="49">
        <f>E74*(1-G76)+E78*G76</f>
        <v>3085</v>
      </c>
      <c r="J76" s="46">
        <f t="shared" si="17"/>
        <v>2</v>
      </c>
      <c r="K76" s="48">
        <f>J76/(MAX(J74:J77)+1)</f>
        <v>0.5</v>
      </c>
      <c r="L76" s="49">
        <f>I74*(1-K76)+I78*K76</f>
        <v>2511.6950000000002</v>
      </c>
      <c r="N76" s="45"/>
      <c r="O76" s="46">
        <f t="shared" si="45"/>
        <v>9</v>
      </c>
      <c r="P76" s="48">
        <f t="shared" si="42"/>
        <v>0.75</v>
      </c>
      <c r="Q76" s="49">
        <f t="shared" si="43"/>
        <v>50.5</v>
      </c>
      <c r="R76" s="45"/>
      <c r="S76" s="46">
        <f t="shared" si="46"/>
        <v>10</v>
      </c>
      <c r="T76" s="48">
        <f t="shared" si="38"/>
        <v>0.7142857142857143</v>
      </c>
      <c r="U76" s="49">
        <f t="shared" si="39"/>
        <v>7662.1428571428569</v>
      </c>
      <c r="W76" s="47"/>
      <c r="X76" s="90"/>
      <c r="Y76" s="90"/>
      <c r="Z76" s="80">
        <f>$B$1/(Data_nieuwveer!E76+Data_nieuwveer!U76)</f>
        <v>1.9176789728692259E-2</v>
      </c>
      <c r="AA76" s="42"/>
      <c r="AB76" s="42"/>
      <c r="AC76" s="42"/>
      <c r="AD76" s="42"/>
      <c r="AF76" s="21"/>
      <c r="AT76" s="6"/>
      <c r="AU76"/>
      <c r="AV76"/>
      <c r="AW76"/>
    </row>
    <row r="77" spans="1:49" x14ac:dyDescent="0.3">
      <c r="A77" s="2">
        <f>Data_nieuwveer!A77</f>
        <v>41616</v>
      </c>
      <c r="D77">
        <f>Data_nieuwveer!F77/(Data_nieuwveer!E77-Data_nieuwveer!F77)</f>
        <v>0.95492662473794554</v>
      </c>
      <c r="F77" s="46">
        <f t="shared" si="44"/>
        <v>3</v>
      </c>
      <c r="G77" s="48">
        <f>F77/(MAX(F74:F77)+1)</f>
        <v>0.75</v>
      </c>
      <c r="H77" s="49">
        <f>E74*(1-G77)+E78*G77</f>
        <v>3072.5</v>
      </c>
      <c r="J77" s="46">
        <f t="shared" si="17"/>
        <v>3</v>
      </c>
      <c r="K77" s="48">
        <f>J77/(MAX(J74:J77)+1)</f>
        <v>0.75</v>
      </c>
      <c r="L77" s="49">
        <f>I74*(1-K77)+I78*K77</f>
        <v>2565.5275000000001</v>
      </c>
      <c r="N77" s="45"/>
      <c r="O77" s="46">
        <f t="shared" si="45"/>
        <v>10</v>
      </c>
      <c r="P77" s="48">
        <f t="shared" si="42"/>
        <v>0.83333333333333337</v>
      </c>
      <c r="Q77" s="49">
        <f t="shared" si="43"/>
        <v>50.333333333333336</v>
      </c>
      <c r="R77" s="45"/>
      <c r="S77" s="46">
        <f t="shared" si="46"/>
        <v>11</v>
      </c>
      <c r="T77" s="48">
        <f t="shared" si="38"/>
        <v>0.7857142857142857</v>
      </c>
      <c r="U77" s="49">
        <f t="shared" si="39"/>
        <v>7599.8571428571431</v>
      </c>
      <c r="W77" s="47"/>
      <c r="X77" s="90"/>
      <c r="Y77" s="90"/>
      <c r="Z77" s="80">
        <f>$B$1/(Data_nieuwveer!E77+Data_nieuwveer!U77)</f>
        <v>1.8447451906175204E-2</v>
      </c>
      <c r="AA77" s="42"/>
      <c r="AB77" s="42"/>
      <c r="AC77" s="42"/>
      <c r="AD77" s="42"/>
      <c r="AF77" s="21"/>
      <c r="AT77" s="6"/>
      <c r="AU77"/>
      <c r="AV77"/>
      <c r="AW77"/>
    </row>
    <row r="78" spans="1:49" x14ac:dyDescent="0.3">
      <c r="A78" s="2">
        <f>Data_nieuwveer!A78</f>
        <v>41617</v>
      </c>
      <c r="D78">
        <f>Data_nieuwveer!F78/(Data_nieuwveer!E78-Data_nieuwveer!F78)</f>
        <v>2.1176470588235294</v>
      </c>
      <c r="E78" s="86">
        <f>Data_nieuwveer!AF78</f>
        <v>3060</v>
      </c>
      <c r="F78" s="46">
        <f t="shared" si="44"/>
        <v>0</v>
      </c>
      <c r="G78" s="48">
        <f>F78/(MAX(F78:F80)+1)</f>
        <v>0</v>
      </c>
      <c r="H78" s="49">
        <f>E78*(1-G78)+E81*G78</f>
        <v>3060</v>
      </c>
      <c r="I78" s="24">
        <f>E78*(1-Data_nieuwveer!AG78/100)</f>
        <v>2619.36</v>
      </c>
      <c r="J78" s="46">
        <f t="shared" si="17"/>
        <v>0</v>
      </c>
      <c r="K78" s="48">
        <f>J78/(MAX(J78:J80)+1)</f>
        <v>0</v>
      </c>
      <c r="L78" s="49">
        <f>I78*(1-K78)+I81*K78</f>
        <v>2619.36</v>
      </c>
      <c r="M78" s="24">
        <f>I78/E78</f>
        <v>0.85600000000000009</v>
      </c>
      <c r="N78" s="45"/>
      <c r="O78" s="46">
        <f t="shared" si="45"/>
        <v>11</v>
      </c>
      <c r="P78" s="48">
        <f t="shared" si="42"/>
        <v>0.91666666666666663</v>
      </c>
      <c r="Q78" s="49">
        <f t="shared" si="43"/>
        <v>50.166666666666664</v>
      </c>
      <c r="R78" s="45"/>
      <c r="S78" s="46">
        <f t="shared" si="46"/>
        <v>12</v>
      </c>
      <c r="T78" s="48">
        <f t="shared" si="38"/>
        <v>0.8571428571428571</v>
      </c>
      <c r="U78" s="49">
        <f t="shared" si="39"/>
        <v>7537.5714285714294</v>
      </c>
      <c r="W78" s="47"/>
      <c r="X78" s="90"/>
      <c r="Y78" s="90"/>
      <c r="Z78" s="80">
        <f>$B$1/(Data_nieuwveer!E78+Data_nieuwveer!U78)</f>
        <v>1.94855047330291E-2</v>
      </c>
      <c r="AA78" s="42"/>
      <c r="AB78" s="42"/>
      <c r="AC78" s="42"/>
      <c r="AD78" s="42"/>
      <c r="AF78" s="21"/>
      <c r="AT78" s="6"/>
      <c r="AU78"/>
      <c r="AV78"/>
      <c r="AW78"/>
    </row>
    <row r="79" spans="1:49" x14ac:dyDescent="0.3">
      <c r="A79" s="2">
        <f>Data_nieuwveer!A79</f>
        <v>41618</v>
      </c>
      <c r="C79">
        <f>Data_nieuwveer!P79*'Edited data A'!$B$8</f>
        <v>60.081392557022809</v>
      </c>
      <c r="D79">
        <f>Data_nieuwveer!F79/(Data_nieuwveer!E79-Data_nieuwveer!F79)</f>
        <v>2.0654044750430294</v>
      </c>
      <c r="F79" s="46">
        <f t="shared" si="44"/>
        <v>1</v>
      </c>
      <c r="G79" s="48">
        <f>F79/(MAX(F78:F80)+1)</f>
        <v>0.33333333333333331</v>
      </c>
      <c r="H79" s="49">
        <f>E78*(1-G79)+E81*G79</f>
        <v>2966</v>
      </c>
      <c r="J79" s="46">
        <f t="shared" si="17"/>
        <v>1</v>
      </c>
      <c r="K79" s="48">
        <f>J79/(MAX(J78:J80)+1)</f>
        <v>0.33333333333333331</v>
      </c>
      <c r="L79" s="49">
        <f>I78*(1-K79)+I81*K79</f>
        <v>2513.8940000000002</v>
      </c>
      <c r="N79" s="45">
        <f>Data_nieuwveer!AV79</f>
        <v>50</v>
      </c>
      <c r="O79" s="46">
        <f t="shared" si="45"/>
        <v>0</v>
      </c>
      <c r="P79" s="48">
        <f t="shared" ref="P79:P84" si="47">O79/(MAX(O$79:O$84)+1)</f>
        <v>0</v>
      </c>
      <c r="Q79" s="49">
        <f t="shared" ref="Q79:Q84" si="48">N$79*(1-P79)+N$85*P79</f>
        <v>50</v>
      </c>
      <c r="R79" s="45"/>
      <c r="S79" s="46">
        <f t="shared" si="46"/>
        <v>13</v>
      </c>
      <c r="T79" s="48">
        <f t="shared" si="38"/>
        <v>0.9285714285714286</v>
      </c>
      <c r="U79" s="49">
        <f t="shared" si="39"/>
        <v>7475.2857142857138</v>
      </c>
      <c r="V79">
        <f>(Data_nieuwveer!E79*C79)/(L79*$B$1)</f>
        <v>1.216154927592215</v>
      </c>
      <c r="W79" s="47">
        <f>($B$1+$B$3)*H79/(Data_nieuwveer!AL79*'Edited data A'!U79+Data_nieuwveer!AQ79*'Edited data A'!Q79)</f>
        <v>2.0661229708253912</v>
      </c>
      <c r="X79" s="90">
        <f>($B$1*H79)/(Data_nieuwveer!AL79*'Edited data A'!U79+Data_nieuwveer!AQ79*'Edited data A'!N79)</f>
        <v>0.47509561775762887</v>
      </c>
      <c r="Y79" s="90">
        <f>X79*$B$2</f>
        <v>0.23754780887881444</v>
      </c>
      <c r="Z79" s="80">
        <f>$B$1/(Data_nieuwveer!E79+Data_nieuwveer!U79)</f>
        <v>1.9244097354239018E-2</v>
      </c>
      <c r="AA79" s="42">
        <f>Data_nieuwveer!E79*Data_nieuwveer!P79/1000</f>
        <v>26715</v>
      </c>
      <c r="AB79" s="42">
        <f>Data_nieuwveer!AQ79*Data_nieuwveer!AR79/1000</f>
        <v>28824.952000000001</v>
      </c>
      <c r="AC79" s="42">
        <f>Data_nieuwveer!AQ79*Data_nieuwveer!AR79/1000/B$5</f>
        <v>10401.464390822226</v>
      </c>
      <c r="AD79" s="42">
        <f>Data_nieuwveer!AL79*Data_nieuwveer!AR79/B$5/1000</f>
        <v>99.190261678465703</v>
      </c>
      <c r="AE79">
        <f>((H79-H78)*($B$1+B$3)+Data_nieuwveer!AQ79*N79+U79*Data_nieuwveer!AL79)/(AA79*1000-(AC79+AD79)*1000)</f>
        <v>1.2593517604022237</v>
      </c>
      <c r="AF79" s="21">
        <f>(AA79-AB79)/AA79</f>
        <v>-7.8980048661800528E-2</v>
      </c>
      <c r="AT79" s="6"/>
      <c r="AU79"/>
      <c r="AV79"/>
      <c r="AW79"/>
    </row>
    <row r="80" spans="1:49" x14ac:dyDescent="0.3">
      <c r="A80" s="2">
        <v>41619</v>
      </c>
      <c r="D80">
        <f>Data_nieuwveer!F80/(Data_nieuwveer!E80-Data_nieuwveer!F80)</f>
        <v>2.1947873799725652</v>
      </c>
      <c r="F80" s="46">
        <f t="shared" si="44"/>
        <v>2</v>
      </c>
      <c r="G80" s="48">
        <f>F80/(MAX(F78:F80)+1)</f>
        <v>0.66666666666666663</v>
      </c>
      <c r="H80" s="49">
        <f>E78*(1-G80)+E81*G80</f>
        <v>2872</v>
      </c>
      <c r="J80" s="46">
        <f t="shared" si="17"/>
        <v>2</v>
      </c>
      <c r="K80" s="48">
        <f>J80/(MAX(J78:J80)+1)</f>
        <v>0.66666666666666663</v>
      </c>
      <c r="L80" s="49">
        <f>I78*(1-K80)+I81*K80</f>
        <v>2408.4279999999999</v>
      </c>
      <c r="N80" s="45"/>
      <c r="O80" s="46">
        <f t="shared" si="45"/>
        <v>1</v>
      </c>
      <c r="P80" s="48">
        <f t="shared" si="47"/>
        <v>0.16666666666666666</v>
      </c>
      <c r="Q80" s="49">
        <f t="shared" si="48"/>
        <v>51.5</v>
      </c>
      <c r="R80" s="45">
        <f>Data_nieuwveer!AN80*B$4</f>
        <v>7413</v>
      </c>
      <c r="S80" s="46">
        <f t="shared" si="46"/>
        <v>0</v>
      </c>
      <c r="T80" s="48">
        <f t="shared" ref="T80:T86" si="49">S80/(MAX(S$80:S$86)+1)</f>
        <v>0</v>
      </c>
      <c r="U80" s="49">
        <f t="shared" ref="U80:U86" si="50">R$80*(1-T80)+R$87*T80</f>
        <v>7413</v>
      </c>
      <c r="W80" s="47"/>
      <c r="X80" s="90"/>
      <c r="Y80" s="90"/>
      <c r="Z80" s="80">
        <f>$B$1/(Data_nieuwveer!E80+Data_nieuwveer!U80)</f>
        <v>1.9618625137960977E-2</v>
      </c>
      <c r="AA80" s="42"/>
      <c r="AB80" s="42"/>
      <c r="AC80" s="42"/>
      <c r="AD80" s="42"/>
      <c r="AF80" s="21"/>
      <c r="AT80" s="6"/>
      <c r="AU80"/>
      <c r="AV80"/>
      <c r="AW80"/>
    </row>
    <row r="81" spans="1:49" x14ac:dyDescent="0.3">
      <c r="A81" s="2">
        <f>Data_nieuwveer!A81</f>
        <v>41620</v>
      </c>
      <c r="D81">
        <f>Data_nieuwveer!F81/(Data_nieuwveer!E81-Data_nieuwveer!F81)</f>
        <v>2.4386857936140673</v>
      </c>
      <c r="E81" s="86">
        <f>Data_nieuwveer!AF81</f>
        <v>2778</v>
      </c>
      <c r="F81" s="46">
        <f t="shared" si="44"/>
        <v>0</v>
      </c>
      <c r="G81" s="48">
        <f>F81/(MAX(F81:F84)+1)</f>
        <v>0</v>
      </c>
      <c r="H81" s="49">
        <f>E81*(1-G81)+E85*G81</f>
        <v>2778</v>
      </c>
      <c r="I81" s="24">
        <f>E81*(1-Data_nieuwveer!AG81/100)</f>
        <v>2302.962</v>
      </c>
      <c r="J81" s="46">
        <f t="shared" si="17"/>
        <v>0</v>
      </c>
      <c r="K81" s="48">
        <f>J81/(MAX(J81:J84)+1)</f>
        <v>0</v>
      </c>
      <c r="L81" s="49">
        <f>I81*(1-K81)+I85*K81</f>
        <v>2302.962</v>
      </c>
      <c r="M81" s="24">
        <f>I81/E81</f>
        <v>0.82899999999999996</v>
      </c>
      <c r="N81" s="45"/>
      <c r="O81" s="46">
        <f t="shared" si="45"/>
        <v>2</v>
      </c>
      <c r="P81" s="48">
        <f t="shared" si="47"/>
        <v>0.33333333333333331</v>
      </c>
      <c r="Q81" s="49">
        <f t="shared" si="48"/>
        <v>53</v>
      </c>
      <c r="R81" s="45"/>
      <c r="S81" s="46">
        <f t="shared" si="46"/>
        <v>1</v>
      </c>
      <c r="T81" s="48">
        <f t="shared" si="49"/>
        <v>0.14285714285714285</v>
      </c>
      <c r="U81" s="49">
        <f t="shared" si="50"/>
        <v>7038.1428571428578</v>
      </c>
      <c r="W81" s="47"/>
      <c r="X81" s="90"/>
      <c r="Y81" s="90"/>
      <c r="Z81" s="80">
        <f>$B$1/(Data_nieuwveer!E81+Data_nieuwveer!U81)</f>
        <v>1.8464697345145817E-2</v>
      </c>
      <c r="AA81" s="42"/>
      <c r="AB81" s="42"/>
      <c r="AC81" s="42"/>
      <c r="AD81" s="42"/>
      <c r="AF81" s="21"/>
      <c r="AT81" s="6"/>
      <c r="AU81"/>
      <c r="AV81"/>
      <c r="AW81"/>
    </row>
    <row r="82" spans="1:49" x14ac:dyDescent="0.3">
      <c r="A82" s="2">
        <f>Data_nieuwveer!A82</f>
        <v>41621</v>
      </c>
      <c r="D82">
        <f>Data_nieuwveer!F82/(Data_nieuwveer!E82-Data_nieuwveer!F82)</f>
        <v>2.2903384011770478</v>
      </c>
      <c r="F82" s="46">
        <f t="shared" si="44"/>
        <v>1</v>
      </c>
      <c r="G82" s="48">
        <f>F82/(MAX(F81:F84)+1)</f>
        <v>0.25</v>
      </c>
      <c r="H82" s="49">
        <f>E81*(1-G82)+E85*G82</f>
        <v>2682.5</v>
      </c>
      <c r="J82" s="46">
        <f t="shared" si="17"/>
        <v>1</v>
      </c>
      <c r="K82" s="48">
        <f>J82/(MAX(J81:J84)+1)</f>
        <v>0.25</v>
      </c>
      <c r="L82" s="49">
        <f>I81*(1-K82)+I85*K82</f>
        <v>2233.3765000000003</v>
      </c>
      <c r="N82" s="45"/>
      <c r="O82" s="46">
        <f t="shared" si="45"/>
        <v>3</v>
      </c>
      <c r="P82" s="48">
        <f t="shared" si="47"/>
        <v>0.5</v>
      </c>
      <c r="Q82" s="49">
        <f t="shared" si="48"/>
        <v>54.5</v>
      </c>
      <c r="R82" s="45"/>
      <c r="S82" s="46">
        <f t="shared" si="46"/>
        <v>2</v>
      </c>
      <c r="T82" s="48">
        <f t="shared" si="49"/>
        <v>0.2857142857142857</v>
      </c>
      <c r="U82" s="49">
        <f t="shared" si="50"/>
        <v>6663.2857142857138</v>
      </c>
      <c r="W82" s="47"/>
      <c r="X82" s="90"/>
      <c r="Y82" s="90"/>
      <c r="Z82" s="80">
        <f>$B$1/(Data_nieuwveer!E82+Data_nieuwveer!U82)</f>
        <v>2.0383578174079833E-2</v>
      </c>
      <c r="AA82" s="42"/>
      <c r="AB82" s="42"/>
      <c r="AC82" s="42"/>
      <c r="AD82" s="42"/>
      <c r="AF82" s="21"/>
      <c r="AT82" s="6"/>
      <c r="AU82"/>
      <c r="AV82"/>
      <c r="AW82"/>
    </row>
    <row r="83" spans="1:49" x14ac:dyDescent="0.3">
      <c r="A83" s="2">
        <f>Data_nieuwveer!A83</f>
        <v>41622</v>
      </c>
      <c r="D83">
        <f>Data_nieuwveer!F83/(Data_nieuwveer!E83-Data_nieuwveer!F83)</f>
        <v>1.706408345752608</v>
      </c>
      <c r="F83" s="46">
        <f t="shared" si="44"/>
        <v>2</v>
      </c>
      <c r="G83" s="48">
        <f>F83/(MAX(F81:F84)+1)</f>
        <v>0.5</v>
      </c>
      <c r="H83" s="49">
        <f>E81*(1-G83)+E85*G83</f>
        <v>2587</v>
      </c>
      <c r="J83" s="46">
        <f t="shared" si="17"/>
        <v>2</v>
      </c>
      <c r="K83" s="48">
        <f>J83/(MAX(J81:J84)+1)</f>
        <v>0.5</v>
      </c>
      <c r="L83" s="49">
        <f>I81*(1-K83)+I85*K83</f>
        <v>2163.7910000000002</v>
      </c>
      <c r="N83" s="45"/>
      <c r="O83" s="46">
        <f t="shared" si="45"/>
        <v>4</v>
      </c>
      <c r="P83" s="48">
        <f t="shared" si="47"/>
        <v>0.66666666666666663</v>
      </c>
      <c r="Q83" s="49">
        <f t="shared" si="48"/>
        <v>56</v>
      </c>
      <c r="R83" s="45"/>
      <c r="S83" s="46">
        <f t="shared" si="46"/>
        <v>3</v>
      </c>
      <c r="T83" s="48">
        <f t="shared" si="49"/>
        <v>0.42857142857142855</v>
      </c>
      <c r="U83" s="49">
        <f t="shared" si="50"/>
        <v>6288.4285714285706</v>
      </c>
      <c r="W83" s="47"/>
      <c r="X83" s="90"/>
      <c r="Y83" s="90"/>
      <c r="Z83" s="80">
        <f>$B$1/(Data_nieuwveer!E83+Data_nieuwveer!U83)</f>
        <v>1.8925691247354461E-2</v>
      </c>
      <c r="AA83" s="42"/>
      <c r="AB83" s="42"/>
      <c r="AC83" s="42"/>
      <c r="AD83" s="42"/>
      <c r="AF83" s="21"/>
      <c r="AT83" s="6"/>
      <c r="AU83"/>
      <c r="AV83"/>
      <c r="AW83"/>
    </row>
    <row r="84" spans="1:49" x14ac:dyDescent="0.3">
      <c r="A84" s="2">
        <f>Data_nieuwveer!A84</f>
        <v>41623</v>
      </c>
      <c r="D84">
        <f>Data_nieuwveer!F84/(Data_nieuwveer!E84-Data_nieuwveer!F84)</f>
        <v>2.0384779820436085</v>
      </c>
      <c r="F84" s="46">
        <f t="shared" si="44"/>
        <v>3</v>
      </c>
      <c r="G84" s="48">
        <f>F84/(MAX(F81:F84)+1)</f>
        <v>0.75</v>
      </c>
      <c r="H84" s="49">
        <f>E81*(1-G84)+E85*G84</f>
        <v>2491.5</v>
      </c>
      <c r="J84" s="46">
        <f t="shared" si="17"/>
        <v>3</v>
      </c>
      <c r="K84" s="48">
        <f>J84/(MAX(J81:J84)+1)</f>
        <v>0.75</v>
      </c>
      <c r="L84" s="49">
        <f>I81*(1-K84)+I85*K84</f>
        <v>2094.2055</v>
      </c>
      <c r="N84" s="45"/>
      <c r="O84" s="46">
        <f t="shared" si="45"/>
        <v>5</v>
      </c>
      <c r="P84" s="48">
        <f t="shared" si="47"/>
        <v>0.83333333333333337</v>
      </c>
      <c r="Q84" s="49">
        <f t="shared" si="48"/>
        <v>57.5</v>
      </c>
      <c r="R84" s="45"/>
      <c r="S84" s="46">
        <f t="shared" si="46"/>
        <v>4</v>
      </c>
      <c r="T84" s="48">
        <f t="shared" si="49"/>
        <v>0.5714285714285714</v>
      </c>
      <c r="U84" s="49">
        <f t="shared" si="50"/>
        <v>5913.5714285714294</v>
      </c>
      <c r="W84" s="47"/>
      <c r="X84" s="90"/>
      <c r="Y84" s="90"/>
      <c r="Z84" s="80">
        <f>$B$1/(Data_nieuwveer!E84+Data_nieuwveer!U84)</f>
        <v>1.9374116401905526E-2</v>
      </c>
      <c r="AA84" s="42"/>
      <c r="AB84" s="42"/>
      <c r="AC84" s="42"/>
      <c r="AD84" s="42"/>
      <c r="AF84" s="21"/>
      <c r="AT84" s="6"/>
      <c r="AU84"/>
      <c r="AV84"/>
      <c r="AW84"/>
    </row>
    <row r="85" spans="1:49" x14ac:dyDescent="0.3">
      <c r="A85" s="2">
        <f>Data_nieuwveer!A85</f>
        <v>41624</v>
      </c>
      <c r="C85">
        <f>Data_nieuwveer!P85*'Edited data A'!$B$8</f>
        <v>72.09767106842736</v>
      </c>
      <c r="D85">
        <f>Data_nieuwveer!F85/(Data_nieuwveer!E85-Data_nieuwveer!F85)</f>
        <v>1.8553459119496856</v>
      </c>
      <c r="E85" s="86">
        <f>Data_nieuwveer!AF85</f>
        <v>2396</v>
      </c>
      <c r="F85" s="46">
        <f t="shared" si="44"/>
        <v>0</v>
      </c>
      <c r="G85" s="48">
        <f>F85/(MAX(F85:F87)+1)</f>
        <v>0</v>
      </c>
      <c r="H85" s="49">
        <f>E85*(1-G85)+E88*G85</f>
        <v>2396</v>
      </c>
      <c r="I85" s="24">
        <f>E85*(1-Data_nieuwveer!AG85/100)</f>
        <v>2024.62</v>
      </c>
      <c r="J85" s="46">
        <f t="shared" si="17"/>
        <v>0</v>
      </c>
      <c r="K85" s="48">
        <f>J85/(MAX(J85:J87)+1)</f>
        <v>0</v>
      </c>
      <c r="L85" s="49">
        <f>I85*(1-K85)+I88*K85</f>
        <v>2024.62</v>
      </c>
      <c r="M85" s="24">
        <f>I85/E85</f>
        <v>0.84499999999999997</v>
      </c>
      <c r="N85" s="45">
        <f>Data_nieuwveer!AV85</f>
        <v>59</v>
      </c>
      <c r="O85" s="46">
        <f t="shared" si="45"/>
        <v>0</v>
      </c>
      <c r="P85" s="48">
        <f>O85/(MAX(O$85:O$86)+1)</f>
        <v>0</v>
      </c>
      <c r="Q85" s="49">
        <f>N$85*(1-P85)+N$87*P85</f>
        <v>59</v>
      </c>
      <c r="R85" s="45"/>
      <c r="S85" s="46">
        <f t="shared" si="46"/>
        <v>5</v>
      </c>
      <c r="T85" s="48">
        <f t="shared" si="49"/>
        <v>0.7142857142857143</v>
      </c>
      <c r="U85" s="49">
        <f t="shared" si="50"/>
        <v>5538.7142857142862</v>
      </c>
      <c r="V85">
        <f>(Data_nieuwveer!E85*C85)/(L85*$B$1)</f>
        <v>1.8476747052394182</v>
      </c>
      <c r="W85" s="47">
        <f>($B$1+$B$3)*H85/(Data_nieuwveer!AL85*'Edited data A'!U85+Data_nieuwveer!AQ85*'Edited data A'!Q85)</f>
        <v>2.2031553364126362</v>
      </c>
      <c r="X85" s="90">
        <f>($B$1*H85)/(Data_nieuwveer!AL85*'Edited data A'!U85+Data_nieuwveer!AQ85*'Edited data A'!N85)</f>
        <v>0.50660558947797296</v>
      </c>
      <c r="Y85" s="90">
        <f>X85*$B$2</f>
        <v>0.25330279473898648</v>
      </c>
      <c r="Z85" s="80">
        <f>$B$1/(Data_nieuwveer!E85+Data_nieuwveer!U85)</f>
        <v>1.9014928892315198E-2</v>
      </c>
      <c r="AA85" s="42">
        <f>Data_nieuwveer!E85*Data_nieuwveer!P85/1000</f>
        <v>32688</v>
      </c>
      <c r="AB85" s="42">
        <f>Data_nieuwveer!AQ85*Data_nieuwveer!AR85/1000</f>
        <v>23793.496999999999</v>
      </c>
      <c r="AC85" s="42">
        <f>Data_nieuwveer!AQ85*Data_nieuwveer!AR85/1000/B$5</f>
        <v>8585.8672645364841</v>
      </c>
      <c r="AD85" s="42">
        <f>Data_nieuwveer!AL85*Data_nieuwveer!AR85/B$5/1000</f>
        <v>48.739917945686713</v>
      </c>
      <c r="AE85">
        <f>((H85-H84)*($B$1+B$3)+Data_nieuwveer!AQ85*N85+U85*Data_nieuwveer!AL85)/(AA85*1000-(AC85+AD85)*1000)</f>
        <v>0.62775783264389162</v>
      </c>
      <c r="AF85" s="21">
        <f>(AA85-AB85)/AA85</f>
        <v>0.27210300416054822</v>
      </c>
      <c r="AT85" s="6"/>
      <c r="AU85"/>
      <c r="AV85"/>
      <c r="AW85"/>
    </row>
    <row r="86" spans="1:49" x14ac:dyDescent="0.3">
      <c r="A86" s="2">
        <f>Data_nieuwveer!A86</f>
        <v>41625</v>
      </c>
      <c r="D86">
        <f>Data_nieuwveer!F86/(Data_nieuwveer!E86-Data_nieuwveer!F86)</f>
        <v>2.3633677991137372</v>
      </c>
      <c r="F86" s="46">
        <f t="shared" si="44"/>
        <v>1</v>
      </c>
      <c r="G86" s="48">
        <f>F86/(MAX(F85:F87)+1)</f>
        <v>0.33333333333333331</v>
      </c>
      <c r="H86" s="49">
        <f>E85*(1-G86)+E88*G86</f>
        <v>2496.666666666667</v>
      </c>
      <c r="J86" s="46">
        <f t="shared" si="17"/>
        <v>1</v>
      </c>
      <c r="K86" s="48">
        <f>J86/(MAX(J85:J87)+1)</f>
        <v>0.33333333333333331</v>
      </c>
      <c r="L86" s="49">
        <f>I85*(1-K86)+I88*K86</f>
        <v>2117.7773333333334</v>
      </c>
      <c r="N86" s="45"/>
      <c r="O86" s="46">
        <f t="shared" si="45"/>
        <v>1</v>
      </c>
      <c r="P86" s="48">
        <f>O86/(MAX(O$85:O$86)+1)</f>
        <v>0.5</v>
      </c>
      <c r="Q86" s="49">
        <f>N$85*(1-P86)+N$87*P86</f>
        <v>57.5</v>
      </c>
      <c r="R86" s="45"/>
      <c r="S86" s="46">
        <f t="shared" si="46"/>
        <v>6</v>
      </c>
      <c r="T86" s="48">
        <f t="shared" si="49"/>
        <v>0.8571428571428571</v>
      </c>
      <c r="U86" s="49">
        <f t="shared" si="50"/>
        <v>5163.8571428571431</v>
      </c>
      <c r="W86" s="47"/>
      <c r="X86" s="90"/>
      <c r="Y86" s="90"/>
      <c r="Z86" s="80">
        <f>$B$1/(Data_nieuwveer!E86+Data_nieuwveer!U86)</f>
        <v>2.0261835010193151E-2</v>
      </c>
      <c r="AA86" s="42"/>
      <c r="AB86" s="42"/>
      <c r="AC86" s="42"/>
      <c r="AD86" s="42"/>
      <c r="AF86" s="21"/>
      <c r="AT86" s="6"/>
      <c r="AU86"/>
      <c r="AV86"/>
      <c r="AW86"/>
    </row>
    <row r="87" spans="1:49" x14ac:dyDescent="0.3">
      <c r="A87" s="16">
        <f>Data_nieuwveer!A87</f>
        <v>41626</v>
      </c>
      <c r="B87">
        <f>Data_nieuwveer!Q87/Data_nieuwveer!P87</f>
        <v>0.41764705882352943</v>
      </c>
      <c r="C87">
        <f>Data_nieuwveer!P87*'Edited data A'!$B$8</f>
        <v>68.092244897959176</v>
      </c>
      <c r="D87">
        <f>Data_nieuwveer!F87/(Data_nieuwveer!E87-Data_nieuwveer!F87)</f>
        <v>2.4514811031664965</v>
      </c>
      <c r="F87" s="46">
        <f t="shared" si="44"/>
        <v>2</v>
      </c>
      <c r="G87" s="48">
        <f>F87/(MAX(F85:F87)+1)</f>
        <v>0.66666666666666663</v>
      </c>
      <c r="H87" s="49">
        <f>E85*(1-G87)+E88*G87</f>
        <v>2597.333333333333</v>
      </c>
      <c r="J87" s="46">
        <f t="shared" si="17"/>
        <v>2</v>
      </c>
      <c r="K87" s="48">
        <f>J87/(MAX(J85:J87)+1)</f>
        <v>0.66666666666666663</v>
      </c>
      <c r="L87" s="49">
        <f>I85*(1-K87)+I88*K87</f>
        <v>2210.9346666666665</v>
      </c>
      <c r="N87" s="45">
        <f>Data_nieuwveer!AV87</f>
        <v>56</v>
      </c>
      <c r="O87" s="46">
        <f t="shared" si="45"/>
        <v>0</v>
      </c>
      <c r="P87" s="48">
        <f>O87/(MAX(O$87:O$90)+1)</f>
        <v>0</v>
      </c>
      <c r="Q87" s="49">
        <f>N$87*(1-P87)+N$91*P87</f>
        <v>56</v>
      </c>
      <c r="R87" s="45">
        <f>Data_nieuwveer!AN87*B$4</f>
        <v>4789</v>
      </c>
      <c r="S87" s="46">
        <f t="shared" si="46"/>
        <v>0</v>
      </c>
      <c r="T87" s="48">
        <f t="shared" ref="T87:T107" si="51">S87/(MAX(S$87:S$107)+1)</f>
        <v>0</v>
      </c>
      <c r="U87" s="49">
        <f t="shared" ref="U87:U107" si="52">R$87*(1-T87)+R$108*T87</f>
        <v>4789</v>
      </c>
      <c r="V87">
        <f>(Data_nieuwveer!E87*C87)/(L87*$B$1)</f>
        <v>1.4866608160862547</v>
      </c>
      <c r="W87" s="47">
        <f>($B$1+$B$3)*H87/(Data_nieuwveer!AL87*'Edited data A'!U87+Data_nieuwveer!AQ87*'Edited data A'!Q87)</f>
        <v>3.9543716367362425</v>
      </c>
      <c r="X87" s="90">
        <f>($B$1*H87)/(Data_nieuwveer!AL87*'Edited data A'!U87+Data_nieuwveer!AQ87*'Edited data A'!N87)</f>
        <v>0.90928984485755526</v>
      </c>
      <c r="Y87" s="90">
        <f>X87*$B$2</f>
        <v>0.45464492242877763</v>
      </c>
      <c r="Z87" s="80">
        <f>$B$1/(Data_nieuwveer!E87+Data_nieuwveer!U87)</f>
        <v>2.0512483897700141E-2</v>
      </c>
      <c r="AA87" s="42">
        <f>Data_nieuwveer!E87*Data_nieuwveer!P87/1000</f>
        <v>28721.5</v>
      </c>
      <c r="AB87" s="42">
        <f>Data_nieuwveer!AQ87*Data_nieuwveer!AR87/1000</f>
        <v>20464.119719999999</v>
      </c>
      <c r="AC87" s="42">
        <f>Data_nieuwveer!AQ87*Data_nieuwveer!AR87/1000/B$5</f>
        <v>7384.4637297957297</v>
      </c>
      <c r="AD87" s="42">
        <f>Data_nieuwveer!AL87*Data_nieuwveer!AR87/B$5/1000</f>
        <v>4.0473870352842738</v>
      </c>
      <c r="AE87">
        <f>((H87-H86)*($B$1+B$3)+Data_nieuwveer!AQ87*N87+U87*Data_nieuwveer!AL87)/(AA87*1000-(AC87+AD87)*1000)</f>
        <v>0.54046776911930716</v>
      </c>
      <c r="AF87" s="21">
        <f>(AA87-AB87)/AA87</f>
        <v>0.28749822537123759</v>
      </c>
      <c r="AT87" s="6"/>
      <c r="AU87"/>
      <c r="AV87"/>
      <c r="AW87"/>
    </row>
    <row r="88" spans="1:49" x14ac:dyDescent="0.3">
      <c r="A88" s="2">
        <f>Data_nieuwveer!A88</f>
        <v>41627</v>
      </c>
      <c r="D88">
        <f>Data_nieuwveer!F88/(Data_nieuwveer!E88-Data_nieuwveer!F88)</f>
        <v>1.1664753157290471</v>
      </c>
      <c r="E88" s="86">
        <f>Data_nieuwveer!AF88</f>
        <v>2698</v>
      </c>
      <c r="F88" s="46">
        <f t="shared" si="44"/>
        <v>0</v>
      </c>
      <c r="G88" s="48">
        <f>F88/(MAX(F88:F91)+1)</f>
        <v>0</v>
      </c>
      <c r="H88" s="49">
        <f>E88*(1-G88)+E92*G88</f>
        <v>2698</v>
      </c>
      <c r="I88" s="24">
        <f>E88*(1-Data_nieuwveer!AG88/100)</f>
        <v>2304.0920000000001</v>
      </c>
      <c r="J88" s="46">
        <f t="shared" ref="J88:J151" si="53">IF(I88&gt;0,0,J87+1)</f>
        <v>0</v>
      </c>
      <c r="K88" s="48">
        <f>J88/(MAX(J88:J91)+1)</f>
        <v>0</v>
      </c>
      <c r="L88" s="49">
        <f>I88*(1-K88)+I92*K88</f>
        <v>2304.0920000000001</v>
      </c>
      <c r="M88" s="24">
        <f>I88/E88</f>
        <v>0.85399999999999998</v>
      </c>
      <c r="N88" s="45"/>
      <c r="O88" s="46">
        <f t="shared" si="45"/>
        <v>1</v>
      </c>
      <c r="P88" s="48">
        <f>O88/(MAX(O$87:O$90)+1)</f>
        <v>0.25</v>
      </c>
      <c r="Q88" s="49">
        <f>N$87*(1-P88)+N$91*P88</f>
        <v>58.25</v>
      </c>
      <c r="R88" s="45"/>
      <c r="S88" s="46">
        <f t="shared" si="46"/>
        <v>1</v>
      </c>
      <c r="T88" s="48">
        <f t="shared" si="51"/>
        <v>4.7619047619047616E-2</v>
      </c>
      <c r="U88" s="49">
        <f t="shared" si="52"/>
        <v>4997.3809523809523</v>
      </c>
      <c r="W88" s="47"/>
      <c r="X88" s="90"/>
      <c r="Y88" s="90"/>
      <c r="Z88" s="80">
        <f>$B$1/(Data_nieuwveer!E88+Data_nieuwveer!U88)</f>
        <v>1.8225151437990486E-2</v>
      </c>
      <c r="AA88" s="42"/>
      <c r="AB88" s="42"/>
      <c r="AC88" s="42"/>
      <c r="AD88" s="42"/>
      <c r="AF88" s="21"/>
      <c r="AT88" s="6"/>
      <c r="AU88"/>
      <c r="AV88"/>
      <c r="AW88"/>
    </row>
    <row r="89" spans="1:49" x14ac:dyDescent="0.3">
      <c r="A89" s="2">
        <f>Data_nieuwveer!A89</f>
        <v>41628</v>
      </c>
      <c r="D89">
        <f>Data_nieuwveer!F89/(Data_nieuwveer!E89-Data_nieuwveer!F89)</f>
        <v>0.78116826503923276</v>
      </c>
      <c r="F89" s="46">
        <f t="shared" si="44"/>
        <v>1</v>
      </c>
      <c r="G89" s="48">
        <f>F89/(MAX(F88:F91)+1)</f>
        <v>0.25</v>
      </c>
      <c r="H89" s="49">
        <f>E88*(1-G89)+E92*G89</f>
        <v>2693</v>
      </c>
      <c r="J89" s="46">
        <f t="shared" si="53"/>
        <v>1</v>
      </c>
      <c r="K89" s="48">
        <f>J89/(MAX(J88:J91)+1)</f>
        <v>0.25</v>
      </c>
      <c r="L89" s="49">
        <f>I88*(1-K89)+I92*K89</f>
        <v>2303.8389999999999</v>
      </c>
      <c r="N89" s="45"/>
      <c r="O89" s="46">
        <f t="shared" si="45"/>
        <v>2</v>
      </c>
      <c r="P89" s="48">
        <f>O89/(MAX(O$87:O$90)+1)</f>
        <v>0.5</v>
      </c>
      <c r="Q89" s="49">
        <f>N$87*(1-P89)+N$91*P89</f>
        <v>60.5</v>
      </c>
      <c r="R89" s="45"/>
      <c r="S89" s="46">
        <f t="shared" si="46"/>
        <v>2</v>
      </c>
      <c r="T89" s="48">
        <f t="shared" si="51"/>
        <v>9.5238095238095233E-2</v>
      </c>
      <c r="U89" s="49">
        <f t="shared" si="52"/>
        <v>5205.7619047619055</v>
      </c>
      <c r="W89" s="47"/>
      <c r="X89" s="90"/>
      <c r="Y89" s="90"/>
      <c r="Z89" s="80">
        <f>$B$1/(Data_nieuwveer!E89+Data_nieuwveer!U89)</f>
        <v>1.6826914987060102E-2</v>
      </c>
      <c r="AA89" s="42"/>
      <c r="AB89" s="42"/>
      <c r="AC89" s="42"/>
      <c r="AD89" s="42"/>
      <c r="AF89" s="21"/>
      <c r="AT89" s="6"/>
      <c r="AU89"/>
      <c r="AV89"/>
      <c r="AW89"/>
    </row>
    <row r="90" spans="1:49" x14ac:dyDescent="0.3">
      <c r="A90" s="2">
        <f>Data_nieuwveer!A90</f>
        <v>41629</v>
      </c>
      <c r="D90">
        <f>Data_nieuwveer!F90/(Data_nieuwveer!E90-Data_nieuwveer!F90)</f>
        <v>2.2684310018903591</v>
      </c>
      <c r="F90" s="46">
        <f t="shared" si="44"/>
        <v>2</v>
      </c>
      <c r="G90" s="48">
        <f>F90/(MAX(F88:F91)+1)</f>
        <v>0.5</v>
      </c>
      <c r="H90" s="49">
        <f>E88*(1-G90)+E92*G90</f>
        <v>2688</v>
      </c>
      <c r="J90" s="46">
        <f t="shared" si="53"/>
        <v>2</v>
      </c>
      <c r="K90" s="48">
        <f>J90/(MAX(J88:J91)+1)</f>
        <v>0.5</v>
      </c>
      <c r="L90" s="49">
        <f>I88*(1-K90)+I92*K90</f>
        <v>2303.5860000000002</v>
      </c>
      <c r="N90" s="45"/>
      <c r="O90" s="46">
        <f t="shared" si="45"/>
        <v>3</v>
      </c>
      <c r="P90" s="48">
        <f>O90/(MAX(O$87:O$90)+1)</f>
        <v>0.75</v>
      </c>
      <c r="Q90" s="49">
        <f>N$87*(1-P90)+N$91*P90</f>
        <v>62.75</v>
      </c>
      <c r="R90" s="45"/>
      <c r="S90" s="46">
        <f t="shared" si="46"/>
        <v>3</v>
      </c>
      <c r="T90" s="48">
        <f t="shared" si="51"/>
        <v>0.14285714285714285</v>
      </c>
      <c r="U90" s="49">
        <f t="shared" si="52"/>
        <v>5414.1428571428569</v>
      </c>
      <c r="W90" s="47"/>
      <c r="X90" s="90"/>
      <c r="Y90" s="90"/>
      <c r="Z90" s="80">
        <f>$B$1/(Data_nieuwveer!E90+Data_nieuwveer!U90)</f>
        <v>1.980000299828617E-2</v>
      </c>
      <c r="AA90" s="42"/>
      <c r="AB90" s="42"/>
      <c r="AC90" s="42"/>
      <c r="AD90" s="42"/>
      <c r="AF90" s="21"/>
      <c r="AT90" s="6"/>
      <c r="AU90"/>
      <c r="AV90"/>
      <c r="AW90"/>
    </row>
    <row r="91" spans="1:49" x14ac:dyDescent="0.3">
      <c r="A91" s="2">
        <f>Data_nieuwveer!A91</f>
        <v>41630</v>
      </c>
      <c r="C91">
        <f>Data_nieuwveer!P91*'Edited data A'!$B$8</f>
        <v>80.108523409363741</v>
      </c>
      <c r="D91">
        <f>Data_nieuwveer!F91/(Data_nieuwveer!E91-Data_nieuwveer!F91)</f>
        <v>1.7564008778346745</v>
      </c>
      <c r="F91" s="46">
        <f t="shared" si="44"/>
        <v>3</v>
      </c>
      <c r="G91" s="48">
        <f>F91/(MAX(F88:F91)+1)</f>
        <v>0.75</v>
      </c>
      <c r="H91" s="49">
        <f>E88*(1-G91)+E92*G91</f>
        <v>2683</v>
      </c>
      <c r="J91" s="46">
        <f t="shared" si="53"/>
        <v>3</v>
      </c>
      <c r="K91" s="48">
        <f>J91/(MAX(J88:J91)+1)</f>
        <v>0.75</v>
      </c>
      <c r="L91" s="49">
        <f>I88*(1-K91)+I92*K91</f>
        <v>2303.3330000000001</v>
      </c>
      <c r="N91" s="45">
        <f>Data_nieuwveer!AV91</f>
        <v>65</v>
      </c>
      <c r="O91" s="46">
        <f t="shared" si="45"/>
        <v>0</v>
      </c>
      <c r="P91" s="48">
        <f t="shared" ref="P91:P96" si="54">O91/(MAX(O$91:O$96)+1)</f>
        <v>0</v>
      </c>
      <c r="Q91" s="49">
        <f t="shared" ref="Q91:Q96" si="55">N$91*(1-P91)+N$97*P91</f>
        <v>65</v>
      </c>
      <c r="R91" s="45"/>
      <c r="S91" s="46">
        <f t="shared" si="46"/>
        <v>4</v>
      </c>
      <c r="T91" s="48">
        <f t="shared" si="51"/>
        <v>0.19047619047619047</v>
      </c>
      <c r="U91" s="49">
        <f t="shared" si="52"/>
        <v>5622.5238095238092</v>
      </c>
      <c r="V91">
        <f>(Data_nieuwveer!E91*C91)/(L91*$B$1)</f>
        <v>1.8721250354934882</v>
      </c>
      <c r="W91" s="47">
        <f>($B$1+$B$3)*H91/(Data_nieuwveer!AL91*'Edited data A'!U91+Data_nieuwveer!AQ91*'Edited data A'!Q91)</f>
        <v>1.8630716241167038</v>
      </c>
      <c r="X91" s="90">
        <f>($B$1*H91)/(Data_nieuwveer!AL91*'Edited data A'!U91+Data_nieuwveer!AQ91*'Edited data A'!N91)</f>
        <v>0.42840488038949237</v>
      </c>
      <c r="Y91" s="90">
        <f>X91*$B$2</f>
        <v>0.21420244019474619</v>
      </c>
      <c r="Z91" s="80">
        <f>$B$1/(Data_nieuwveer!E91+Data_nieuwveer!U91)</f>
        <v>1.8224771838874273E-2</v>
      </c>
      <c r="AA91" s="42">
        <f>Data_nieuwveer!E91*Data_nieuwveer!P91/1000</f>
        <v>37680</v>
      </c>
      <c r="AB91" s="42">
        <f>Data_nieuwveer!AQ91*Data_nieuwveer!AR91/1000</f>
        <v>26648.761999999999</v>
      </c>
      <c r="AC91" s="42">
        <f>Data_nieuwveer!AQ91*Data_nieuwveer!AR91/1000/B$5</f>
        <v>9616.1877044061148</v>
      </c>
      <c r="AD91" s="42">
        <f>Data_nieuwveer!AL91*Data_nieuwveer!AR91/B$5/1000</f>
        <v>85.78110086657766</v>
      </c>
      <c r="AE91">
        <f>((H91-H90)*($B$1+B$3)+Data_nieuwveer!AQ91*N91+U91*Data_nieuwveer!AL91)/(AA91*1000-(AC91+AD91)*1000)</f>
        <v>0.78074042367527374</v>
      </c>
      <c r="AF91" s="21">
        <f>(AA91-AB91)/AA91</f>
        <v>0.29276109341825907</v>
      </c>
      <c r="AT91" s="6"/>
      <c r="AU91"/>
      <c r="AV91"/>
      <c r="AW91"/>
    </row>
    <row r="92" spans="1:49" x14ac:dyDescent="0.3">
      <c r="A92" s="2">
        <f>Data_nieuwveer!A92</f>
        <v>41631</v>
      </c>
      <c r="D92">
        <f>Data_nieuwveer!F92/(Data_nieuwveer!E92-Data_nieuwveer!F92)</f>
        <v>1.8905080740448996</v>
      </c>
      <c r="E92" s="86">
        <f>Data_nieuwveer!AF92</f>
        <v>2678</v>
      </c>
      <c r="F92" s="46">
        <f t="shared" si="44"/>
        <v>0</v>
      </c>
      <c r="G92" s="48">
        <f>F92/(MAX(F92:F94)+1)</f>
        <v>0</v>
      </c>
      <c r="H92" s="49">
        <f>E92*(1-G92)+E95*G92</f>
        <v>2678</v>
      </c>
      <c r="I92" s="24">
        <f>E92*(1-Data_nieuwveer!AG92/100)</f>
        <v>2303.08</v>
      </c>
      <c r="J92" s="46">
        <f t="shared" si="53"/>
        <v>0</v>
      </c>
      <c r="K92" s="48">
        <f>J92/(MAX(J92:J94)+1)</f>
        <v>0</v>
      </c>
      <c r="L92" s="49">
        <f>I92*(1-K92)+I95*K92</f>
        <v>2303.08</v>
      </c>
      <c r="M92" s="24">
        <f>I92/E92</f>
        <v>0.86</v>
      </c>
      <c r="N92" s="45"/>
      <c r="O92" s="46">
        <f t="shared" si="45"/>
        <v>1</v>
      </c>
      <c r="P92" s="48">
        <f t="shared" si="54"/>
        <v>0.16666666666666666</v>
      </c>
      <c r="Q92" s="49">
        <f t="shared" si="55"/>
        <v>69.166666666666671</v>
      </c>
      <c r="R92" s="45"/>
      <c r="S92" s="46">
        <f t="shared" si="46"/>
        <v>5</v>
      </c>
      <c r="T92" s="48">
        <f t="shared" si="51"/>
        <v>0.23809523809523808</v>
      </c>
      <c r="U92" s="49">
        <f t="shared" si="52"/>
        <v>5830.9047619047615</v>
      </c>
      <c r="W92" s="47"/>
      <c r="X92" s="90"/>
      <c r="Y92" s="90"/>
      <c r="Z92" s="80">
        <f>$B$1/(Data_nieuwveer!E92+Data_nieuwveer!U92)</f>
        <v>1.8696006933547712E-2</v>
      </c>
      <c r="AA92" s="42"/>
      <c r="AB92" s="42"/>
      <c r="AC92" s="42"/>
      <c r="AD92" s="42"/>
      <c r="AF92" s="21"/>
      <c r="AT92" s="6"/>
      <c r="AU92"/>
      <c r="AV92"/>
      <c r="AW92"/>
    </row>
    <row r="93" spans="1:49" x14ac:dyDescent="0.3">
      <c r="A93" s="2">
        <f>Data_nieuwveer!A93</f>
        <v>41632</v>
      </c>
      <c r="D93">
        <f>Data_nieuwveer!F93/(Data_nieuwveer!E93-Data_nieuwveer!F93)</f>
        <v>2.171867933061963</v>
      </c>
      <c r="F93" s="46">
        <f t="shared" si="44"/>
        <v>1</v>
      </c>
      <c r="G93" s="48">
        <f>F93/(MAX(F92:F94)+1)</f>
        <v>0.33333333333333331</v>
      </c>
      <c r="H93" s="49">
        <f>E92*(1-G93)+E95*G93</f>
        <v>2834</v>
      </c>
      <c r="J93" s="46">
        <f t="shared" si="53"/>
        <v>1</v>
      </c>
      <c r="K93" s="48">
        <f>J93/(MAX(J92:J94)+1)</f>
        <v>0.33333333333333331</v>
      </c>
      <c r="L93" s="49">
        <f>I92*(1-K93)+I95*K93</f>
        <v>2428.8506666666667</v>
      </c>
      <c r="N93" s="45"/>
      <c r="O93" s="46">
        <f t="shared" si="45"/>
        <v>2</v>
      </c>
      <c r="P93" s="48">
        <f t="shared" si="54"/>
        <v>0.33333333333333331</v>
      </c>
      <c r="Q93" s="49">
        <f t="shared" si="55"/>
        <v>73.333333333333343</v>
      </c>
      <c r="R93" s="45"/>
      <c r="S93" s="46">
        <f t="shared" si="46"/>
        <v>6</v>
      </c>
      <c r="T93" s="48">
        <f t="shared" si="51"/>
        <v>0.2857142857142857</v>
      </c>
      <c r="U93" s="49">
        <f t="shared" si="52"/>
        <v>6039.2857142857138</v>
      </c>
      <c r="W93" s="47"/>
      <c r="X93" s="90"/>
      <c r="Y93" s="90"/>
      <c r="Z93" s="80">
        <f>$B$1/(Data_nieuwveer!E93+Data_nieuwveer!U93)</f>
        <v>1.9531647826532179E-2</v>
      </c>
      <c r="AA93" s="42"/>
      <c r="AB93" s="42"/>
      <c r="AC93" s="42"/>
      <c r="AD93" s="42"/>
      <c r="AF93" s="21"/>
      <c r="AT93" s="6"/>
      <c r="AU93"/>
      <c r="AV93"/>
      <c r="AW93"/>
    </row>
    <row r="94" spans="1:49" x14ac:dyDescent="0.3">
      <c r="A94" s="2">
        <f>Data_nieuwveer!A94</f>
        <v>41633</v>
      </c>
      <c r="D94">
        <f>Data_nieuwveer!F94/(Data_nieuwveer!E94-Data_nieuwveer!F94)</f>
        <v>0.26484751203852325</v>
      </c>
      <c r="F94" s="46">
        <f t="shared" si="44"/>
        <v>2</v>
      </c>
      <c r="G94" s="48">
        <f>F94/(MAX(F92:F94)+1)</f>
        <v>0.66666666666666663</v>
      </c>
      <c r="H94" s="49">
        <f>E92*(1-G94)+E95*G94</f>
        <v>2990</v>
      </c>
      <c r="J94" s="46">
        <f t="shared" si="53"/>
        <v>2</v>
      </c>
      <c r="K94" s="48">
        <f>J94/(MAX(J92:J94)+1)</f>
        <v>0.66666666666666663</v>
      </c>
      <c r="L94" s="49">
        <f>I92*(1-K94)+I95*K94</f>
        <v>2554.6213333333335</v>
      </c>
      <c r="N94" s="45"/>
      <c r="O94" s="46">
        <f t="shared" si="45"/>
        <v>3</v>
      </c>
      <c r="P94" s="48">
        <f t="shared" si="54"/>
        <v>0.5</v>
      </c>
      <c r="Q94" s="49">
        <f t="shared" si="55"/>
        <v>77.5</v>
      </c>
      <c r="R94" s="45"/>
      <c r="S94" s="46">
        <f t="shared" si="46"/>
        <v>7</v>
      </c>
      <c r="T94" s="48">
        <f t="shared" si="51"/>
        <v>0.33333333333333331</v>
      </c>
      <c r="U94" s="49">
        <f t="shared" si="52"/>
        <v>6247.666666666667</v>
      </c>
      <c r="W94" s="47"/>
      <c r="X94" s="90"/>
      <c r="Y94" s="90"/>
      <c r="Z94" s="80">
        <f>$B$1/(Data_nieuwveer!E94+Data_nieuwveer!U94)</f>
        <v>1.4598780668127797E-2</v>
      </c>
      <c r="AA94" s="42"/>
      <c r="AB94" s="42"/>
      <c r="AC94" s="42"/>
      <c r="AD94" s="42"/>
      <c r="AF94" s="21"/>
      <c r="AT94" s="6"/>
      <c r="AU94"/>
      <c r="AV94"/>
      <c r="AW94"/>
    </row>
    <row r="95" spans="1:49" x14ac:dyDescent="0.3">
      <c r="A95" s="2">
        <f>Data_nieuwveer!A95</f>
        <v>41634</v>
      </c>
      <c r="D95">
        <f>Data_nieuwveer!F95/(Data_nieuwveer!E95-Data_nieuwveer!F95)</f>
        <v>1.1597765363128492</v>
      </c>
      <c r="E95" s="86">
        <f>Data_nieuwveer!AF95</f>
        <v>3146</v>
      </c>
      <c r="F95" s="46">
        <f t="shared" si="44"/>
        <v>0</v>
      </c>
      <c r="G95" s="48">
        <f>F95/(MAX(F95:F98)+1)</f>
        <v>0</v>
      </c>
      <c r="H95" s="49">
        <f>E95*(1-G95)+E99*G95</f>
        <v>3146</v>
      </c>
      <c r="I95" s="24">
        <f>E95*(1-Data_nieuwveer!AG95/100)</f>
        <v>2680.3919999999998</v>
      </c>
      <c r="J95" s="46">
        <f t="shared" si="53"/>
        <v>0</v>
      </c>
      <c r="K95" s="48">
        <f>J95/(MAX(J95:J98)+1)</f>
        <v>0</v>
      </c>
      <c r="L95" s="49">
        <f>I95*(1-K95)+I99*K95</f>
        <v>2680.3919999999998</v>
      </c>
      <c r="M95" s="24">
        <f>I95/E95</f>
        <v>0.85199999999999998</v>
      </c>
      <c r="N95" s="45"/>
      <c r="O95" s="46">
        <f t="shared" si="45"/>
        <v>4</v>
      </c>
      <c r="P95" s="48">
        <f t="shared" si="54"/>
        <v>0.66666666666666663</v>
      </c>
      <c r="Q95" s="49">
        <f t="shared" si="55"/>
        <v>81.666666666666671</v>
      </c>
      <c r="R95" s="45"/>
      <c r="S95" s="46">
        <f t="shared" si="46"/>
        <v>8</v>
      </c>
      <c r="T95" s="48">
        <f t="shared" si="51"/>
        <v>0.38095238095238093</v>
      </c>
      <c r="U95" s="49">
        <f t="shared" si="52"/>
        <v>6456.0476190476184</v>
      </c>
      <c r="W95" s="47"/>
      <c r="X95" s="90"/>
      <c r="Y95" s="90"/>
      <c r="Z95" s="80">
        <f>$B$1/(Data_nieuwveer!E95+Data_nieuwveer!U95)</f>
        <v>1.7815730373682399E-2</v>
      </c>
      <c r="AA95" s="42"/>
      <c r="AB95" s="42"/>
      <c r="AC95" s="42"/>
      <c r="AD95" s="42"/>
      <c r="AF95" s="21"/>
      <c r="AT95" s="6"/>
      <c r="AU95"/>
      <c r="AV95"/>
      <c r="AW95"/>
    </row>
    <row r="96" spans="1:49" x14ac:dyDescent="0.3">
      <c r="A96" s="2">
        <f>Data_nieuwveer!A96</f>
        <v>41635</v>
      </c>
      <c r="D96">
        <f>Data_nieuwveer!F96/(Data_nieuwveer!E96-Data_nieuwveer!F96)</f>
        <v>2.3715415019762847</v>
      </c>
      <c r="F96" s="46">
        <f t="shared" si="44"/>
        <v>1</v>
      </c>
      <c r="G96" s="48">
        <f>F96/(MAX(F95:F98)+1)</f>
        <v>0.25</v>
      </c>
      <c r="H96" s="49">
        <f>E95*(1-G96)+E99*G96</f>
        <v>3265.5</v>
      </c>
      <c r="J96" s="46">
        <f t="shared" si="53"/>
        <v>1</v>
      </c>
      <c r="K96" s="48">
        <f>J96/(MAX(J95:J98)+1)</f>
        <v>0.25</v>
      </c>
      <c r="L96" s="49">
        <f>I95*(1-K96)+I99*K96</f>
        <v>2775.8639999999996</v>
      </c>
      <c r="N96" s="45"/>
      <c r="O96" s="46">
        <f t="shared" si="45"/>
        <v>5</v>
      </c>
      <c r="P96" s="48">
        <f t="shared" si="54"/>
        <v>0.83333333333333337</v>
      </c>
      <c r="Q96" s="49">
        <f t="shared" si="55"/>
        <v>85.833333333333329</v>
      </c>
      <c r="R96" s="45"/>
      <c r="S96" s="46">
        <f t="shared" si="46"/>
        <v>9</v>
      </c>
      <c r="T96" s="48">
        <f t="shared" si="51"/>
        <v>0.42857142857142855</v>
      </c>
      <c r="U96" s="49">
        <f t="shared" si="52"/>
        <v>6664.4285714285706</v>
      </c>
      <c r="W96" s="47"/>
      <c r="X96" s="90"/>
      <c r="Y96" s="90"/>
      <c r="Z96" s="80">
        <f>$B$1/(Data_nieuwveer!E96+Data_nieuwveer!U96)</f>
        <v>2.012057397673947E-2</v>
      </c>
      <c r="AA96" s="42"/>
      <c r="AB96" s="42"/>
      <c r="AC96" s="42"/>
      <c r="AD96" s="42"/>
      <c r="AF96" s="21"/>
      <c r="AT96" s="6"/>
      <c r="AU96"/>
      <c r="AV96"/>
      <c r="AW96"/>
    </row>
    <row r="97" spans="1:49" x14ac:dyDescent="0.3">
      <c r="A97" s="2">
        <f>Data_nieuwveer!A97</f>
        <v>41636</v>
      </c>
      <c r="C97">
        <f>Data_nieuwveer!P97*'Edited data A'!$B$8</f>
        <v>104.14108043217286</v>
      </c>
      <c r="D97">
        <f>Data_nieuwveer!F97/(Data_nieuwveer!E97-Data_nieuwveer!F97)</f>
        <v>0.4808565866320571</v>
      </c>
      <c r="F97" s="46">
        <f t="shared" si="44"/>
        <v>2</v>
      </c>
      <c r="G97" s="48">
        <f>F97/(MAX(F95:F98)+1)</f>
        <v>0.5</v>
      </c>
      <c r="H97" s="49">
        <f>E95*(1-G97)+E99*G97</f>
        <v>3385</v>
      </c>
      <c r="J97" s="46">
        <f t="shared" si="53"/>
        <v>2</v>
      </c>
      <c r="K97" s="48">
        <f>J97/(MAX(J95:J98)+1)</f>
        <v>0.5</v>
      </c>
      <c r="L97" s="49">
        <f>I95*(1-K97)+I99*K97</f>
        <v>2871.3359999999998</v>
      </c>
      <c r="N97" s="45">
        <f>Data_nieuwveer!AV97</f>
        <v>90</v>
      </c>
      <c r="O97" s="46">
        <f t="shared" si="45"/>
        <v>0</v>
      </c>
      <c r="P97" s="48">
        <f>O97/(MAX(O$97:O$101)+1)</f>
        <v>0</v>
      </c>
      <c r="Q97" s="49">
        <f>N$97*(1-P97)+N$102*P97</f>
        <v>90</v>
      </c>
      <c r="R97" s="45"/>
      <c r="S97" s="46">
        <f t="shared" si="46"/>
        <v>10</v>
      </c>
      <c r="T97" s="48">
        <f t="shared" si="51"/>
        <v>0.47619047619047616</v>
      </c>
      <c r="U97" s="49">
        <f t="shared" si="52"/>
        <v>6872.8095238095229</v>
      </c>
      <c r="V97">
        <f>(Data_nieuwveer!E97*C97)/(L97*$B$1)</f>
        <v>2.3647523118777007</v>
      </c>
      <c r="W97" s="47">
        <f>($B$1+$B$3)*H97/(Data_nieuwveer!AL97*'Edited data A'!U97+Data_nieuwveer!AQ97*'Edited data A'!Q97)</f>
        <v>1.7817007935696598</v>
      </c>
      <c r="X97" s="90">
        <f>($B$1*H97)/(Data_nieuwveer!AL97*'Edited data A'!U97+Data_nieuwveer!AQ97*'Edited data A'!N97)</f>
        <v>0.40969402650902104</v>
      </c>
      <c r="Y97" s="90">
        <f>X97*$B$2</f>
        <v>0.20484701325451052</v>
      </c>
      <c r="Z97" s="80">
        <f>$B$1/(Data_nieuwveer!E97+Data_nieuwveer!U97)</f>
        <v>1.5112996637358248E-2</v>
      </c>
      <c r="AA97" s="42">
        <f>Data_nieuwveer!E97*Data_nieuwveer!P97/1000</f>
        <v>59332</v>
      </c>
      <c r="AB97" s="42">
        <f>Data_nieuwveer!AQ97*Data_nieuwveer!AR97/1000</f>
        <v>32255.755000000001</v>
      </c>
      <c r="AC97" s="42">
        <f>Data_nieuwveer!AQ97*Data_nieuwveer!AR97/1000/B$5</f>
        <v>11639.467327875724</v>
      </c>
      <c r="AD97" s="42">
        <f>Data_nieuwveer!AL97*Data_nieuwveer!AR97/B$5/1000</f>
        <v>60.142756526301952</v>
      </c>
      <c r="AE97">
        <f>((H97-H96)*($B$1+B$3)+Data_nieuwveer!AQ97*N97+U97*Data_nieuwveer!AL97)/(AA97*1000-(AC97+AD97)*1000)</f>
        <v>0.64529266309247224</v>
      </c>
      <c r="AF97" s="21">
        <f>(AA97-AB97)/AA97</f>
        <v>0.45635146295422369</v>
      </c>
      <c r="AT97" s="6"/>
      <c r="AU97"/>
      <c r="AV97"/>
      <c r="AW97"/>
    </row>
    <row r="98" spans="1:49" x14ac:dyDescent="0.3">
      <c r="A98" s="2">
        <f>Data_nieuwveer!A98</f>
        <v>41637</v>
      </c>
      <c r="D98">
        <f>Data_nieuwveer!F98/(Data_nieuwveer!E98-Data_nieuwveer!F98)</f>
        <v>0.33698092031425364</v>
      </c>
      <c r="F98" s="46">
        <f t="shared" si="44"/>
        <v>3</v>
      </c>
      <c r="G98" s="48">
        <f>F98/(MAX(F95:F98)+1)</f>
        <v>0.75</v>
      </c>
      <c r="H98" s="49">
        <f>E95*(1-G98)+E99*G98</f>
        <v>3504.5</v>
      </c>
      <c r="J98" s="46">
        <f t="shared" si="53"/>
        <v>3</v>
      </c>
      <c r="K98" s="48">
        <f>J98/(MAX(J95:J98)+1)</f>
        <v>0.75</v>
      </c>
      <c r="L98" s="49">
        <f>I95*(1-K98)+I99*K98</f>
        <v>2966.808</v>
      </c>
      <c r="N98" s="45"/>
      <c r="O98" s="46">
        <f t="shared" si="45"/>
        <v>1</v>
      </c>
      <c r="P98" s="48">
        <f>O98/(MAX(O$97:O$101)+1)</f>
        <v>0.2</v>
      </c>
      <c r="Q98" s="49">
        <f>N$97*(1-P98)+N$102*P98</f>
        <v>83</v>
      </c>
      <c r="R98" s="45"/>
      <c r="S98" s="46">
        <f t="shared" si="46"/>
        <v>11</v>
      </c>
      <c r="T98" s="48">
        <f t="shared" si="51"/>
        <v>0.52380952380952384</v>
      </c>
      <c r="U98" s="49">
        <f t="shared" si="52"/>
        <v>7081.1904761904771</v>
      </c>
      <c r="W98" s="47"/>
      <c r="X98" s="90"/>
      <c r="Y98" s="90"/>
      <c r="Z98" s="80">
        <f>$B$1/(Data_nieuwveer!E98+Data_nieuwveer!U98)</f>
        <v>1.4493917937921307E-2</v>
      </c>
      <c r="AA98" s="42"/>
      <c r="AB98" s="42"/>
      <c r="AC98" s="42"/>
      <c r="AD98" s="42"/>
      <c r="AF98" s="21"/>
      <c r="AT98" s="6"/>
      <c r="AU98"/>
      <c r="AV98"/>
      <c r="AW98"/>
    </row>
    <row r="99" spans="1:49" x14ac:dyDescent="0.3">
      <c r="A99" s="2">
        <f>Data_nieuwveer!A99</f>
        <v>41638</v>
      </c>
      <c r="D99">
        <f>Data_nieuwveer!F99/(Data_nieuwveer!E99-Data_nieuwveer!F99)</f>
        <v>1.625170068027211</v>
      </c>
      <c r="E99" s="86">
        <f>Data_nieuwveer!AF99</f>
        <v>3624</v>
      </c>
      <c r="F99" s="46">
        <f t="shared" si="44"/>
        <v>0</v>
      </c>
      <c r="G99" s="48">
        <f>F99/(MAX(F99:F101)+1)</f>
        <v>0</v>
      </c>
      <c r="H99" s="49">
        <f>E99*(1-G99)+E102*G99</f>
        <v>3624</v>
      </c>
      <c r="I99" s="24">
        <f>E99*(1-Data_nieuwveer!AG99/100)</f>
        <v>3062.2799999999997</v>
      </c>
      <c r="J99" s="46">
        <f>IF(I99&gt;0,0,J98+1)</f>
        <v>0</v>
      </c>
      <c r="K99" s="48">
        <f>J99/(MAX(J99:J101)+1)</f>
        <v>0</v>
      </c>
      <c r="L99" s="49">
        <f>I99*(1-K99)+I102*K99</f>
        <v>3062.2799999999997</v>
      </c>
      <c r="M99" s="24">
        <f>I99/E99</f>
        <v>0.84499999999999997</v>
      </c>
      <c r="N99" s="45"/>
      <c r="O99" s="46">
        <f t="shared" si="45"/>
        <v>2</v>
      </c>
      <c r="P99" s="48">
        <f>O99/(MAX(O$97:O$101)+1)</f>
        <v>0.4</v>
      </c>
      <c r="Q99" s="49">
        <f>N$97*(1-P99)+N$102*P99</f>
        <v>76</v>
      </c>
      <c r="R99" s="45"/>
      <c r="S99" s="46">
        <f t="shared" si="46"/>
        <v>12</v>
      </c>
      <c r="T99" s="48">
        <f t="shared" si="51"/>
        <v>0.5714285714285714</v>
      </c>
      <c r="U99" s="49">
        <f t="shared" si="52"/>
        <v>7289.5714285714284</v>
      </c>
      <c r="W99" s="47"/>
      <c r="X99" s="90"/>
      <c r="Y99" s="90"/>
      <c r="Z99" s="80">
        <f>$B$1/(Data_nieuwveer!E99+Data_nieuwveer!U99)</f>
        <v>1.7906806837739774E-2</v>
      </c>
      <c r="AA99" s="42"/>
      <c r="AB99" s="42"/>
      <c r="AC99" s="42"/>
      <c r="AD99" s="42"/>
      <c r="AF99" s="21"/>
      <c r="AT99" s="6"/>
      <c r="AU99"/>
      <c r="AV99"/>
      <c r="AW99"/>
    </row>
    <row r="100" spans="1:49" x14ac:dyDescent="0.3">
      <c r="A100" s="2">
        <f>Data_nieuwveer!A100</f>
        <v>41639</v>
      </c>
      <c r="D100">
        <f>Data_nieuwveer!F100/(Data_nieuwveer!E100-Data_nieuwveer!F100)</f>
        <v>1.8698578908002992</v>
      </c>
      <c r="F100" s="46">
        <f t="shared" si="44"/>
        <v>1</v>
      </c>
      <c r="G100" s="48">
        <f>F100/(MAX(F99:F101)+1)</f>
        <v>0.33333333333333331</v>
      </c>
      <c r="H100" s="49">
        <f>E99*(1-G100)+E102*G100</f>
        <v>3461.3333333333339</v>
      </c>
      <c r="J100" s="46">
        <f t="shared" si="53"/>
        <v>1</v>
      </c>
      <c r="K100" s="48">
        <f>J100/(MAX(J99:J101)+1)</f>
        <v>0.33333333333333331</v>
      </c>
      <c r="L100" s="49">
        <f>I99*(1-K100)+I102*K100</f>
        <v>2943.6426666666666</v>
      </c>
      <c r="N100" s="45"/>
      <c r="O100" s="46">
        <f t="shared" si="45"/>
        <v>3</v>
      </c>
      <c r="P100" s="48">
        <f>O100/(MAX(O$97:O$101)+1)</f>
        <v>0.6</v>
      </c>
      <c r="Q100" s="49">
        <f>N$97*(1-P100)+N$102*P100</f>
        <v>69</v>
      </c>
      <c r="R100" s="45"/>
      <c r="S100" s="46">
        <f t="shared" si="46"/>
        <v>13</v>
      </c>
      <c r="T100" s="48">
        <f t="shared" si="51"/>
        <v>0.61904761904761907</v>
      </c>
      <c r="U100" s="49">
        <f t="shared" si="52"/>
        <v>7497.9523809523807</v>
      </c>
      <c r="W100" s="47"/>
      <c r="X100" s="90"/>
      <c r="Y100" s="90"/>
      <c r="Z100" s="80">
        <f>$B$1/(Data_nieuwveer!E100+Data_nieuwveer!U100)</f>
        <v>1.8621250677680518E-2</v>
      </c>
      <c r="AA100" s="42"/>
      <c r="AB100" s="42"/>
      <c r="AC100" s="42"/>
      <c r="AD100" s="42"/>
      <c r="AF100" s="21"/>
      <c r="AT100" s="6"/>
      <c r="AU100"/>
      <c r="AV100"/>
      <c r="AW100"/>
    </row>
    <row r="101" spans="1:49" x14ac:dyDescent="0.3">
      <c r="A101" s="2">
        <f>Data_nieuwveer!A101</f>
        <v>41640</v>
      </c>
      <c r="D101">
        <f>Data_nieuwveer!F101/(Data_nieuwveer!E101-Data_nieuwveer!F101)</f>
        <v>1.6400273224043715</v>
      </c>
      <c r="F101" s="46">
        <f t="shared" si="44"/>
        <v>2</v>
      </c>
      <c r="G101" s="48">
        <f>F101/(MAX(F99:F101)+1)</f>
        <v>0.66666666666666663</v>
      </c>
      <c r="H101" s="49">
        <f>E99*(1-G101)+E102*G101</f>
        <v>3298.666666666667</v>
      </c>
      <c r="J101" s="46">
        <f t="shared" si="53"/>
        <v>2</v>
      </c>
      <c r="K101" s="48">
        <f>J101/(MAX(J99:J101)+1)</f>
        <v>0.66666666666666663</v>
      </c>
      <c r="L101" s="49">
        <f>I99*(1-K101)+I102*K101</f>
        <v>2825.0053333333335</v>
      </c>
      <c r="N101" s="45"/>
      <c r="O101" s="46">
        <f t="shared" si="45"/>
        <v>4</v>
      </c>
      <c r="P101" s="48">
        <f>O101/(MAX(O$97:O$101)+1)</f>
        <v>0.8</v>
      </c>
      <c r="Q101" s="49">
        <f>N$97*(1-P101)+N$102*P101</f>
        <v>62</v>
      </c>
      <c r="R101" s="45"/>
      <c r="S101" s="46">
        <f t="shared" si="46"/>
        <v>14</v>
      </c>
      <c r="T101" s="48">
        <f t="shared" si="51"/>
        <v>0.66666666666666663</v>
      </c>
      <c r="U101" s="49">
        <f t="shared" si="52"/>
        <v>7706.3333333333339</v>
      </c>
      <c r="W101" s="47"/>
      <c r="X101" s="90"/>
      <c r="Y101" s="90"/>
      <c r="Z101" s="80">
        <f>$B$1/(Data_nieuwveer!E101+Data_nieuwveer!U101)</f>
        <v>1.7737649021591282E-2</v>
      </c>
      <c r="AA101" s="42"/>
      <c r="AB101" s="42"/>
      <c r="AC101" s="42"/>
      <c r="AD101" s="42"/>
      <c r="AF101" s="21"/>
      <c r="AT101" s="6"/>
      <c r="AU101"/>
      <c r="AV101"/>
      <c r="AW101"/>
    </row>
    <row r="102" spans="1:49" x14ac:dyDescent="0.3">
      <c r="A102" s="2">
        <f>Data_nieuwveer!A102</f>
        <v>41641</v>
      </c>
      <c r="B102">
        <f>Data_nieuwveer!Q102/Data_nieuwveer!P102</f>
        <v>0.3352941176470588</v>
      </c>
      <c r="C102">
        <f>Data_nieuwveer!P102*'Edited data A'!$B$8</f>
        <v>68.092244897959176</v>
      </c>
      <c r="D102">
        <f>Data_nieuwveer!F102/(Data_nieuwveer!E102-Data_nieuwveer!F102)</f>
        <v>1.5925768371796236</v>
      </c>
      <c r="E102" s="86">
        <f>Data_nieuwveer!AF102</f>
        <v>3136</v>
      </c>
      <c r="F102" s="46">
        <f t="shared" si="44"/>
        <v>0</v>
      </c>
      <c r="G102" s="48">
        <f>F102/(MAX(F102:F105)+1)</f>
        <v>0</v>
      </c>
      <c r="H102" s="49">
        <f>E102*(1-G102)+E106*G102</f>
        <v>3136</v>
      </c>
      <c r="I102" s="24">
        <f>E102*(1-Data_nieuwveer!AG102/100)</f>
        <v>2706.3679999999999</v>
      </c>
      <c r="J102" s="46">
        <f t="shared" si="53"/>
        <v>0</v>
      </c>
      <c r="K102" s="48">
        <f>J102/(MAX(J102:J105)+1)</f>
        <v>0</v>
      </c>
      <c r="L102" s="49">
        <f>I102*(1-K102)+I106*K102</f>
        <v>2706.3679999999999</v>
      </c>
      <c r="M102" s="24">
        <f>I102/E102</f>
        <v>0.86299999999999999</v>
      </c>
      <c r="N102" s="45">
        <f>Data_nieuwveer!AV102</f>
        <v>55</v>
      </c>
      <c r="O102" s="46">
        <f t="shared" si="45"/>
        <v>0</v>
      </c>
      <c r="P102" s="48">
        <f t="shared" ref="P102:P107" si="56">O102/(MAX(O$102:O$107)+1)</f>
        <v>0</v>
      </c>
      <c r="Q102" s="49">
        <f t="shared" ref="Q102:Q107" si="57">N$102*(1-P102)+N$108*P102</f>
        <v>55</v>
      </c>
      <c r="R102" s="45"/>
      <c r="S102" s="46">
        <f t="shared" si="46"/>
        <v>15</v>
      </c>
      <c r="T102" s="48">
        <f t="shared" si="51"/>
        <v>0.7142857142857143</v>
      </c>
      <c r="U102" s="49">
        <f t="shared" si="52"/>
        <v>7914.7142857142862</v>
      </c>
      <c r="V102">
        <f>(Data_nieuwveer!E102*C102)/(L102*$B$1)</f>
        <v>1.4019444899669002</v>
      </c>
      <c r="W102" s="47">
        <f>($B$1+$B$3)*H102/(Data_nieuwveer!AL102*'Edited data A'!U102+Data_nieuwveer!AQ102*'Edited data A'!Q102)</f>
        <v>2.3479192598249279</v>
      </c>
      <c r="X102" s="90">
        <f>($B$1*H102)/(Data_nieuwveer!AL102*'Edited data A'!U102+Data_nieuwveer!AQ102*'Edited data A'!N102)</f>
        <v>0.53989339789680357</v>
      </c>
      <c r="Y102" s="90">
        <f>X102*$B$2</f>
        <v>0.26994669894840179</v>
      </c>
      <c r="Z102" s="80">
        <f>$B$1/(Data_nieuwveer!E102+Data_nieuwveer!U102)</f>
        <v>1.7612526431370023E-2</v>
      </c>
      <c r="AA102" s="42">
        <f>Data_nieuwveer!E102*Data_nieuwveer!P102/1000</f>
        <v>33154.080000000002</v>
      </c>
      <c r="AB102" s="42">
        <f>Data_nieuwveer!AQ102*Data_nieuwveer!AR102/1000</f>
        <v>25678.405999999999</v>
      </c>
      <c r="AC102" s="42">
        <f>Data_nieuwveer!AQ102*Data_nieuwveer!AR102/1000/B$5</f>
        <v>9266.0353995411951</v>
      </c>
      <c r="AD102" s="42">
        <f>Data_nieuwveer!AL102*Data_nieuwveer!AR102/B$5/1000</f>
        <v>56.104852611204336</v>
      </c>
      <c r="AE102">
        <f>((H102-H101)*($B$1+B$3)+Data_nieuwveer!AQ102*N102+U102*Data_nieuwveer!AL102)/(AA102*1000-(AC102+AD102)*1000)</f>
        <v>0.74916226464501046</v>
      </c>
      <c r="AF102" s="21">
        <f>(AA102-AB102)/AA102</f>
        <v>0.22548277617717041</v>
      </c>
      <c r="AT102" s="6"/>
      <c r="AU102"/>
      <c r="AV102"/>
      <c r="AW102"/>
    </row>
    <row r="103" spans="1:49" x14ac:dyDescent="0.3">
      <c r="A103" s="2">
        <f>Data_nieuwveer!A103</f>
        <v>41642</v>
      </c>
      <c r="D103">
        <f>Data_nieuwveer!F103/(Data_nieuwveer!E103-Data_nieuwveer!F103)</f>
        <v>1.7928068803752932</v>
      </c>
      <c r="F103" s="46">
        <f t="shared" si="44"/>
        <v>1</v>
      </c>
      <c r="G103" s="48">
        <f>F103/(MAX(F102:F105)+1)</f>
        <v>0.25</v>
      </c>
      <c r="H103" s="49">
        <f>E102*(1-G103)+E106*G103</f>
        <v>3227</v>
      </c>
      <c r="J103" s="46">
        <f t="shared" si="53"/>
        <v>1</v>
      </c>
      <c r="K103" s="48">
        <f>J103/(MAX(J102:J105)+1)</f>
        <v>0.25</v>
      </c>
      <c r="L103" s="49">
        <f>I102*(1-K103)+I106*K103</f>
        <v>2731.5259999999998</v>
      </c>
      <c r="N103" s="45"/>
      <c r="O103" s="46">
        <f t="shared" si="45"/>
        <v>1</v>
      </c>
      <c r="P103" s="48">
        <f t="shared" si="56"/>
        <v>0.16666666666666666</v>
      </c>
      <c r="Q103" s="49">
        <f t="shared" si="57"/>
        <v>54.333333333333336</v>
      </c>
      <c r="R103" s="45"/>
      <c r="S103" s="46">
        <f t="shared" si="46"/>
        <v>16</v>
      </c>
      <c r="T103" s="48">
        <f t="shared" si="51"/>
        <v>0.76190476190476186</v>
      </c>
      <c r="U103" s="49">
        <f t="shared" si="52"/>
        <v>8123.0952380952376</v>
      </c>
      <c r="W103" s="47"/>
      <c r="X103" s="90"/>
      <c r="Y103" s="90"/>
      <c r="Z103" s="80">
        <f>$B$1/(Data_nieuwveer!E103+Data_nieuwveer!U103)</f>
        <v>1.9177315099176855E-2</v>
      </c>
      <c r="AA103" s="42"/>
      <c r="AB103" s="42"/>
      <c r="AC103" s="42"/>
      <c r="AD103" s="42"/>
      <c r="AF103" s="21"/>
      <c r="AT103" s="6"/>
      <c r="AU103"/>
      <c r="AV103"/>
      <c r="AW103"/>
    </row>
    <row r="104" spans="1:49" x14ac:dyDescent="0.3">
      <c r="A104" s="2">
        <f>Data_nieuwveer!A104</f>
        <v>41643</v>
      </c>
      <c r="D104">
        <f>Data_nieuwveer!F104/(Data_nieuwveer!E104-Data_nieuwveer!F104)</f>
        <v>0.27203839353372061</v>
      </c>
      <c r="F104" s="46">
        <f t="shared" si="44"/>
        <v>2</v>
      </c>
      <c r="G104" s="48">
        <f>F104/(MAX(F102:F105)+1)</f>
        <v>0.5</v>
      </c>
      <c r="H104" s="49">
        <f>E102*(1-G104)+E106*G104</f>
        <v>3318</v>
      </c>
      <c r="J104" s="46">
        <f t="shared" si="53"/>
        <v>2</v>
      </c>
      <c r="K104" s="48">
        <f>J104/(MAX(J102:J105)+1)</f>
        <v>0.5</v>
      </c>
      <c r="L104" s="49">
        <f>I102*(1-K104)+I106*K104</f>
        <v>2756.6840000000002</v>
      </c>
      <c r="N104" s="45"/>
      <c r="O104" s="46">
        <f t="shared" si="45"/>
        <v>2</v>
      </c>
      <c r="P104" s="48">
        <f t="shared" si="56"/>
        <v>0.33333333333333331</v>
      </c>
      <c r="Q104" s="49">
        <f t="shared" si="57"/>
        <v>53.666666666666671</v>
      </c>
      <c r="R104" s="45"/>
      <c r="S104" s="46">
        <f t="shared" si="46"/>
        <v>17</v>
      </c>
      <c r="T104" s="48">
        <f t="shared" si="51"/>
        <v>0.80952380952380953</v>
      </c>
      <c r="U104" s="49">
        <f t="shared" si="52"/>
        <v>8331.4761904761908</v>
      </c>
      <c r="W104" s="47"/>
      <c r="X104" s="90"/>
      <c r="Y104" s="90"/>
      <c r="Z104" s="80">
        <f>$B$1/(Data_nieuwveer!E104+Data_nieuwveer!U104)</f>
        <v>1.3694385145583051E-2</v>
      </c>
      <c r="AA104" s="42"/>
      <c r="AB104" s="42"/>
      <c r="AC104" s="42"/>
      <c r="AD104" s="42"/>
      <c r="AF104" s="21"/>
      <c r="AT104" s="6"/>
      <c r="AU104"/>
      <c r="AV104"/>
      <c r="AW104"/>
    </row>
    <row r="105" spans="1:49" x14ac:dyDescent="0.3">
      <c r="A105" s="2">
        <f>Data_nieuwveer!A105</f>
        <v>41644</v>
      </c>
      <c r="D105">
        <f>Data_nieuwveer!F105/(Data_nieuwveer!E105-Data_nieuwveer!F105)</f>
        <v>1.4090909090909092</v>
      </c>
      <c r="F105" s="46">
        <f t="shared" si="44"/>
        <v>3</v>
      </c>
      <c r="G105" s="48">
        <f>F105/(MAX(F102:F105)+1)</f>
        <v>0.75</v>
      </c>
      <c r="H105" s="49">
        <f>E102*(1-G105)+E106*G105</f>
        <v>3409</v>
      </c>
      <c r="J105" s="46">
        <f t="shared" si="53"/>
        <v>3</v>
      </c>
      <c r="K105" s="48">
        <f>J105/(MAX(J102:J105)+1)</f>
        <v>0.75</v>
      </c>
      <c r="L105" s="49">
        <f>I102*(1-K105)+I106*K105</f>
        <v>2781.8420000000001</v>
      </c>
      <c r="N105" s="45"/>
      <c r="O105" s="46">
        <f t="shared" ref="O105:O136" si="58">IF(N105&gt;0,0,O104+1)</f>
        <v>3</v>
      </c>
      <c r="P105" s="48">
        <f t="shared" si="56"/>
        <v>0.5</v>
      </c>
      <c r="Q105" s="49">
        <f t="shared" si="57"/>
        <v>53</v>
      </c>
      <c r="R105" s="45"/>
      <c r="S105" s="46">
        <f t="shared" ref="S105:S136" si="59">IF(R105&gt;0,0,S104+1)</f>
        <v>18</v>
      </c>
      <c r="T105" s="48">
        <f t="shared" si="51"/>
        <v>0.8571428571428571</v>
      </c>
      <c r="U105" s="49">
        <f t="shared" si="52"/>
        <v>8539.8571428571431</v>
      </c>
      <c r="W105" s="47"/>
      <c r="X105" s="90"/>
      <c r="Y105" s="90"/>
      <c r="Z105" s="80">
        <f>$B$1/(Data_nieuwveer!E105+Data_nieuwveer!U105)</f>
        <v>1.6848518341297067E-2</v>
      </c>
      <c r="AA105" s="42"/>
      <c r="AB105" s="42"/>
      <c r="AC105" s="42"/>
      <c r="AD105" s="42"/>
      <c r="AF105" s="21"/>
      <c r="AT105" s="6"/>
      <c r="AU105"/>
      <c r="AV105"/>
      <c r="AW105"/>
    </row>
    <row r="106" spans="1:49" x14ac:dyDescent="0.3">
      <c r="A106" s="2">
        <f>Data_nieuwveer!A106</f>
        <v>41645</v>
      </c>
      <c r="D106">
        <f>Data_nieuwveer!F106/(Data_nieuwveer!E106-Data_nieuwveer!F106)</f>
        <v>1.9656019656019657</v>
      </c>
      <c r="E106" s="86">
        <f>Data_nieuwveer!AF106</f>
        <v>3500</v>
      </c>
      <c r="F106" s="46">
        <f t="shared" si="44"/>
        <v>0</v>
      </c>
      <c r="G106" s="48">
        <f>F106/(MAX(F106:F108)+1)</f>
        <v>0</v>
      </c>
      <c r="H106" s="49">
        <f>E106*(1-G106)+E109*G106</f>
        <v>3500</v>
      </c>
      <c r="I106" s="24">
        <f>E106*(1-Data_nieuwveer!AG106/100)</f>
        <v>2807</v>
      </c>
      <c r="J106" s="46">
        <f t="shared" si="53"/>
        <v>0</v>
      </c>
      <c r="K106" s="48">
        <f>J106/(MAX(J106:J108)+1)</f>
        <v>0</v>
      </c>
      <c r="L106" s="49">
        <f>I106*(1-K106)+I109*K106</f>
        <v>2807</v>
      </c>
      <c r="M106" s="24">
        <f>I106/E106</f>
        <v>0.80200000000000005</v>
      </c>
      <c r="N106" s="45"/>
      <c r="O106" s="46">
        <f t="shared" si="58"/>
        <v>4</v>
      </c>
      <c r="P106" s="48">
        <f t="shared" si="56"/>
        <v>0.66666666666666663</v>
      </c>
      <c r="Q106" s="49">
        <f t="shared" si="57"/>
        <v>52.333333333333336</v>
      </c>
      <c r="R106" s="45"/>
      <c r="S106" s="46">
        <f t="shared" si="59"/>
        <v>19</v>
      </c>
      <c r="T106" s="48">
        <f t="shared" si="51"/>
        <v>0.90476190476190477</v>
      </c>
      <c r="U106" s="49">
        <f t="shared" si="52"/>
        <v>8748.2380952380954</v>
      </c>
      <c r="W106" s="47"/>
      <c r="X106" s="90"/>
      <c r="Y106" s="90"/>
      <c r="Z106" s="80">
        <f>$B$1/(Data_nieuwveer!E106+Data_nieuwveer!U106)</f>
        <v>1.8893091552143044E-2</v>
      </c>
      <c r="AA106" s="42"/>
      <c r="AB106" s="42"/>
      <c r="AC106" s="42"/>
      <c r="AD106" s="42"/>
      <c r="AF106" s="21"/>
      <c r="AT106" s="6"/>
      <c r="AU106"/>
      <c r="AV106"/>
      <c r="AW106"/>
    </row>
    <row r="107" spans="1:49" x14ac:dyDescent="0.3">
      <c r="A107" s="2">
        <f>Data_nieuwveer!A107</f>
        <v>41646</v>
      </c>
      <c r="D107">
        <f>Data_nieuwveer!F107/(Data_nieuwveer!E107-Data_nieuwveer!F107)</f>
        <v>1.572234943287715</v>
      </c>
      <c r="F107" s="46">
        <f t="shared" si="44"/>
        <v>1</v>
      </c>
      <c r="G107" s="48">
        <f>F107/(MAX(F106:F108)+1)</f>
        <v>0.33333333333333331</v>
      </c>
      <c r="H107" s="49">
        <f>E106*(1-G107)+E109*G107</f>
        <v>3176.666666666667</v>
      </c>
      <c r="J107" s="46">
        <f t="shared" si="53"/>
        <v>1</v>
      </c>
      <c r="K107" s="48">
        <f>J107/(MAX(J106:J108)+1)</f>
        <v>0.33333333333333331</v>
      </c>
      <c r="L107" s="49">
        <f>I106*(1-K107)+I109*K107</f>
        <v>2549.3733333333334</v>
      </c>
      <c r="N107" s="45"/>
      <c r="O107" s="46">
        <f t="shared" si="58"/>
        <v>5</v>
      </c>
      <c r="P107" s="48">
        <f t="shared" si="56"/>
        <v>0.83333333333333337</v>
      </c>
      <c r="Q107" s="49">
        <f t="shared" si="57"/>
        <v>51.666666666666664</v>
      </c>
      <c r="R107" s="45"/>
      <c r="S107" s="46">
        <f t="shared" si="59"/>
        <v>20</v>
      </c>
      <c r="T107" s="48">
        <f t="shared" si="51"/>
        <v>0.95238095238095233</v>
      </c>
      <c r="U107" s="49">
        <f t="shared" si="52"/>
        <v>8956.6190476190477</v>
      </c>
      <c r="W107" s="47"/>
      <c r="X107" s="90"/>
      <c r="Y107" s="90"/>
      <c r="Z107" s="80">
        <f>$B$1/(Data_nieuwveer!E107+Data_nieuwveer!U107)</f>
        <v>1.7673233030161644E-2</v>
      </c>
      <c r="AA107" s="42"/>
      <c r="AB107" s="42"/>
      <c r="AC107" s="42"/>
      <c r="AD107" s="42"/>
      <c r="AF107" s="21"/>
      <c r="AT107" s="6"/>
      <c r="AU107"/>
      <c r="AV107"/>
      <c r="AW107"/>
    </row>
    <row r="108" spans="1:49" x14ac:dyDescent="0.3">
      <c r="A108" s="2">
        <f>Data_nieuwveer!A108</f>
        <v>41647</v>
      </c>
      <c r="C108">
        <f>Data_nieuwveer!P108*'Edited data A'!$B$8</f>
        <v>84.113949579831925</v>
      </c>
      <c r="D108">
        <f>Data_nieuwveer!F108/(Data_nieuwveer!E108-Data_nieuwveer!F108)</f>
        <v>1.192715453865401</v>
      </c>
      <c r="F108" s="46">
        <f t="shared" si="44"/>
        <v>2</v>
      </c>
      <c r="G108" s="48">
        <f>F108/(MAX(F106:F108)+1)</f>
        <v>0.66666666666666663</v>
      </c>
      <c r="H108" s="49">
        <f>E106*(1-G108)+E109*G108</f>
        <v>2853.333333333333</v>
      </c>
      <c r="J108" s="46">
        <f t="shared" si="53"/>
        <v>2</v>
      </c>
      <c r="K108" s="48">
        <f>J108/(MAX(J106:J108)+1)</f>
        <v>0.66666666666666663</v>
      </c>
      <c r="L108" s="49">
        <f>I106*(1-K108)+I109*K108</f>
        <v>2291.7466666666669</v>
      </c>
      <c r="N108" s="45">
        <f>Data_nieuwveer!AV108</f>
        <v>51</v>
      </c>
      <c r="O108" s="46">
        <f t="shared" si="58"/>
        <v>0</v>
      </c>
      <c r="P108" s="48">
        <f t="shared" ref="P108:P113" si="60">O108/(MAX(O$108:O$113)+1)</f>
        <v>0</v>
      </c>
      <c r="Q108" s="49">
        <f t="shared" ref="Q108:Q113" si="61">N$108*(1-P108)+N$114*P108</f>
        <v>51</v>
      </c>
      <c r="R108" s="45">
        <f>Data_nieuwveer!AN108*B$4</f>
        <v>9165</v>
      </c>
      <c r="S108" s="46">
        <f t="shared" si="59"/>
        <v>0</v>
      </c>
      <c r="T108" s="48">
        <f t="shared" ref="T108:T114" si="62">S108/(MAX(S$108:S$114)+1)</f>
        <v>0</v>
      </c>
      <c r="U108" s="49">
        <f t="shared" ref="U108:U114" si="63">R$108*(1-T108)+R$115*T108</f>
        <v>9165</v>
      </c>
      <c r="V108">
        <f>(Data_nieuwveer!E108*C108)/(L108*$B$1)</f>
        <v>1.7828214081753269</v>
      </c>
      <c r="W108" s="47">
        <f>($B$1+$B$3)*H108/(Data_nieuwveer!AL108*'Edited data A'!U108+Data_nieuwveer!AQ108*'Edited data A'!Q108)</f>
        <v>1.4249403553113016</v>
      </c>
      <c r="X108" s="90">
        <f>($B$1*H108)/(Data_nieuwveer!AL108*'Edited data A'!U108+Data_nieuwveer!AQ108*'Edited data A'!N108)</f>
        <v>0.32765857982981117</v>
      </c>
      <c r="Y108" s="90">
        <f>X108*$B$2</f>
        <v>0.16382928991490558</v>
      </c>
      <c r="Z108" s="80">
        <f>$B$1/(Data_nieuwveer!E108+Data_nieuwveer!U108)</f>
        <v>1.9981229062526404E-2</v>
      </c>
      <c r="AA108" s="42">
        <f>Data_nieuwveer!E108*Data_nieuwveer!P108/1000</f>
        <v>35702.1</v>
      </c>
      <c r="AB108" s="42">
        <f>Data_nieuwveer!AQ108*Data_nieuwveer!AR108/1000</f>
        <v>20736.047999999999</v>
      </c>
      <c r="AC108" s="42">
        <f>Data_nieuwveer!AQ108*Data_nieuwveer!AR108/1000/B$5</f>
        <v>7482.5888653129559</v>
      </c>
      <c r="AD108" s="42">
        <f>Data_nieuwveer!AL108*Data_nieuwveer!AR108/B$5/1000</f>
        <v>102.36573571357374</v>
      </c>
      <c r="AE108">
        <f>((H108-H107)*($B$1+B$3)+Data_nieuwveer!AQ108*N108+U108*Data_nieuwveer!AL108)/(AA108*1000-(AC108+AD108)*1000)</f>
        <v>0.90896224956984428</v>
      </c>
      <c r="AF108" s="21">
        <f>(AA108-AB108)/AA108</f>
        <v>0.41919248447570312</v>
      </c>
      <c r="AT108" s="6"/>
      <c r="AU108"/>
      <c r="AV108"/>
      <c r="AW108"/>
    </row>
    <row r="109" spans="1:49" x14ac:dyDescent="0.3">
      <c r="A109" s="2">
        <f>Data_nieuwveer!A109</f>
        <v>41648</v>
      </c>
      <c r="D109">
        <f>Data_nieuwveer!F109/(Data_nieuwveer!E109-Data_nieuwveer!F109)</f>
        <v>1.4257068062827225</v>
      </c>
      <c r="E109" s="86">
        <f>Data_nieuwveer!AF109</f>
        <v>2530</v>
      </c>
      <c r="F109" s="46">
        <f t="shared" si="44"/>
        <v>0</v>
      </c>
      <c r="G109" s="48">
        <f>F109/(MAX(F109:F112)+1)</f>
        <v>0</v>
      </c>
      <c r="H109" s="49">
        <f>E109*(1-G109)+E113*G109</f>
        <v>2530</v>
      </c>
      <c r="I109" s="24">
        <f>E109*(1-Data_nieuwveer!AG109/100)</f>
        <v>2034.1200000000001</v>
      </c>
      <c r="J109" s="46">
        <f t="shared" si="53"/>
        <v>0</v>
      </c>
      <c r="K109" s="48">
        <f>J109/(MAX(J109:J112)+1)</f>
        <v>0</v>
      </c>
      <c r="L109" s="49">
        <f>I109*(1-K109)+I113*K109</f>
        <v>2034.1200000000001</v>
      </c>
      <c r="M109" s="24">
        <f>I109/E109</f>
        <v>0.80400000000000005</v>
      </c>
      <c r="N109" s="45"/>
      <c r="O109" s="46">
        <f t="shared" si="58"/>
        <v>1</v>
      </c>
      <c r="P109" s="48">
        <f t="shared" si="60"/>
        <v>0.16666666666666666</v>
      </c>
      <c r="Q109" s="49">
        <f t="shared" si="61"/>
        <v>50.666666666666664</v>
      </c>
      <c r="R109" s="45"/>
      <c r="S109" s="46">
        <f t="shared" si="59"/>
        <v>1</v>
      </c>
      <c r="T109" s="48">
        <f t="shared" si="62"/>
        <v>0.14285714285714285</v>
      </c>
      <c r="U109" s="49">
        <f t="shared" si="63"/>
        <v>9232.5714285714294</v>
      </c>
      <c r="W109" s="47"/>
      <c r="X109" s="90"/>
      <c r="Y109" s="90"/>
      <c r="Z109" s="80">
        <f>$B$1/(Data_nieuwveer!E109+Data_nieuwveer!U109)</f>
        <v>1.835325666741041E-2</v>
      </c>
      <c r="AA109" s="42"/>
      <c r="AB109" s="42"/>
      <c r="AC109" s="42"/>
      <c r="AD109" s="42"/>
      <c r="AF109" s="21"/>
      <c r="AT109" s="6"/>
      <c r="AU109"/>
      <c r="AV109"/>
      <c r="AW109"/>
    </row>
    <row r="110" spans="1:49" x14ac:dyDescent="0.3">
      <c r="A110" s="2">
        <f>Data_nieuwveer!A110</f>
        <v>41649</v>
      </c>
      <c r="D110">
        <f>Data_nieuwveer!F110/(Data_nieuwveer!E110-Data_nieuwveer!F110)</f>
        <v>0.89844994617868679</v>
      </c>
      <c r="F110" s="46">
        <f t="shared" si="44"/>
        <v>1</v>
      </c>
      <c r="G110" s="48">
        <f>F110/(MAX(F109:F112)+1)</f>
        <v>0.25</v>
      </c>
      <c r="H110" s="49">
        <f>E109*(1-G110)+E113*G110</f>
        <v>2626.5</v>
      </c>
      <c r="J110" s="46">
        <f t="shared" si="53"/>
        <v>1</v>
      </c>
      <c r="K110" s="48">
        <f>J110/(MAX(J109:J112)+1)</f>
        <v>0.25</v>
      </c>
      <c r="L110" s="49">
        <f>I109*(1-K110)+I113*K110</f>
        <v>2114.6220000000003</v>
      </c>
      <c r="N110" s="45"/>
      <c r="O110" s="46">
        <f t="shared" si="58"/>
        <v>2</v>
      </c>
      <c r="P110" s="48">
        <f t="shared" si="60"/>
        <v>0.33333333333333331</v>
      </c>
      <c r="Q110" s="49">
        <f t="shared" si="61"/>
        <v>50.333333333333343</v>
      </c>
      <c r="R110" s="45"/>
      <c r="S110" s="46">
        <f t="shared" si="59"/>
        <v>2</v>
      </c>
      <c r="T110" s="48">
        <f t="shared" si="62"/>
        <v>0.2857142857142857</v>
      </c>
      <c r="U110" s="49">
        <f t="shared" si="63"/>
        <v>9300.1428571428569</v>
      </c>
      <c r="W110" s="47"/>
      <c r="X110" s="90"/>
      <c r="Y110" s="90"/>
      <c r="Z110" s="80">
        <f>$B$1/(Data_nieuwveer!E110+Data_nieuwveer!U110)</f>
        <v>1.9335131132240422E-2</v>
      </c>
      <c r="AA110" s="42"/>
      <c r="AB110" s="42"/>
      <c r="AC110" s="42"/>
      <c r="AD110" s="42"/>
      <c r="AF110" s="21"/>
      <c r="AT110" s="6"/>
      <c r="AU110"/>
      <c r="AV110"/>
      <c r="AW110"/>
    </row>
    <row r="111" spans="1:49" x14ac:dyDescent="0.3">
      <c r="A111" s="2">
        <f>Data_nieuwveer!A111</f>
        <v>41650</v>
      </c>
      <c r="D111">
        <f>Data_nieuwveer!F111/(Data_nieuwveer!E111-Data_nieuwveer!F111)</f>
        <v>1.4759970457902511</v>
      </c>
      <c r="F111" s="46">
        <f t="shared" si="44"/>
        <v>2</v>
      </c>
      <c r="G111" s="48">
        <f>F111/(MAX(F109:F112)+1)</f>
        <v>0.5</v>
      </c>
      <c r="H111" s="49">
        <f>E109*(1-G111)+E113*G111</f>
        <v>2723</v>
      </c>
      <c r="J111" s="46">
        <f t="shared" si="53"/>
        <v>2</v>
      </c>
      <c r="K111" s="48">
        <f>J111/(MAX(J109:J112)+1)</f>
        <v>0.5</v>
      </c>
      <c r="L111" s="49">
        <f>I109*(1-K111)+I113*K111</f>
        <v>2195.1240000000003</v>
      </c>
      <c r="N111" s="45"/>
      <c r="O111" s="46">
        <f t="shared" si="58"/>
        <v>3</v>
      </c>
      <c r="P111" s="48">
        <f t="shared" si="60"/>
        <v>0.5</v>
      </c>
      <c r="Q111" s="49">
        <f t="shared" si="61"/>
        <v>50</v>
      </c>
      <c r="R111" s="45"/>
      <c r="S111" s="46">
        <f t="shared" si="59"/>
        <v>3</v>
      </c>
      <c r="T111" s="48">
        <f t="shared" si="62"/>
        <v>0.42857142857142855</v>
      </c>
      <c r="U111" s="49">
        <f t="shared" si="63"/>
        <v>9367.7142857142862</v>
      </c>
      <c r="W111" s="47"/>
      <c r="X111" s="90"/>
      <c r="Y111" s="90"/>
      <c r="Z111" s="80">
        <f>$B$1/(Data_nieuwveer!E111+Data_nieuwveer!U111)</f>
        <v>2.2930693289856738E-2</v>
      </c>
      <c r="AA111" s="42"/>
      <c r="AB111" s="42"/>
      <c r="AC111" s="42"/>
      <c r="AD111" s="42"/>
      <c r="AF111" s="21"/>
      <c r="AT111" s="6"/>
      <c r="AU111"/>
      <c r="AV111"/>
      <c r="AW111"/>
    </row>
    <row r="112" spans="1:49" x14ac:dyDescent="0.3">
      <c r="A112" s="2">
        <f>Data_nieuwveer!A112</f>
        <v>41651</v>
      </c>
      <c r="D112">
        <f>Data_nieuwveer!F112/(Data_nieuwveer!E112-Data_nieuwveer!F112)</f>
        <v>1.9038377890052531</v>
      </c>
      <c r="F112" s="46">
        <f t="shared" si="44"/>
        <v>3</v>
      </c>
      <c r="G112" s="48">
        <f>F112/(MAX(F109:F112)+1)</f>
        <v>0.75</v>
      </c>
      <c r="H112" s="49">
        <f>E109*(1-G112)+E113*G112</f>
        <v>2819.5</v>
      </c>
      <c r="J112" s="46">
        <f t="shared" si="53"/>
        <v>3</v>
      </c>
      <c r="K112" s="48">
        <f>J112/(MAX(J109:J112)+1)</f>
        <v>0.75</v>
      </c>
      <c r="L112" s="49">
        <f>I109*(1-K112)+I113*K112</f>
        <v>2275.6260000000002</v>
      </c>
      <c r="N112" s="45"/>
      <c r="O112" s="46">
        <f t="shared" si="58"/>
        <v>4</v>
      </c>
      <c r="P112" s="48">
        <f t="shared" si="60"/>
        <v>0.66666666666666663</v>
      </c>
      <c r="Q112" s="49">
        <f t="shared" si="61"/>
        <v>49.666666666666671</v>
      </c>
      <c r="R112" s="45"/>
      <c r="S112" s="46">
        <f t="shared" si="59"/>
        <v>4</v>
      </c>
      <c r="T112" s="48">
        <f t="shared" si="62"/>
        <v>0.5714285714285714</v>
      </c>
      <c r="U112" s="49">
        <f t="shared" si="63"/>
        <v>9435.2857142857138</v>
      </c>
      <c r="W112" s="47"/>
      <c r="X112" s="90"/>
      <c r="Y112" s="90"/>
      <c r="Z112" s="80">
        <f>$B$1/(Data_nieuwveer!E112+Data_nieuwveer!U112)</f>
        <v>1.9637034661890939E-2</v>
      </c>
      <c r="AA112" s="42"/>
      <c r="AB112" s="42"/>
      <c r="AC112" s="42"/>
      <c r="AD112" s="42"/>
      <c r="AF112" s="21"/>
      <c r="AT112" s="6"/>
      <c r="AU112"/>
      <c r="AV112"/>
      <c r="AW112"/>
    </row>
    <row r="113" spans="1:49" x14ac:dyDescent="0.3">
      <c r="A113" s="2">
        <f>Data_nieuwveer!A113</f>
        <v>41652</v>
      </c>
      <c r="D113">
        <f>Data_nieuwveer!F113/(Data_nieuwveer!E113-Data_nieuwveer!F113)</f>
        <v>1.5054824947995629</v>
      </c>
      <c r="E113" s="86">
        <f>Data_nieuwveer!AF113</f>
        <v>2916</v>
      </c>
      <c r="F113" s="46">
        <f t="shared" si="44"/>
        <v>0</v>
      </c>
      <c r="G113" s="48">
        <f>F113/(MAX(F113:F116)+1)</f>
        <v>0</v>
      </c>
      <c r="H113" s="49">
        <f>E113*(1-G113)+E117*G113</f>
        <v>2916</v>
      </c>
      <c r="I113" s="24">
        <f>E113*(1-Data_nieuwveer!AG113/100)</f>
        <v>2356.1280000000002</v>
      </c>
      <c r="J113" s="46">
        <f t="shared" si="53"/>
        <v>0</v>
      </c>
      <c r="K113" s="48">
        <f>J113/(MAX(J113:J116)+1)</f>
        <v>0</v>
      </c>
      <c r="L113" s="49">
        <f>I113*(1-K113)+I117*K113</f>
        <v>2356.1280000000002</v>
      </c>
      <c r="M113" s="24">
        <f>I113/E113</f>
        <v>0.80800000000000005</v>
      </c>
      <c r="N113" s="45"/>
      <c r="O113" s="46">
        <f t="shared" si="58"/>
        <v>5</v>
      </c>
      <c r="P113" s="48">
        <f t="shared" si="60"/>
        <v>0.83333333333333337</v>
      </c>
      <c r="Q113" s="49">
        <f t="shared" si="61"/>
        <v>49.333333333333336</v>
      </c>
      <c r="R113" s="45"/>
      <c r="S113" s="46">
        <f t="shared" si="59"/>
        <v>5</v>
      </c>
      <c r="T113" s="48">
        <f t="shared" si="62"/>
        <v>0.7142857142857143</v>
      </c>
      <c r="U113" s="49">
        <f t="shared" si="63"/>
        <v>9502.8571428571431</v>
      </c>
      <c r="W113" s="47"/>
      <c r="X113" s="90"/>
      <c r="Y113" s="90"/>
      <c r="Z113" s="80">
        <f>$B$1/(Data_nieuwveer!E113+Data_nieuwveer!U113)</f>
        <v>2.385878327022117E-2</v>
      </c>
      <c r="AA113" s="42"/>
      <c r="AB113" s="42"/>
      <c r="AC113" s="42"/>
      <c r="AD113" s="42"/>
      <c r="AF113" s="21"/>
      <c r="AT113" s="6"/>
      <c r="AU113"/>
      <c r="AV113"/>
      <c r="AW113"/>
    </row>
    <row r="114" spans="1:49" x14ac:dyDescent="0.3">
      <c r="A114" s="2">
        <f>Data_nieuwveer!A114</f>
        <v>41653</v>
      </c>
      <c r="C114">
        <f>Data_nieuwveer!P114*'Edited data A'!$B$8</f>
        <v>96.130228091236489</v>
      </c>
      <c r="D114">
        <f>Data_nieuwveer!F114/(Data_nieuwveer!E114-Data_nieuwveer!F114)</f>
        <v>1.0597596738430728</v>
      </c>
      <c r="F114" s="46">
        <f t="shared" si="44"/>
        <v>1</v>
      </c>
      <c r="G114" s="48">
        <f>F114/(MAX(F113:F116)+1)</f>
        <v>0.25</v>
      </c>
      <c r="H114" s="49">
        <f>E113*(1-G114)+E117*G114</f>
        <v>2929.5</v>
      </c>
      <c r="J114" s="46">
        <f t="shared" si="53"/>
        <v>1</v>
      </c>
      <c r="K114" s="48">
        <f>J114/(MAX(J113:J116)+1)</f>
        <v>0.25</v>
      </c>
      <c r="L114" s="49">
        <f>I113*(1-K114)+I117*K114</f>
        <v>2352.9285</v>
      </c>
      <c r="N114" s="45">
        <f>Data_nieuwveer!AV114</f>
        <v>49</v>
      </c>
      <c r="O114" s="46">
        <f t="shared" si="58"/>
        <v>0</v>
      </c>
      <c r="P114" s="48">
        <f t="shared" ref="P114:P119" si="64">O114/(MAX(O$114:O$119)+1)</f>
        <v>0</v>
      </c>
      <c r="Q114" s="49">
        <f t="shared" ref="Q114:Q119" si="65">N$114*(1-P114)+N$120*P114</f>
        <v>49</v>
      </c>
      <c r="R114" s="45"/>
      <c r="S114" s="46">
        <f t="shared" si="59"/>
        <v>6</v>
      </c>
      <c r="T114" s="48">
        <f t="shared" si="62"/>
        <v>0.8571428571428571</v>
      </c>
      <c r="U114" s="49">
        <f t="shared" si="63"/>
        <v>9570.4285714285725</v>
      </c>
      <c r="V114">
        <f>(Data_nieuwveer!E114*C114)/(L114*$B$1)</f>
        <v>1.3446150766501686</v>
      </c>
      <c r="W114" s="47">
        <f>($B$1+$B$3)*H114/(Data_nieuwveer!AL114*'Edited data A'!U114+Data_nieuwveer!AQ114*'Edited data A'!Q114)</f>
        <v>1.8484849798000944</v>
      </c>
      <c r="X114" s="90">
        <f>($B$1*H114)/(Data_nieuwveer!AL114*'Edited data A'!U114+Data_nieuwveer!AQ114*'Edited data A'!N114)</f>
        <v>0.42505074760530387</v>
      </c>
      <c r="Y114" s="90">
        <f>X114*$B$2</f>
        <v>0.21252537380265193</v>
      </c>
      <c r="Z114" s="80">
        <f>$B$1/(Data_nieuwveer!E114+Data_nieuwveer!U114)</f>
        <v>2.9312269257480438E-2</v>
      </c>
      <c r="AA114" s="42">
        <f>Data_nieuwveer!E114*Data_nieuwveer!P114/1000</f>
        <v>27645.599999999999</v>
      </c>
      <c r="AB114" s="42">
        <f>Data_nieuwveer!AQ114*Data_nieuwveer!AR114/1000</f>
        <v>14098.191000000001</v>
      </c>
      <c r="AC114" s="42">
        <f>Data_nieuwveer!AQ114*Data_nieuwveer!AR114/1000/B$5</f>
        <v>5087.3226661924846</v>
      </c>
      <c r="AD114" s="42">
        <f>Data_nieuwveer!AL114*Data_nieuwveer!AR114/B$5/1000</f>
        <v>83.096381909622679</v>
      </c>
      <c r="AE114">
        <f>((H114-H113)*($B$1+B$3)+Data_nieuwveer!AQ114*N114+U114*Data_nieuwveer!AL114)/(AA114*1000-(AC114+AD114)*1000)</f>
        <v>1.0824338769791788</v>
      </c>
      <c r="AF114" s="21">
        <f>(AA114-AB114)/AA114</f>
        <v>0.49003852330931497</v>
      </c>
      <c r="AT114" s="6"/>
      <c r="AU114"/>
      <c r="AV114"/>
      <c r="AW114"/>
    </row>
    <row r="115" spans="1:49" x14ac:dyDescent="0.3">
      <c r="A115" s="2">
        <f>Data_nieuwveer!A115</f>
        <v>41654</v>
      </c>
      <c r="D115">
        <f>Data_nieuwveer!F115/(Data_nieuwveer!E115-Data_nieuwveer!F115)</f>
        <v>0.98726647994687144</v>
      </c>
      <c r="F115" s="46">
        <f t="shared" si="44"/>
        <v>2</v>
      </c>
      <c r="G115" s="48">
        <f>F115/(MAX(F113:F116)+1)</f>
        <v>0.5</v>
      </c>
      <c r="H115" s="49">
        <f>E113*(1-G115)+E117*G115</f>
        <v>2943</v>
      </c>
      <c r="J115" s="46">
        <f t="shared" si="53"/>
        <v>2</v>
      </c>
      <c r="K115" s="48">
        <f>J115/(MAX(J113:J116)+1)</f>
        <v>0.5</v>
      </c>
      <c r="L115" s="49">
        <f>I113*(1-K115)+I117*K115</f>
        <v>2349.7290000000003</v>
      </c>
      <c r="N115" s="45"/>
      <c r="O115" s="46">
        <f t="shared" si="58"/>
        <v>1</v>
      </c>
      <c r="P115" s="48">
        <f t="shared" si="64"/>
        <v>0.16666666666666666</v>
      </c>
      <c r="Q115" s="49">
        <f t="shared" si="65"/>
        <v>47.833333333333336</v>
      </c>
      <c r="R115" s="45">
        <f>Data_nieuwveer!AN115*B$4</f>
        <v>9638</v>
      </c>
      <c r="S115" s="46">
        <f t="shared" si="59"/>
        <v>0</v>
      </c>
      <c r="T115" s="48">
        <f t="shared" ref="T115:T121" si="66">S115/(MAX(S$115:S$121)+1)</f>
        <v>0</v>
      </c>
      <c r="U115" s="49">
        <f t="shared" ref="U115:U121" si="67">R$115*(1-T115)+R$122*T115</f>
        <v>9638</v>
      </c>
      <c r="W115" s="47"/>
      <c r="X115" s="90"/>
      <c r="Y115" s="90"/>
      <c r="Z115" s="80">
        <f>$B$1/(Data_nieuwveer!E115+Data_nieuwveer!U115)</f>
        <v>2.4619371330284866E-2</v>
      </c>
      <c r="AA115" s="42"/>
      <c r="AB115" s="42"/>
      <c r="AC115" s="42"/>
      <c r="AD115" s="42"/>
      <c r="AF115" s="21"/>
      <c r="AT115" s="6"/>
      <c r="AU115"/>
      <c r="AV115"/>
      <c r="AW115"/>
    </row>
    <row r="116" spans="1:49" x14ac:dyDescent="0.3">
      <c r="A116" s="2">
        <f>Data_nieuwveer!A116</f>
        <v>41655</v>
      </c>
      <c r="D116">
        <f>Data_nieuwveer!F116/(Data_nieuwveer!E116-Data_nieuwveer!F116)</f>
        <v>0.56384046541163935</v>
      </c>
      <c r="F116" s="46">
        <f t="shared" si="44"/>
        <v>3</v>
      </c>
      <c r="G116" s="48">
        <f>F116/(MAX(F113:F116)+1)</f>
        <v>0.75</v>
      </c>
      <c r="H116" s="49">
        <f>E113*(1-G116)+E117*G116</f>
        <v>2956.5</v>
      </c>
      <c r="J116" s="46">
        <f t="shared" si="53"/>
        <v>3</v>
      </c>
      <c r="K116" s="48">
        <f>J116/(MAX(J113:J116)+1)</f>
        <v>0.75</v>
      </c>
      <c r="L116" s="49">
        <f>I113*(1-K116)+I117*K116</f>
        <v>2346.5295000000001</v>
      </c>
      <c r="N116" s="45"/>
      <c r="O116" s="46">
        <f t="shared" si="58"/>
        <v>2</v>
      </c>
      <c r="P116" s="48">
        <f t="shared" si="64"/>
        <v>0.33333333333333331</v>
      </c>
      <c r="Q116" s="49">
        <f t="shared" si="65"/>
        <v>46.666666666666671</v>
      </c>
      <c r="R116" s="45"/>
      <c r="S116" s="46">
        <f t="shared" si="59"/>
        <v>1</v>
      </c>
      <c r="T116" s="48">
        <f t="shared" si="66"/>
        <v>0.14285714285714285</v>
      </c>
      <c r="U116" s="49">
        <f t="shared" si="67"/>
        <v>9571.4285714285706</v>
      </c>
      <c r="W116" s="47"/>
      <c r="X116" s="90"/>
      <c r="Y116" s="90"/>
      <c r="Z116" s="80">
        <f>$B$1/(Data_nieuwveer!E116+Data_nieuwveer!U116)</f>
        <v>2.2211567721007481E-2</v>
      </c>
      <c r="AA116" s="42"/>
      <c r="AB116" s="42"/>
      <c r="AC116" s="42"/>
      <c r="AD116" s="42"/>
      <c r="AF116" s="21"/>
      <c r="AT116" s="6"/>
      <c r="AU116"/>
      <c r="AV116"/>
      <c r="AW116"/>
    </row>
    <row r="117" spans="1:49" x14ac:dyDescent="0.3">
      <c r="A117" s="2">
        <f>Data_nieuwveer!A117</f>
        <v>41656</v>
      </c>
      <c r="D117">
        <f>Data_nieuwveer!F117/(Data_nieuwveer!E117-Data_nieuwveer!F117)</f>
        <v>6.6666666666666666E-2</v>
      </c>
      <c r="E117" s="86">
        <f>Data_nieuwveer!AF117</f>
        <v>2970</v>
      </c>
      <c r="F117" s="46">
        <f t="shared" si="44"/>
        <v>0</v>
      </c>
      <c r="G117" s="48">
        <f>F117/(MAX(F117:F119)+1)</f>
        <v>0</v>
      </c>
      <c r="H117" s="49">
        <f>E117*(1-G117)+E120*G117</f>
        <v>2970</v>
      </c>
      <c r="I117" s="24">
        <f>E117*(1-Data_nieuwveer!AG117/100)</f>
        <v>2343.33</v>
      </c>
      <c r="J117" s="46">
        <f t="shared" si="53"/>
        <v>0</v>
      </c>
      <c r="K117" s="48">
        <f>J117/(MAX(J117:J119)+1)</f>
        <v>0</v>
      </c>
      <c r="L117" s="49">
        <f>I117*(1-K117)+I120*K117</f>
        <v>2343.33</v>
      </c>
      <c r="M117" s="24">
        <f>I117/E117</f>
        <v>0.78899999999999992</v>
      </c>
      <c r="N117" s="45"/>
      <c r="O117" s="46">
        <f t="shared" si="58"/>
        <v>3</v>
      </c>
      <c r="P117" s="48">
        <f t="shared" si="64"/>
        <v>0.5</v>
      </c>
      <c r="Q117" s="49">
        <f t="shared" si="65"/>
        <v>45.5</v>
      </c>
      <c r="R117" s="45"/>
      <c r="S117" s="46">
        <f t="shared" si="59"/>
        <v>2</v>
      </c>
      <c r="T117" s="48">
        <f t="shared" si="66"/>
        <v>0.2857142857142857</v>
      </c>
      <c r="U117" s="49">
        <f t="shared" si="67"/>
        <v>9504.8571428571431</v>
      </c>
      <c r="W117" s="47"/>
      <c r="X117" s="90"/>
      <c r="Y117" s="90"/>
      <c r="Z117" s="80">
        <f>$B$1/(Data_nieuwveer!E117+Data_nieuwveer!U117)</f>
        <v>3.6585907631036349E-2</v>
      </c>
      <c r="AA117" s="42"/>
      <c r="AB117" s="42"/>
      <c r="AC117" s="42"/>
      <c r="AD117" s="42"/>
      <c r="AF117" s="21"/>
      <c r="AT117" s="6"/>
      <c r="AU117"/>
      <c r="AV117"/>
      <c r="AW117"/>
    </row>
    <row r="118" spans="1:49" x14ac:dyDescent="0.3">
      <c r="A118" s="2">
        <f>Data_nieuwveer!A118</f>
        <v>41657</v>
      </c>
      <c r="D118">
        <f>Data_nieuwveer!F118/(Data_nieuwveer!E118-Data_nieuwveer!F118)</f>
        <v>0.4</v>
      </c>
      <c r="F118" s="46">
        <f t="shared" si="44"/>
        <v>1</v>
      </c>
      <c r="G118" s="48">
        <f>F118/(MAX(F117:F119)+1)</f>
        <v>0.33333333333333331</v>
      </c>
      <c r="H118" s="49">
        <f>E117*(1-G118)+E120*G118</f>
        <v>2590</v>
      </c>
      <c r="J118" s="46">
        <f t="shared" si="53"/>
        <v>1</v>
      </c>
      <c r="K118" s="48">
        <f>J118/(MAX(J117:J119)+1)</f>
        <v>0.33333333333333331</v>
      </c>
      <c r="L118" s="49">
        <f>I117*(1-K118)+I120*K118</f>
        <v>2055.1</v>
      </c>
      <c r="N118" s="45"/>
      <c r="O118" s="46">
        <f t="shared" si="58"/>
        <v>4</v>
      </c>
      <c r="P118" s="48">
        <f t="shared" si="64"/>
        <v>0.66666666666666663</v>
      </c>
      <c r="Q118" s="49">
        <f t="shared" si="65"/>
        <v>44.333333333333336</v>
      </c>
      <c r="R118" s="45"/>
      <c r="S118" s="46">
        <f t="shared" si="59"/>
        <v>3</v>
      </c>
      <c r="T118" s="48">
        <f t="shared" si="66"/>
        <v>0.42857142857142855</v>
      </c>
      <c r="U118" s="49">
        <f t="shared" si="67"/>
        <v>9438.2857142857138</v>
      </c>
      <c r="W118" s="47"/>
      <c r="X118" s="90"/>
      <c r="Y118" s="90"/>
      <c r="Z118" s="80">
        <f>$B$1/(Data_nieuwveer!E118+Data_nieuwveer!U118)</f>
        <v>1.7453573494504618E-2</v>
      </c>
      <c r="AA118" s="42"/>
      <c r="AB118" s="42"/>
      <c r="AC118" s="42"/>
      <c r="AD118" s="42"/>
      <c r="AF118" s="21"/>
      <c r="AT118" s="6"/>
      <c r="AU118"/>
      <c r="AV118"/>
      <c r="AW118"/>
    </row>
    <row r="119" spans="1:49" x14ac:dyDescent="0.3">
      <c r="A119" s="2">
        <f>Data_nieuwveer!A119</f>
        <v>41658</v>
      </c>
      <c r="D119">
        <f>Data_nieuwveer!F119/(Data_nieuwveer!E119-Data_nieuwveer!F119)</f>
        <v>1.3149885408708939</v>
      </c>
      <c r="F119" s="46">
        <f t="shared" si="44"/>
        <v>2</v>
      </c>
      <c r="G119" s="48">
        <f>F119/(MAX(F117:F119)+1)</f>
        <v>0.66666666666666663</v>
      </c>
      <c r="H119" s="49">
        <f>E117*(1-G119)+E120*G119</f>
        <v>2210</v>
      </c>
      <c r="J119" s="46">
        <f t="shared" si="53"/>
        <v>2</v>
      </c>
      <c r="K119" s="48">
        <f>J119/(MAX(J117:J119)+1)</f>
        <v>0.66666666666666663</v>
      </c>
      <c r="L119" s="49">
        <f>I117*(1-K119)+I120*K119</f>
        <v>1766.87</v>
      </c>
      <c r="N119" s="45"/>
      <c r="O119" s="46">
        <f t="shared" si="58"/>
        <v>5</v>
      </c>
      <c r="P119" s="48">
        <f t="shared" si="64"/>
        <v>0.83333333333333337</v>
      </c>
      <c r="Q119" s="49">
        <f t="shared" si="65"/>
        <v>43.166666666666664</v>
      </c>
      <c r="R119" s="45"/>
      <c r="S119" s="46">
        <f t="shared" si="59"/>
        <v>4</v>
      </c>
      <c r="T119" s="48">
        <f t="shared" si="66"/>
        <v>0.5714285714285714</v>
      </c>
      <c r="U119" s="49">
        <f t="shared" si="67"/>
        <v>9371.7142857142862</v>
      </c>
      <c r="W119" s="47"/>
      <c r="X119" s="90"/>
      <c r="Y119" s="90"/>
      <c r="Z119" s="80">
        <f>$B$1/(Data_nieuwveer!E119+Data_nieuwveer!U119)</f>
        <v>2.2350664038228576E-2</v>
      </c>
      <c r="AA119" s="42"/>
      <c r="AB119" s="42"/>
      <c r="AC119" s="42"/>
      <c r="AD119" s="42"/>
      <c r="AF119" s="21"/>
      <c r="AT119" s="6"/>
      <c r="AU119"/>
      <c r="AV119"/>
      <c r="AW119"/>
    </row>
    <row r="120" spans="1:49" x14ac:dyDescent="0.3">
      <c r="A120" s="2">
        <f>Data_nieuwveer!A120</f>
        <v>41659</v>
      </c>
      <c r="C120">
        <f>Data_nieuwveer!P120*'Edited data A'!$B$8</f>
        <v>80.108523409363741</v>
      </c>
      <c r="D120">
        <f>Data_nieuwveer!F120/(Data_nieuwveer!E120-Data_nieuwveer!F120)</f>
        <v>1.2571656050955413</v>
      </c>
      <c r="E120" s="86">
        <f>Data_nieuwveer!AF120</f>
        <v>1830</v>
      </c>
      <c r="F120" s="46">
        <f t="shared" si="44"/>
        <v>0</v>
      </c>
      <c r="G120" s="48">
        <f>F120/(MAX(F120:F122)+1)</f>
        <v>0</v>
      </c>
      <c r="H120" s="49">
        <f>E120*(1-G120)+E123*G120</f>
        <v>1830</v>
      </c>
      <c r="I120" s="24">
        <f>E120*(1-Data_nieuwveer!AG120/100)</f>
        <v>1478.64</v>
      </c>
      <c r="J120" s="46">
        <f t="shared" si="53"/>
        <v>0</v>
      </c>
      <c r="K120" s="48">
        <f>J120/(MAX(J120:J122)+1)</f>
        <v>0</v>
      </c>
      <c r="L120" s="49">
        <f>I120*(1-K120)+I123*K120</f>
        <v>1478.64</v>
      </c>
      <c r="M120" s="24">
        <f>I120/E120</f>
        <v>0.80800000000000005</v>
      </c>
      <c r="N120" s="45">
        <f>Data_nieuwveer!AV120</f>
        <v>42</v>
      </c>
      <c r="O120" s="46">
        <f t="shared" si="58"/>
        <v>0</v>
      </c>
      <c r="P120" s="48">
        <f t="shared" ref="P120:P125" si="68">O120/(MAX(O$120:O$125)+1)</f>
        <v>0</v>
      </c>
      <c r="Q120" s="49">
        <f t="shared" ref="Q120:Q125" si="69">N$120*(1-P120)+N$126*P120</f>
        <v>42</v>
      </c>
      <c r="R120" s="45"/>
      <c r="S120" s="46">
        <f t="shared" si="59"/>
        <v>5</v>
      </c>
      <c r="T120" s="48">
        <f t="shared" si="66"/>
        <v>0.7142857142857143</v>
      </c>
      <c r="U120" s="49">
        <f t="shared" si="67"/>
        <v>9305.1428571428569</v>
      </c>
      <c r="V120">
        <f>(Data_nieuwveer!E120*C120)/(L120*$B$1)</f>
        <v>2.0186411717746666</v>
      </c>
      <c r="W120" s="47">
        <f>($B$1+$B$3)*H120/(Data_nieuwveer!AL120*'Edited data A'!U120+Data_nieuwveer!AQ120*'Edited data A'!Q120)</f>
        <v>0.92752356909593536</v>
      </c>
      <c r="X120" s="90">
        <f>($B$1*H120)/(Data_nieuwveer!AL120*'Edited data A'!U120+Data_nieuwveer!AQ120*'Edited data A'!N120)</f>
        <v>0.21327984310070125</v>
      </c>
      <c r="Y120" s="90">
        <f>X120*$B$2</f>
        <v>0.10663992155035062</v>
      </c>
      <c r="Z120" s="80">
        <f>$B$1/(Data_nieuwveer!E120+Data_nieuwveer!U120)</f>
        <v>2.584648150001163E-2</v>
      </c>
      <c r="AA120" s="42">
        <f>Data_nieuwveer!E120*Data_nieuwveer!P120/1000</f>
        <v>26082</v>
      </c>
      <c r="AB120" s="42">
        <f>Data_nieuwveer!AQ120*Data_nieuwveer!AR120/1000</f>
        <v>12481.973300000001</v>
      </c>
      <c r="AC120" s="42">
        <f>Data_nieuwveer!AQ120*Data_nieuwveer!AR120/1000/B$5</f>
        <v>4504.1116046661173</v>
      </c>
      <c r="AD120" s="42">
        <f>Data_nieuwveer!AL120*Data_nieuwveer!AR120/B$5/1000</f>
        <v>89.141329754637439</v>
      </c>
      <c r="AE120">
        <f>((H120-H119)*($B$1+B$3)+Data_nieuwveer!AQ120*N120+U120*Data_nieuwveer!AL120)/(AA120*1000-(AC120+AD120)*1000)</f>
        <v>1.1283574260786171</v>
      </c>
      <c r="AF120" s="21">
        <f>(AA120-AB120)/AA120</f>
        <v>0.52143342918487845</v>
      </c>
      <c r="AT120" s="6"/>
      <c r="AU120"/>
      <c r="AV120"/>
      <c r="AW120"/>
    </row>
    <row r="121" spans="1:49" x14ac:dyDescent="0.3">
      <c r="A121" s="2">
        <f>Data_nieuwveer!A121</f>
        <v>41660</v>
      </c>
      <c r="D121">
        <f>Data_nieuwveer!F121/(Data_nieuwveer!E121-Data_nieuwveer!F121)</f>
        <v>0.37394508124448922</v>
      </c>
      <c r="F121" s="46">
        <f t="shared" si="44"/>
        <v>1</v>
      </c>
      <c r="G121" s="48">
        <f>F121/(MAX(F120:F122)+1)</f>
        <v>0.33333333333333331</v>
      </c>
      <c r="H121" s="49">
        <f>E120*(1-G121)+E123*G121</f>
        <v>1953.3333333333335</v>
      </c>
      <c r="J121" s="46">
        <f t="shared" si="53"/>
        <v>1</v>
      </c>
      <c r="K121" s="48">
        <f>J121/(MAX(J120:J122)+1)</f>
        <v>0.33333333333333331</v>
      </c>
      <c r="L121" s="49">
        <f>I120*(1-K121)+I123*K121</f>
        <v>1600.2933333333335</v>
      </c>
      <c r="N121" s="45"/>
      <c r="O121" s="46">
        <f t="shared" si="58"/>
        <v>1</v>
      </c>
      <c r="P121" s="48">
        <f t="shared" si="68"/>
        <v>0.16666666666666666</v>
      </c>
      <c r="Q121" s="49">
        <f t="shared" si="69"/>
        <v>46.666666666666664</v>
      </c>
      <c r="R121" s="45"/>
      <c r="S121" s="46">
        <f t="shared" si="59"/>
        <v>6</v>
      </c>
      <c r="T121" s="48">
        <f t="shared" si="66"/>
        <v>0.8571428571428571</v>
      </c>
      <c r="U121" s="49">
        <f t="shared" si="67"/>
        <v>9238.5714285714294</v>
      </c>
      <c r="W121" s="47"/>
      <c r="X121" s="90"/>
      <c r="Y121" s="90"/>
      <c r="Z121" s="80">
        <f>$B$1/(Data_nieuwveer!E121+Data_nieuwveer!U121)</f>
        <v>1.9506605493951838E-2</v>
      </c>
      <c r="AA121" s="42"/>
      <c r="AB121" s="42"/>
      <c r="AC121" s="42"/>
      <c r="AD121" s="42"/>
      <c r="AF121" s="21"/>
      <c r="AT121" s="6"/>
      <c r="AU121"/>
      <c r="AV121"/>
      <c r="AW121"/>
    </row>
    <row r="122" spans="1:49" x14ac:dyDescent="0.3">
      <c r="A122" s="2">
        <f>Data_nieuwveer!A122</f>
        <v>41661</v>
      </c>
      <c r="D122">
        <f>Data_nieuwveer!F122/(Data_nieuwveer!E122-Data_nieuwveer!F122)</f>
        <v>0.83742331288343563</v>
      </c>
      <c r="F122" s="46">
        <f t="shared" si="44"/>
        <v>2</v>
      </c>
      <c r="G122" s="48">
        <f>F122/(MAX(F120:F122)+1)</f>
        <v>0.66666666666666663</v>
      </c>
      <c r="H122" s="49">
        <f>E120*(1-G122)+E123*G122</f>
        <v>2076.6666666666665</v>
      </c>
      <c r="J122" s="46">
        <f t="shared" si="53"/>
        <v>2</v>
      </c>
      <c r="K122" s="48">
        <f>J122/(MAX(J120:J122)+1)</f>
        <v>0.66666666666666663</v>
      </c>
      <c r="L122" s="49">
        <f>I120*(1-K122)+I123*K122</f>
        <v>1721.9466666666667</v>
      </c>
      <c r="N122" s="45"/>
      <c r="O122" s="46">
        <f t="shared" si="58"/>
        <v>2</v>
      </c>
      <c r="P122" s="48">
        <f t="shared" si="68"/>
        <v>0.33333333333333331</v>
      </c>
      <c r="Q122" s="49">
        <f t="shared" si="69"/>
        <v>51.333333333333336</v>
      </c>
      <c r="R122" s="45">
        <f>Data_nieuwveer!AN122*B$4</f>
        <v>9172</v>
      </c>
      <c r="S122" s="46">
        <f t="shared" si="59"/>
        <v>0</v>
      </c>
      <c r="T122" s="48">
        <f t="shared" ref="T122:T135" si="70">S122/(MAX(S$122:S$135)+1)</f>
        <v>0</v>
      </c>
      <c r="U122" s="49">
        <f t="shared" ref="U122:U135" si="71">R$122*(1-T122)+R$136*T122</f>
        <v>9172</v>
      </c>
      <c r="W122" s="47"/>
      <c r="X122" s="90"/>
      <c r="Y122" s="90"/>
      <c r="Z122" s="80">
        <f>$B$1/(Data_nieuwveer!E122+Data_nieuwveer!U122)</f>
        <v>2.8123326410977416E-2</v>
      </c>
      <c r="AA122" s="42"/>
      <c r="AB122" s="42"/>
      <c r="AC122" s="42"/>
      <c r="AD122" s="42"/>
      <c r="AF122" s="21"/>
      <c r="AT122" s="6"/>
      <c r="AU122"/>
      <c r="AV122"/>
      <c r="AW122"/>
    </row>
    <row r="123" spans="1:49" x14ac:dyDescent="0.3">
      <c r="A123" s="2">
        <f>Data_nieuwveer!A123</f>
        <v>41662</v>
      </c>
      <c r="D123">
        <f>Data_nieuwveer!F123/(Data_nieuwveer!E123-Data_nieuwveer!F123)</f>
        <v>1.1895093062605753</v>
      </c>
      <c r="E123" s="86">
        <f>Data_nieuwveer!AF123</f>
        <v>2200</v>
      </c>
      <c r="F123" s="46">
        <f t="shared" si="44"/>
        <v>0</v>
      </c>
      <c r="G123" s="48">
        <f>F123/(MAX(F123:F126)+1)</f>
        <v>0</v>
      </c>
      <c r="H123" s="49">
        <f>E123*(1-G123)+E127*G123</f>
        <v>2200</v>
      </c>
      <c r="I123" s="24">
        <f>E123*(1-Data_nieuwveer!AG123/100)</f>
        <v>1843.6</v>
      </c>
      <c r="J123" s="46">
        <f t="shared" si="53"/>
        <v>0</v>
      </c>
      <c r="K123" s="48">
        <f>J123/(MAX(J123:J126)+1)</f>
        <v>0</v>
      </c>
      <c r="L123" s="49">
        <f>I123*(1-K123)+I127*K123</f>
        <v>1843.6</v>
      </c>
      <c r="M123" s="24">
        <f>I123/E123</f>
        <v>0.83799999999999997</v>
      </c>
      <c r="N123" s="45"/>
      <c r="O123" s="46">
        <f t="shared" si="58"/>
        <v>3</v>
      </c>
      <c r="P123" s="48">
        <f t="shared" si="68"/>
        <v>0.5</v>
      </c>
      <c r="Q123" s="49">
        <f t="shared" si="69"/>
        <v>56</v>
      </c>
      <c r="R123" s="45"/>
      <c r="S123" s="46">
        <f t="shared" si="59"/>
        <v>1</v>
      </c>
      <c r="T123" s="48">
        <f t="shared" si="70"/>
        <v>7.1428571428571425E-2</v>
      </c>
      <c r="U123" s="49">
        <f t="shared" si="71"/>
        <v>9114.3571428571431</v>
      </c>
      <c r="W123" s="47"/>
      <c r="X123" s="90"/>
      <c r="Y123" s="90"/>
      <c r="Z123" s="80">
        <f>$B$1/(Data_nieuwveer!E123+Data_nieuwveer!U123)</f>
        <v>2.6317540678458682E-2</v>
      </c>
      <c r="AA123" s="42"/>
      <c r="AB123" s="42"/>
      <c r="AC123" s="42"/>
      <c r="AD123" s="42"/>
      <c r="AF123" s="21"/>
      <c r="AT123" s="6"/>
      <c r="AU123"/>
      <c r="AV123"/>
      <c r="AW123"/>
    </row>
    <row r="124" spans="1:49" x14ac:dyDescent="0.3">
      <c r="A124" s="2">
        <f>Data_nieuwveer!A124</f>
        <v>41663</v>
      </c>
      <c r="D124">
        <f>Data_nieuwveer!F124/(Data_nieuwveer!E124-Data_nieuwveer!F124)</f>
        <v>0.29152166829586185</v>
      </c>
      <c r="F124" s="46">
        <f t="shared" si="44"/>
        <v>1</v>
      </c>
      <c r="G124" s="48">
        <f>F124/(MAX(F123:F126)+1)</f>
        <v>0.25</v>
      </c>
      <c r="H124" s="49">
        <f>E123*(1-G124)+E127*G124</f>
        <v>2498.25</v>
      </c>
      <c r="J124" s="46">
        <f t="shared" si="53"/>
        <v>1</v>
      </c>
      <c r="K124" s="48">
        <f>J124/(MAX(J123:J126)+1)</f>
        <v>0.25</v>
      </c>
      <c r="L124" s="49">
        <f>I123*(1-K124)+I127*K124</f>
        <v>2047.7279999999998</v>
      </c>
      <c r="N124" s="45"/>
      <c r="O124" s="46">
        <f t="shared" si="58"/>
        <v>4</v>
      </c>
      <c r="P124" s="48">
        <f t="shared" si="68"/>
        <v>0.66666666666666663</v>
      </c>
      <c r="Q124" s="49">
        <f t="shared" si="69"/>
        <v>60.666666666666664</v>
      </c>
      <c r="R124" s="45"/>
      <c r="S124" s="46">
        <f t="shared" si="59"/>
        <v>2</v>
      </c>
      <c r="T124" s="48">
        <f t="shared" si="70"/>
        <v>0.14285714285714285</v>
      </c>
      <c r="U124" s="49">
        <f t="shared" si="71"/>
        <v>9056.7142857142862</v>
      </c>
      <c r="W124" s="47"/>
      <c r="X124" s="90"/>
      <c r="Y124" s="90"/>
      <c r="Z124" s="80">
        <f>$B$1/(Data_nieuwveer!E124+Data_nieuwveer!U124)</f>
        <v>1.7342272035834088E-2</v>
      </c>
      <c r="AA124" s="42"/>
      <c r="AB124" s="42"/>
      <c r="AC124" s="42"/>
      <c r="AD124" s="42"/>
      <c r="AF124" s="21"/>
      <c r="AT124" s="6"/>
      <c r="AU124"/>
      <c r="AV124"/>
      <c r="AW124"/>
    </row>
    <row r="125" spans="1:49" x14ac:dyDescent="0.3">
      <c r="A125" s="2">
        <f>Data_nieuwveer!A125</f>
        <v>41664</v>
      </c>
      <c r="D125">
        <f>Data_nieuwveer!F125/(Data_nieuwveer!E125-Data_nieuwveer!F125)</f>
        <v>0.95084967320261438</v>
      </c>
      <c r="F125" s="46">
        <f t="shared" si="44"/>
        <v>2</v>
      </c>
      <c r="G125" s="48">
        <f>F125/(MAX(F123:F126)+1)</f>
        <v>0.5</v>
      </c>
      <c r="H125" s="49">
        <f>E123*(1-G125)+E127*G125</f>
        <v>2796.5</v>
      </c>
      <c r="J125" s="46">
        <f t="shared" si="53"/>
        <v>2</v>
      </c>
      <c r="K125" s="48">
        <f>J125/(MAX(J123:J126)+1)</f>
        <v>0.5</v>
      </c>
      <c r="L125" s="49">
        <f>I123*(1-K125)+I127*K125</f>
        <v>2251.8559999999998</v>
      </c>
      <c r="N125" s="45"/>
      <c r="O125" s="46">
        <f t="shared" si="58"/>
        <v>5</v>
      </c>
      <c r="P125" s="48">
        <f t="shared" si="68"/>
        <v>0.83333333333333337</v>
      </c>
      <c r="Q125" s="49">
        <f t="shared" si="69"/>
        <v>65.333333333333329</v>
      </c>
      <c r="R125" s="45"/>
      <c r="S125" s="46">
        <f t="shared" si="59"/>
        <v>3</v>
      </c>
      <c r="T125" s="48">
        <f t="shared" si="70"/>
        <v>0.21428571428571427</v>
      </c>
      <c r="U125" s="49">
        <f t="shared" si="71"/>
        <v>8999.0714285714275</v>
      </c>
      <c r="W125" s="47"/>
      <c r="X125" s="90"/>
      <c r="Y125" s="90"/>
      <c r="Z125" s="80">
        <f>$B$1/(Data_nieuwveer!E125+Data_nieuwveer!U125)</f>
        <v>2.522630700199396E-2</v>
      </c>
      <c r="AA125" s="42"/>
      <c r="AB125" s="42"/>
      <c r="AC125" s="42"/>
      <c r="AD125" s="42"/>
      <c r="AF125" s="21"/>
      <c r="AT125" s="6"/>
      <c r="AU125"/>
      <c r="AV125"/>
      <c r="AW125"/>
    </row>
    <row r="126" spans="1:49" x14ac:dyDescent="0.3">
      <c r="A126" s="2">
        <f>Data_nieuwveer!A126</f>
        <v>41665</v>
      </c>
      <c r="C126">
        <f>Data_nieuwveer!P126*'Edited data A'!$B$8</f>
        <v>116.15735894357742</v>
      </c>
      <c r="D126">
        <f>Data_nieuwveer!F126/(Data_nieuwveer!E126-Data_nieuwveer!F126)</f>
        <v>0.29993229519295872</v>
      </c>
      <c r="F126" s="46">
        <f t="shared" si="44"/>
        <v>3</v>
      </c>
      <c r="G126" s="48">
        <f>F126/(MAX(F123:F126)+1)</f>
        <v>0.75</v>
      </c>
      <c r="H126" s="49">
        <f>E123*(1-G126)+E127*G126</f>
        <v>3094.75</v>
      </c>
      <c r="J126" s="46">
        <f t="shared" si="53"/>
        <v>3</v>
      </c>
      <c r="K126" s="48">
        <f>J126/(MAX(J123:J126)+1)</f>
        <v>0.75</v>
      </c>
      <c r="L126" s="49">
        <f>I123*(1-K126)+I127*K126</f>
        <v>2455.9839999999999</v>
      </c>
      <c r="N126" s="45">
        <f>Data_nieuwveer!AV126</f>
        <v>70</v>
      </c>
      <c r="O126" s="46">
        <f t="shared" si="58"/>
        <v>0</v>
      </c>
      <c r="P126" s="48">
        <f t="shared" ref="P126:P131" si="72">O126/(MAX(O$126:O$131)+1)</f>
        <v>0</v>
      </c>
      <c r="Q126" s="49">
        <f t="shared" ref="Q126:Q131" si="73">N$126*(1-P126)+N$132*P126</f>
        <v>70</v>
      </c>
      <c r="R126" s="45"/>
      <c r="S126" s="46">
        <f t="shared" si="59"/>
        <v>4</v>
      </c>
      <c r="T126" s="48">
        <f t="shared" si="70"/>
        <v>0.2857142857142857</v>
      </c>
      <c r="U126" s="49">
        <f t="shared" si="71"/>
        <v>8941.4285714285725</v>
      </c>
      <c r="V126">
        <f>(Data_nieuwveer!E126*C126)/(L126*$B$1)</f>
        <v>2.5945042123549045</v>
      </c>
      <c r="W126" s="47">
        <f>($B$1+$B$3)*H126/(Data_nieuwveer!AL126*'Edited data A'!U126+Data_nieuwveer!AQ126*'Edited data A'!Q126)</f>
        <v>1.5353152562328682</v>
      </c>
      <c r="X126" s="90">
        <f>($B$1*H126)/(Data_nieuwveer!AL126*'Edited data A'!U126+Data_nieuwveer!AQ126*'Edited data A'!N126)</f>
        <v>0.35303878830661845</v>
      </c>
      <c r="Y126" s="90">
        <f>X126*$B$2</f>
        <v>0.17651939415330922</v>
      </c>
      <c r="Z126" s="80">
        <f>$B$1/(Data_nieuwveer!E126+Data_nieuwveer!U126)</f>
        <v>1.7821059757322993E-2</v>
      </c>
      <c r="AA126" s="42">
        <f>Data_nieuwveer!E126*Data_nieuwveer!P126/1000</f>
        <v>55680</v>
      </c>
      <c r="AB126" s="42">
        <f>Data_nieuwveer!AQ126*Data_nieuwveer!AR126/1000</f>
        <v>27228.333999999999</v>
      </c>
      <c r="AC126" s="42">
        <f>Data_nieuwveer!AQ126*Data_nieuwveer!AR126/1000/B$5</f>
        <v>9825.3258677556205</v>
      </c>
      <c r="AD126" s="42">
        <f>Data_nieuwveer!AL126*Data_nieuwveer!AR126/B$5/1000</f>
        <v>96.427960117243884</v>
      </c>
      <c r="AE126">
        <f>((H126-H125)*($B$1+B$3)+Data_nieuwveer!AQ126*N126+U126*Data_nieuwveer!AL126)/(AA126*1000-(AC126+AD126)*1000)</f>
        <v>0.76971442269062373</v>
      </c>
      <c r="AF126" s="21">
        <f>(AA126-AB126)/AA126</f>
        <v>0.51098538074712641</v>
      </c>
      <c r="AT126" s="6"/>
      <c r="AU126"/>
      <c r="AV126"/>
      <c r="AW126"/>
    </row>
    <row r="127" spans="1:49" x14ac:dyDescent="0.3">
      <c r="A127" s="2">
        <f>Data_nieuwveer!A127</f>
        <v>41666</v>
      </c>
      <c r="D127">
        <f>Data_nieuwveer!F127/(Data_nieuwveer!E127-Data_nieuwveer!F127)</f>
        <v>9.9369085173501584E-2</v>
      </c>
      <c r="E127" s="86">
        <f>Data_nieuwveer!AF127</f>
        <v>3393</v>
      </c>
      <c r="F127" s="46">
        <f t="shared" si="44"/>
        <v>0</v>
      </c>
      <c r="G127" s="48">
        <f>F127/(MAX(F127:F129)+1)</f>
        <v>0</v>
      </c>
      <c r="H127" s="49">
        <f>E127*(1-G127)+E130*G127</f>
        <v>3393</v>
      </c>
      <c r="I127" s="24">
        <f>E127*(1-Data_nieuwveer!AG127/100)</f>
        <v>2660.1120000000001</v>
      </c>
      <c r="J127" s="46">
        <f t="shared" si="53"/>
        <v>0</v>
      </c>
      <c r="K127" s="48">
        <f>J127/(MAX(J127:J129)+1)</f>
        <v>0</v>
      </c>
      <c r="L127" s="49">
        <f>I127*(1-K127)+I130*K127</f>
        <v>2660.1120000000001</v>
      </c>
      <c r="M127" s="24">
        <f>I127/E127</f>
        <v>0.78400000000000003</v>
      </c>
      <c r="N127" s="45"/>
      <c r="O127" s="46">
        <f t="shared" si="58"/>
        <v>1</v>
      </c>
      <c r="P127" s="48">
        <f t="shared" si="72"/>
        <v>0.16666666666666666</v>
      </c>
      <c r="Q127" s="49">
        <f t="shared" si="73"/>
        <v>65.166666666666671</v>
      </c>
      <c r="R127" s="45"/>
      <c r="S127" s="46">
        <f t="shared" si="59"/>
        <v>5</v>
      </c>
      <c r="T127" s="48">
        <f t="shared" si="70"/>
        <v>0.35714285714285715</v>
      </c>
      <c r="U127" s="49">
        <f t="shared" si="71"/>
        <v>8883.7857142857138</v>
      </c>
      <c r="W127" s="47"/>
      <c r="X127" s="90"/>
      <c r="Y127" s="90"/>
      <c r="Z127" s="80">
        <f>$B$1/(Data_nieuwveer!E127+Data_nieuwveer!U127)</f>
        <v>1.6413488604935536E-2</v>
      </c>
      <c r="AA127" s="42"/>
      <c r="AB127" s="42"/>
      <c r="AC127" s="42"/>
      <c r="AD127" s="42"/>
      <c r="AF127" s="21"/>
      <c r="AT127" s="6"/>
      <c r="AU127"/>
      <c r="AV127"/>
      <c r="AW127"/>
    </row>
    <row r="128" spans="1:49" x14ac:dyDescent="0.3">
      <c r="A128" s="2">
        <f>Data_nieuwveer!A128</f>
        <v>41667</v>
      </c>
      <c r="D128">
        <f>Data_nieuwveer!F128/(Data_nieuwveer!E128-Data_nieuwveer!F128)</f>
        <v>0.63345961367569337</v>
      </c>
      <c r="F128" s="46">
        <f t="shared" si="44"/>
        <v>1</v>
      </c>
      <c r="G128" s="48">
        <f>F128/(MAX(F127:F129)+1)</f>
        <v>0.33333333333333331</v>
      </c>
      <c r="H128" s="49">
        <f>E127*(1-G128)+E130*G128</f>
        <v>3022.666666666667</v>
      </c>
      <c r="J128" s="46">
        <f t="shared" si="53"/>
        <v>1</v>
      </c>
      <c r="K128" s="48">
        <f>J128/(MAX(J127:J129)+1)</f>
        <v>0.33333333333333331</v>
      </c>
      <c r="L128" s="49">
        <f>I127*(1-K128)+I130*K128</f>
        <v>2378.1380000000004</v>
      </c>
      <c r="N128" s="45"/>
      <c r="O128" s="46">
        <f t="shared" si="58"/>
        <v>2</v>
      </c>
      <c r="P128" s="48">
        <f t="shared" si="72"/>
        <v>0.33333333333333331</v>
      </c>
      <c r="Q128" s="49">
        <f t="shared" si="73"/>
        <v>60.333333333333336</v>
      </c>
      <c r="R128" s="45"/>
      <c r="S128" s="46">
        <f t="shared" si="59"/>
        <v>6</v>
      </c>
      <c r="T128" s="48">
        <f t="shared" si="70"/>
        <v>0.42857142857142855</v>
      </c>
      <c r="U128" s="49">
        <f t="shared" si="71"/>
        <v>8826.1428571428569</v>
      </c>
      <c r="W128" s="47"/>
      <c r="X128" s="90"/>
      <c r="Y128" s="90"/>
      <c r="Z128" s="80">
        <f>$B$1/(Data_nieuwveer!E128+Data_nieuwveer!U128)</f>
        <v>2.4279320401011127E-2</v>
      </c>
      <c r="AA128" s="42"/>
      <c r="AB128" s="42"/>
      <c r="AC128" s="42"/>
      <c r="AD128" s="42"/>
      <c r="AF128" s="21"/>
      <c r="AT128" s="6"/>
      <c r="AU128"/>
      <c r="AV128"/>
      <c r="AW128"/>
    </row>
    <row r="129" spans="1:49" x14ac:dyDescent="0.3">
      <c r="A129" s="16">
        <f>Data_nieuwveer!A129</f>
        <v>41668</v>
      </c>
      <c r="D129">
        <f>Data_nieuwveer!F129/(Data_nieuwveer!E129-Data_nieuwveer!F129)</f>
        <v>0.96528067768299231</v>
      </c>
      <c r="F129" s="46">
        <f t="shared" si="44"/>
        <v>2</v>
      </c>
      <c r="G129" s="48">
        <f>F129/(MAX(F127:F129)+1)</f>
        <v>0.66666666666666663</v>
      </c>
      <c r="H129" s="49">
        <f>E127*(1-G129)+E130*G129</f>
        <v>2652.3333333333335</v>
      </c>
      <c r="J129" s="46">
        <f t="shared" si="53"/>
        <v>2</v>
      </c>
      <c r="K129" s="48">
        <f>J129/(MAX(J127:J129)+1)</f>
        <v>0.66666666666666663</v>
      </c>
      <c r="L129" s="49">
        <f>I127*(1-K129)+I130*K129</f>
        <v>2096.1640000000002</v>
      </c>
      <c r="N129" s="45"/>
      <c r="O129" s="46">
        <f t="shared" si="58"/>
        <v>3</v>
      </c>
      <c r="P129" s="48">
        <f t="shared" si="72"/>
        <v>0.5</v>
      </c>
      <c r="Q129" s="49">
        <f t="shared" si="73"/>
        <v>55.5</v>
      </c>
      <c r="R129" s="45"/>
      <c r="S129" s="46">
        <f t="shared" si="59"/>
        <v>7</v>
      </c>
      <c r="T129" s="48">
        <f t="shared" si="70"/>
        <v>0.5</v>
      </c>
      <c r="U129" s="49">
        <f t="shared" si="71"/>
        <v>8768.5</v>
      </c>
      <c r="W129" s="47"/>
      <c r="X129" s="90"/>
      <c r="Y129" s="90"/>
      <c r="Z129" s="80">
        <f>$B$1/(Data_nieuwveer!E129+Data_nieuwveer!U129)</f>
        <v>2.5692344452123601E-2</v>
      </c>
      <c r="AA129" s="42"/>
      <c r="AB129" s="42"/>
      <c r="AC129" s="42"/>
      <c r="AD129" s="42"/>
      <c r="AF129" s="21"/>
      <c r="AT129" s="6"/>
      <c r="AU129"/>
      <c r="AV129"/>
      <c r="AW129"/>
    </row>
    <row r="130" spans="1:49" x14ac:dyDescent="0.3">
      <c r="A130" s="2">
        <f>Data_nieuwveer!A130</f>
        <v>41669</v>
      </c>
      <c r="D130">
        <f>Data_nieuwveer!F130/(Data_nieuwveer!E130-Data_nieuwveer!F130)</f>
        <v>1.1073547629914586</v>
      </c>
      <c r="E130" s="86">
        <f>Data_nieuwveer!AF130</f>
        <v>2282</v>
      </c>
      <c r="F130" s="46">
        <f t="shared" si="44"/>
        <v>0</v>
      </c>
      <c r="G130" s="48">
        <f>F130/(MAX(F130:F133)+1)</f>
        <v>0</v>
      </c>
      <c r="H130" s="49">
        <f>E130*(1-G130)+E134*G130</f>
        <v>2282</v>
      </c>
      <c r="I130" s="24">
        <f>E130*(1-Data_nieuwveer!AG130/100)</f>
        <v>1814.19</v>
      </c>
      <c r="J130" s="46">
        <f t="shared" si="53"/>
        <v>0</v>
      </c>
      <c r="K130" s="48">
        <f>J130/(MAX(J130:J133)+1)</f>
        <v>0</v>
      </c>
      <c r="L130" s="49">
        <f>I130*(1-K130)+I134*K130</f>
        <v>1814.19</v>
      </c>
      <c r="M130" s="24">
        <f>I130/E130</f>
        <v>0.79500000000000004</v>
      </c>
      <c r="N130" s="45"/>
      <c r="O130" s="46">
        <f t="shared" si="58"/>
        <v>4</v>
      </c>
      <c r="P130" s="48">
        <f t="shared" si="72"/>
        <v>0.66666666666666663</v>
      </c>
      <c r="Q130" s="49">
        <f t="shared" si="73"/>
        <v>50.666666666666671</v>
      </c>
      <c r="R130" s="45"/>
      <c r="S130" s="46">
        <f t="shared" si="59"/>
        <v>8</v>
      </c>
      <c r="T130" s="48">
        <f t="shared" si="70"/>
        <v>0.5714285714285714</v>
      </c>
      <c r="U130" s="49">
        <f t="shared" si="71"/>
        <v>8710.8571428571431</v>
      </c>
      <c r="W130" s="47"/>
      <c r="X130" s="90"/>
      <c r="Y130" s="90"/>
      <c r="Z130" s="80">
        <f>$B$1/(Data_nieuwveer!E130+Data_nieuwveer!U130)</f>
        <v>2.6204714976930492E-2</v>
      </c>
      <c r="AA130" s="42"/>
      <c r="AB130" s="42"/>
      <c r="AC130" s="42"/>
      <c r="AD130" s="42"/>
      <c r="AF130" s="21"/>
      <c r="AT130" s="6"/>
      <c r="AU130"/>
      <c r="AV130"/>
      <c r="AW130"/>
    </row>
    <row r="131" spans="1:49" x14ac:dyDescent="0.3">
      <c r="A131" s="2">
        <f>Data_nieuwveer!A131</f>
        <v>41670</v>
      </c>
      <c r="D131">
        <f>Data_nieuwveer!F131/(Data_nieuwveer!E131-Data_nieuwveer!F131)</f>
        <v>1.2741050706800761</v>
      </c>
      <c r="F131" s="46">
        <f t="shared" si="44"/>
        <v>1</v>
      </c>
      <c r="G131" s="48">
        <f>F131/(MAX(F130:F133)+1)</f>
        <v>0.25</v>
      </c>
      <c r="H131" s="49">
        <f>E130*(1-G131)+E134*G131</f>
        <v>2338</v>
      </c>
      <c r="J131" s="46">
        <f t="shared" si="53"/>
        <v>1</v>
      </c>
      <c r="K131" s="48">
        <f>J131/(MAX(J130:J133)+1)</f>
        <v>0.25</v>
      </c>
      <c r="L131" s="49">
        <f>I130*(1-K131)+I134*K131</f>
        <v>1867.4809999999998</v>
      </c>
      <c r="N131" s="45"/>
      <c r="O131" s="46">
        <f t="shared" si="58"/>
        <v>5</v>
      </c>
      <c r="P131" s="48">
        <f t="shared" si="72"/>
        <v>0.83333333333333337</v>
      </c>
      <c r="Q131" s="49">
        <f t="shared" si="73"/>
        <v>45.833333333333336</v>
      </c>
      <c r="R131" s="45"/>
      <c r="S131" s="46">
        <f t="shared" si="59"/>
        <v>9</v>
      </c>
      <c r="T131" s="48">
        <f t="shared" si="70"/>
        <v>0.6428571428571429</v>
      </c>
      <c r="U131" s="49">
        <f t="shared" si="71"/>
        <v>8653.2142857142862</v>
      </c>
      <c r="W131" s="47"/>
      <c r="X131" s="90"/>
      <c r="Y131" s="90"/>
      <c r="Z131" s="80">
        <f>$B$1/(Data_nieuwveer!E131+Data_nieuwveer!U131)</f>
        <v>2.622844677386358E-2</v>
      </c>
      <c r="AA131" s="42"/>
      <c r="AB131" s="42"/>
      <c r="AC131" s="42"/>
      <c r="AD131" s="42"/>
      <c r="AF131" s="21"/>
      <c r="AT131" s="6"/>
      <c r="AU131"/>
      <c r="AV131"/>
      <c r="AW131"/>
    </row>
    <row r="132" spans="1:49" x14ac:dyDescent="0.3">
      <c r="A132" s="2">
        <f>Data_nieuwveer!A132</f>
        <v>41671</v>
      </c>
      <c r="C132">
        <f>Data_nieuwveer!P132*'Edited data A'!$B$8</f>
        <v>108.14650660264105</v>
      </c>
      <c r="D132">
        <f>Data_nieuwveer!F132/(Data_nieuwveer!E132-Data_nieuwveer!F132)</f>
        <v>0.81690140845070425</v>
      </c>
      <c r="F132" s="46">
        <f t="shared" si="44"/>
        <v>2</v>
      </c>
      <c r="G132" s="48">
        <f>F132/(MAX(F130:F133)+1)</f>
        <v>0.5</v>
      </c>
      <c r="H132" s="49">
        <f>E130*(1-G132)+E134*G132</f>
        <v>2394</v>
      </c>
      <c r="J132" s="46">
        <f t="shared" si="53"/>
        <v>2</v>
      </c>
      <c r="K132" s="48">
        <f>J132/(MAX(J130:J133)+1)</f>
        <v>0.5</v>
      </c>
      <c r="L132" s="49">
        <f>I130*(1-K132)+I134*K132</f>
        <v>1920.7719999999999</v>
      </c>
      <c r="N132" s="45">
        <f>Data_nieuwveer!AV132</f>
        <v>41</v>
      </c>
      <c r="O132" s="46">
        <f t="shared" si="58"/>
        <v>0</v>
      </c>
      <c r="P132" s="48">
        <f t="shared" ref="P132:P137" si="74">O132/(MAX(O$132:O$137)+1)</f>
        <v>0</v>
      </c>
      <c r="Q132" s="49">
        <f t="shared" ref="Q132:Q137" si="75">N$132*(1-P132)+N$138*P132</f>
        <v>41</v>
      </c>
      <c r="R132" s="45"/>
      <c r="S132" s="46">
        <f t="shared" si="59"/>
        <v>10</v>
      </c>
      <c r="T132" s="48">
        <f t="shared" si="70"/>
        <v>0.7142857142857143</v>
      </c>
      <c r="U132" s="49">
        <f t="shared" si="71"/>
        <v>8595.5714285714275</v>
      </c>
      <c r="V132">
        <f>(Data_nieuwveer!E132*C132)/(L132*$B$1)</f>
        <v>2.4902307468171032</v>
      </c>
      <c r="W132" s="47">
        <f>($B$1+$B$3)*H132/(Data_nieuwveer!AL132*'Edited data A'!U132+Data_nieuwveer!AQ132*'Edited data A'!Q132)</f>
        <v>2.0169499177505661</v>
      </c>
      <c r="X132" s="90">
        <f>($B$1*H132)/(Data_nieuwveer!AL132*'Edited data A'!U132+Data_nieuwveer!AQ132*'Edited data A'!N132)</f>
        <v>0.46378849695335272</v>
      </c>
      <c r="Y132" s="90">
        <f>X132*$B$2</f>
        <v>0.23189424847667636</v>
      </c>
      <c r="Z132" s="80">
        <f>$B$1/(Data_nieuwveer!E132+Data_nieuwveer!U132)</f>
        <v>2.2103822919327679E-2</v>
      </c>
      <c r="AA132" s="42">
        <f>Data_nieuwveer!E132*Data_nieuwveer!P132/1000</f>
        <v>41796</v>
      </c>
      <c r="AB132" s="42">
        <f>Data_nieuwveer!AQ132*Data_nieuwveer!AR132/1000</f>
        <v>20408.784500000002</v>
      </c>
      <c r="AC132" s="42">
        <f>Data_nieuwveer!AQ132*Data_nieuwveer!AR132/1000/B$5</f>
        <v>7364.4960531665274</v>
      </c>
      <c r="AD132" s="42">
        <f>Data_nieuwveer!AL132*Data_nieuwveer!AR132/B$5/1000</f>
        <v>63.469787276721959</v>
      </c>
      <c r="AE132">
        <f>((H132-H131)*($B$1+B$3)+Data_nieuwveer!AQ132*N132+U132*Data_nieuwveer!AL132)/(AA132*1000-(AC132+AD132)*1000)</f>
        <v>0.55047666401356776</v>
      </c>
      <c r="AF132" s="21">
        <f>(AA132-AB132)/AA132</f>
        <v>0.51170484017609341</v>
      </c>
      <c r="AT132" s="6"/>
      <c r="AU132"/>
      <c r="AV132"/>
      <c r="AW132"/>
    </row>
    <row r="133" spans="1:49" x14ac:dyDescent="0.3">
      <c r="A133" s="2">
        <f>Data_nieuwveer!A133</f>
        <v>41672</v>
      </c>
      <c r="D133">
        <f>Data_nieuwveer!F133/(Data_nieuwveer!E133-Data_nieuwveer!F133)</f>
        <v>0.23561477892186553</v>
      </c>
      <c r="F133" s="46">
        <f t="shared" si="44"/>
        <v>3</v>
      </c>
      <c r="G133" s="48">
        <f>F133/(MAX(F130:F133)+1)</f>
        <v>0.75</v>
      </c>
      <c r="H133" s="49">
        <f>E130*(1-G133)+E134*G133</f>
        <v>2450</v>
      </c>
      <c r="J133" s="46">
        <f t="shared" si="53"/>
        <v>3</v>
      </c>
      <c r="K133" s="48">
        <f>J133/(MAX(J130:J133)+1)</f>
        <v>0.75</v>
      </c>
      <c r="L133" s="49">
        <f>I130*(1-K133)+I134*K133</f>
        <v>1974.0630000000001</v>
      </c>
      <c r="N133" s="45"/>
      <c r="O133" s="46">
        <f t="shared" si="58"/>
        <v>1</v>
      </c>
      <c r="P133" s="48">
        <f t="shared" si="74"/>
        <v>0.16666666666666666</v>
      </c>
      <c r="Q133" s="49">
        <f t="shared" si="75"/>
        <v>47.5</v>
      </c>
      <c r="R133" s="45"/>
      <c r="S133" s="46">
        <f t="shared" si="59"/>
        <v>11</v>
      </c>
      <c r="T133" s="48">
        <f t="shared" si="70"/>
        <v>0.7857142857142857</v>
      </c>
      <c r="U133" s="49">
        <f t="shared" si="71"/>
        <v>8537.9285714285725</v>
      </c>
      <c r="W133" s="47"/>
      <c r="X133" s="90"/>
      <c r="Y133" s="90"/>
      <c r="Z133" s="80">
        <f>$B$1/(Data_nieuwveer!E133+Data_nieuwveer!U133)</f>
        <v>1.6942547820341224E-2</v>
      </c>
      <c r="AA133" s="42"/>
      <c r="AB133" s="42"/>
      <c r="AC133" s="42"/>
      <c r="AD133" s="42"/>
      <c r="AF133" s="21"/>
      <c r="AT133" s="6"/>
      <c r="AU133"/>
      <c r="AV133"/>
      <c r="AW133"/>
    </row>
    <row r="134" spans="1:49" x14ac:dyDescent="0.3">
      <c r="A134" s="2">
        <f>Data_nieuwveer!A134</f>
        <v>41673</v>
      </c>
      <c r="D134">
        <f>Data_nieuwveer!F134/(Data_nieuwveer!E134-Data_nieuwveer!F134)</f>
        <v>1.1931818181818181</v>
      </c>
      <c r="E134" s="86">
        <f>Data_nieuwveer!AF134</f>
        <v>2506</v>
      </c>
      <c r="F134" s="46">
        <f t="shared" si="44"/>
        <v>0</v>
      </c>
      <c r="G134" s="48">
        <f>F134/(MAX(F134:F136)+1)</f>
        <v>0</v>
      </c>
      <c r="H134" s="49">
        <f>E134*(1-G134)+E137*G134</f>
        <v>2506</v>
      </c>
      <c r="I134" s="24">
        <f>E134*(1-Data_nieuwveer!AG134/100)</f>
        <v>2027.3539999999998</v>
      </c>
      <c r="J134" s="46">
        <f t="shared" si="53"/>
        <v>0</v>
      </c>
      <c r="K134" s="48">
        <f>J134/(MAX(J134:J136)+1)</f>
        <v>0</v>
      </c>
      <c r="L134" s="49">
        <f>I134*(1-K134)+I137*K134</f>
        <v>2027.3539999999998</v>
      </c>
      <c r="M134" s="24">
        <f>I134/E134</f>
        <v>0.80899999999999994</v>
      </c>
      <c r="N134" s="45"/>
      <c r="O134" s="46">
        <f t="shared" si="58"/>
        <v>2</v>
      </c>
      <c r="P134" s="48">
        <f t="shared" si="74"/>
        <v>0.33333333333333331</v>
      </c>
      <c r="Q134" s="49">
        <f t="shared" si="75"/>
        <v>54</v>
      </c>
      <c r="R134" s="45"/>
      <c r="S134" s="46">
        <f t="shared" si="59"/>
        <v>12</v>
      </c>
      <c r="T134" s="48">
        <f t="shared" si="70"/>
        <v>0.8571428571428571</v>
      </c>
      <c r="U134" s="49">
        <f t="shared" si="71"/>
        <v>8480.2857142857138</v>
      </c>
      <c r="W134" s="47"/>
      <c r="X134" s="90"/>
      <c r="Y134" s="90"/>
      <c r="Z134" s="80">
        <f>$B$1/(Data_nieuwveer!E134+Data_nieuwveer!U134)</f>
        <v>2.5236311013739011E-2</v>
      </c>
      <c r="AA134" s="42"/>
      <c r="AB134" s="42"/>
      <c r="AC134" s="42"/>
      <c r="AD134" s="42"/>
      <c r="AF134" s="21"/>
      <c r="AT134" s="6"/>
      <c r="AU134"/>
      <c r="AV134"/>
      <c r="AW134"/>
    </row>
    <row r="135" spans="1:49" x14ac:dyDescent="0.3">
      <c r="A135" s="2">
        <f>Data_nieuwveer!A135</f>
        <v>41674</v>
      </c>
      <c r="D135">
        <f>Data_nieuwveer!F135/(Data_nieuwveer!E135-Data_nieuwveer!F135)</f>
        <v>1.380496271535099</v>
      </c>
      <c r="F135" s="46">
        <f t="shared" si="44"/>
        <v>1</v>
      </c>
      <c r="G135" s="48">
        <f>F135/(MAX(F134:F136)+1)</f>
        <v>0.33333333333333331</v>
      </c>
      <c r="H135" s="49">
        <f>E134*(1-G135)+E137*G135</f>
        <v>2478</v>
      </c>
      <c r="J135" s="46">
        <f t="shared" si="53"/>
        <v>1</v>
      </c>
      <c r="K135" s="48">
        <f>J135/(MAX(J134:J136)+1)</f>
        <v>0.33333333333333331</v>
      </c>
      <c r="L135" s="49">
        <f>I134*(1-K135)+I137*K135</f>
        <v>2013.5826666666667</v>
      </c>
      <c r="N135" s="45"/>
      <c r="O135" s="46">
        <f t="shared" si="58"/>
        <v>3</v>
      </c>
      <c r="P135" s="48">
        <f t="shared" si="74"/>
        <v>0.5</v>
      </c>
      <c r="Q135" s="49">
        <f t="shared" si="75"/>
        <v>60.5</v>
      </c>
      <c r="R135" s="45"/>
      <c r="S135" s="46">
        <f t="shared" si="59"/>
        <v>13</v>
      </c>
      <c r="T135" s="48">
        <f t="shared" si="70"/>
        <v>0.9285714285714286</v>
      </c>
      <c r="U135" s="49">
        <f t="shared" si="71"/>
        <v>8422.6428571428569</v>
      </c>
      <c r="W135" s="47"/>
      <c r="X135" s="90"/>
      <c r="Y135" s="90"/>
      <c r="Z135" s="80">
        <f>$B$1/(Data_nieuwveer!E135+Data_nieuwveer!U135)</f>
        <v>2.3054884127799151E-2</v>
      </c>
      <c r="AA135" s="42"/>
      <c r="AB135" s="42"/>
      <c r="AC135" s="42"/>
      <c r="AD135" s="42"/>
      <c r="AF135" s="21"/>
      <c r="AT135" s="6"/>
      <c r="AU135"/>
      <c r="AV135"/>
      <c r="AW135"/>
    </row>
    <row r="136" spans="1:49" x14ac:dyDescent="0.3">
      <c r="A136" s="16">
        <f>Data_nieuwveer!A136</f>
        <v>41675</v>
      </c>
      <c r="D136">
        <f>Data_nieuwveer!F136/(Data_nieuwveer!E136-Data_nieuwveer!F136)</f>
        <v>1.5478522456974955</v>
      </c>
      <c r="F136" s="46">
        <f t="shared" si="44"/>
        <v>2</v>
      </c>
      <c r="G136" s="48">
        <f>F136/(MAX(F134:F136)+1)</f>
        <v>0.66666666666666663</v>
      </c>
      <c r="H136" s="49">
        <f>E134*(1-G136)+E137*G136</f>
        <v>2450</v>
      </c>
      <c r="J136" s="46">
        <f t="shared" si="53"/>
        <v>2</v>
      </c>
      <c r="K136" s="48">
        <f>J136/(MAX(J134:J136)+1)</f>
        <v>0.66666666666666663</v>
      </c>
      <c r="L136" s="49">
        <f>I134*(1-K136)+I137*K136</f>
        <v>1999.8113333333333</v>
      </c>
      <c r="N136" s="45"/>
      <c r="O136" s="46">
        <f t="shared" si="58"/>
        <v>4</v>
      </c>
      <c r="P136" s="48">
        <f t="shared" si="74"/>
        <v>0.66666666666666663</v>
      </c>
      <c r="Q136" s="49">
        <f t="shared" si="75"/>
        <v>67</v>
      </c>
      <c r="R136" s="45">
        <f>Data_nieuwveer!AN136*B$4</f>
        <v>8365</v>
      </c>
      <c r="S136" s="46">
        <f t="shared" si="59"/>
        <v>0</v>
      </c>
      <c r="T136" s="48">
        <f t="shared" ref="T136:T142" si="76">S136/(MAX(S$136:S$142)+1)</f>
        <v>0</v>
      </c>
      <c r="U136" s="49">
        <f t="shared" ref="U136:U142" si="77">R$136*(1-T136)+R$143*T136</f>
        <v>8365</v>
      </c>
      <c r="W136" s="47"/>
      <c r="X136" s="90"/>
      <c r="Y136" s="90"/>
      <c r="Z136" s="80">
        <f>$B$1/(Data_nieuwveer!E136+Data_nieuwveer!U136)</f>
        <v>2.3369251873462844E-2</v>
      </c>
      <c r="AA136" s="42"/>
      <c r="AB136" s="42"/>
      <c r="AC136" s="42"/>
      <c r="AD136" s="42"/>
      <c r="AF136" s="21"/>
      <c r="AT136" s="6"/>
      <c r="AU136"/>
      <c r="AV136"/>
      <c r="AW136"/>
    </row>
    <row r="137" spans="1:49" x14ac:dyDescent="0.3">
      <c r="A137" s="2">
        <f>Data_nieuwveer!A137</f>
        <v>41676</v>
      </c>
      <c r="D137">
        <f>Data_nieuwveer!F137/(Data_nieuwveer!E137-Data_nieuwveer!F137)</f>
        <v>1.3962264150943395</v>
      </c>
      <c r="E137" s="86">
        <f>Data_nieuwveer!AF137</f>
        <v>2422</v>
      </c>
      <c r="F137" s="46">
        <f t="shared" ref="F137:F200" si="78">IF(E137&gt;0,0,F136+1)</f>
        <v>0</v>
      </c>
      <c r="G137" s="48">
        <f>F137/(MAX(F137:F140)+1)</f>
        <v>0</v>
      </c>
      <c r="H137" s="49">
        <f>E137*(1-G137)+E141*G137</f>
        <v>2422</v>
      </c>
      <c r="I137" s="24">
        <f>E137*(1-Data_nieuwveer!AG137/100)</f>
        <v>1986.0400000000002</v>
      </c>
      <c r="J137" s="46">
        <f t="shared" si="53"/>
        <v>0</v>
      </c>
      <c r="K137" s="48">
        <f>J137/(MAX(J137:J140)+1)</f>
        <v>0</v>
      </c>
      <c r="L137" s="49">
        <f>I137*(1-K137)+I141*K137</f>
        <v>1986.0400000000002</v>
      </c>
      <c r="M137" s="24">
        <f>I137/E137</f>
        <v>0.82000000000000006</v>
      </c>
      <c r="N137" s="45"/>
      <c r="O137" s="46">
        <f t="shared" ref="O137:O200" si="79">IF(N137&gt;0,0,O136+1)</f>
        <v>5</v>
      </c>
      <c r="P137" s="48">
        <f t="shared" si="74"/>
        <v>0.83333333333333337</v>
      </c>
      <c r="Q137" s="49">
        <f t="shared" si="75"/>
        <v>73.5</v>
      </c>
      <c r="R137" s="45"/>
      <c r="S137" s="46">
        <f t="shared" ref="S137:S200" si="80">IF(R137&gt;0,0,S136+1)</f>
        <v>1</v>
      </c>
      <c r="T137" s="48">
        <f t="shared" si="76"/>
        <v>0.14285714285714285</v>
      </c>
      <c r="U137" s="49">
        <f t="shared" si="77"/>
        <v>8394.4285714285725</v>
      </c>
      <c r="W137" s="47"/>
      <c r="X137" s="90"/>
      <c r="Y137" s="90"/>
      <c r="Z137" s="80">
        <f>$B$1/(Data_nieuwveer!E137+Data_nieuwveer!U137)</f>
        <v>2.2305844354279267E-2</v>
      </c>
      <c r="AA137" s="42"/>
      <c r="AB137" s="42"/>
      <c r="AC137" s="42"/>
      <c r="AD137" s="42"/>
      <c r="AF137" s="21"/>
      <c r="AT137" s="6"/>
      <c r="AU137"/>
      <c r="AV137"/>
      <c r="AW137"/>
    </row>
    <row r="138" spans="1:49" x14ac:dyDescent="0.3">
      <c r="A138" s="2">
        <f>Data_nieuwveer!A138</f>
        <v>41677</v>
      </c>
      <c r="B138">
        <f>Data_nieuwveer!Q138/Data_nieuwveer!P138</f>
        <v>0.39285714285714285</v>
      </c>
      <c r="C138">
        <f>Data_nieuwveer!P138*'Edited data A'!$B$8</f>
        <v>112.15193277310924</v>
      </c>
      <c r="D138">
        <f>Data_nieuwveer!F138/(Data_nieuwveer!E138-Data_nieuwveer!F138)</f>
        <v>0.29113557358053305</v>
      </c>
      <c r="F138" s="46">
        <f t="shared" si="78"/>
        <v>1</v>
      </c>
      <c r="G138" s="48">
        <f>F138/(MAX(F137:F140)+1)</f>
        <v>0.25</v>
      </c>
      <c r="H138" s="49">
        <f>E137*(1-G138)+E141*G138</f>
        <v>2340.5</v>
      </c>
      <c r="J138" s="46">
        <f t="shared" si="53"/>
        <v>1</v>
      </c>
      <c r="K138" s="48">
        <f>J138/(MAX(J137:J140)+1)</f>
        <v>0.25</v>
      </c>
      <c r="L138" s="49">
        <f>I137*(1-K138)+I141*K138</f>
        <v>1896.6780000000003</v>
      </c>
      <c r="N138" s="45">
        <f>Data_nieuwveer!AV138</f>
        <v>80</v>
      </c>
      <c r="O138" s="46">
        <f t="shared" si="79"/>
        <v>0</v>
      </c>
      <c r="P138" s="48">
        <f t="shared" ref="P138:P143" si="81">O138/(MAX(O$138:O$143)+1)</f>
        <v>0</v>
      </c>
      <c r="Q138" s="49">
        <f t="shared" ref="Q138:Q143" si="82">N$138*(1-P138)+N$144*P138</f>
        <v>80</v>
      </c>
      <c r="R138" s="45"/>
      <c r="S138" s="46">
        <f t="shared" si="80"/>
        <v>2</v>
      </c>
      <c r="T138" s="48">
        <f t="shared" si="76"/>
        <v>0.2857142857142857</v>
      </c>
      <c r="U138" s="49">
        <f t="shared" si="77"/>
        <v>8423.8571428571431</v>
      </c>
      <c r="V138">
        <f>(Data_nieuwveer!E138*C138)/(L138*$B$1)</f>
        <v>3.0119498519878158</v>
      </c>
      <c r="W138" s="47">
        <f>($B$1+$B$3)*H138/(Data_nieuwveer!AL138*'Edited data A'!U138+Data_nieuwveer!AQ138*'Edited data A'!Q138)</f>
        <v>1.5789645429101333</v>
      </c>
      <c r="X138" s="90">
        <f>($B$1*H138)/(Data_nieuwveer!AL138*'Edited data A'!U138+Data_nieuwveer!AQ138*'Edited data A'!N138)</f>
        <v>0.36307574405002735</v>
      </c>
      <c r="Y138" s="90">
        <f>X138*$B$2</f>
        <v>0.18153787202501367</v>
      </c>
      <c r="Z138" s="80">
        <f>$B$1/(Data_nieuwveer!E138+Data_nieuwveer!U138)</f>
        <v>1.9419506561435134E-2</v>
      </c>
      <c r="AA138" s="42">
        <f>Data_nieuwveer!E138*Data_nieuwveer!P138/1000</f>
        <v>49918.400000000001</v>
      </c>
      <c r="AB138" s="42">
        <f>Data_nieuwveer!AQ138*Data_nieuwveer!AR138/1000</f>
        <v>25095.721000000001</v>
      </c>
      <c r="AC138" s="42">
        <f>Data_nieuwveer!AQ138*Data_nieuwveer!AR138/1000/B$5</f>
        <v>9055.7739122517723</v>
      </c>
      <c r="AD138" s="42">
        <f>Data_nieuwveer!AL138*Data_nieuwveer!AR138/B$5/1000</f>
        <v>49.306451381495762</v>
      </c>
      <c r="AE138">
        <f>((H138-H137)*($B$1+B$3)+Data_nieuwveer!AQ138*N138+U138*Data_nieuwveer!AL138)/(AA138*1000-(AC138+AD138)*1000)</f>
        <v>0.52241732016402709</v>
      </c>
      <c r="AF138" s="21">
        <f>(AA138-AB138)/AA138</f>
        <v>0.49726511667040607</v>
      </c>
      <c r="AT138" s="6"/>
      <c r="AU138"/>
      <c r="AV138"/>
      <c r="AW138"/>
    </row>
    <row r="139" spans="1:49" x14ac:dyDescent="0.3">
      <c r="A139" s="2">
        <f>Data_nieuwveer!A139</f>
        <v>41678</v>
      </c>
      <c r="D139">
        <f>Data_nieuwveer!F139/(Data_nieuwveer!E139-Data_nieuwveer!F139)</f>
        <v>0.24332529690150906</v>
      </c>
      <c r="F139" s="46">
        <f t="shared" si="78"/>
        <v>2</v>
      </c>
      <c r="G139" s="48">
        <f>F139/(MAX(F137:F140)+1)</f>
        <v>0.5</v>
      </c>
      <c r="H139" s="49">
        <f>E137*(1-G139)+E141*G139</f>
        <v>2259</v>
      </c>
      <c r="J139" s="46">
        <f t="shared" si="53"/>
        <v>2</v>
      </c>
      <c r="K139" s="48">
        <f>J139/(MAX(J137:J140)+1)</f>
        <v>0.5</v>
      </c>
      <c r="L139" s="49">
        <f>I137*(1-K139)+I141*K139</f>
        <v>1807.3160000000003</v>
      </c>
      <c r="N139" s="45"/>
      <c r="O139" s="46">
        <f t="shared" si="79"/>
        <v>1</v>
      </c>
      <c r="P139" s="48">
        <f t="shared" si="81"/>
        <v>0.16666666666666666</v>
      </c>
      <c r="Q139" s="49">
        <f t="shared" si="82"/>
        <v>74.833333333333343</v>
      </c>
      <c r="R139" s="45"/>
      <c r="S139" s="46">
        <f t="shared" si="80"/>
        <v>3</v>
      </c>
      <c r="T139" s="48">
        <f t="shared" si="76"/>
        <v>0.42857142857142855</v>
      </c>
      <c r="U139" s="49">
        <f t="shared" si="77"/>
        <v>8453.2857142857138</v>
      </c>
      <c r="W139" s="47"/>
      <c r="X139" s="90"/>
      <c r="Y139" s="90"/>
      <c r="Z139" s="80">
        <f>$B$1/(Data_nieuwveer!E139+Data_nieuwveer!U139)</f>
        <v>1.5437469207762311E-2</v>
      </c>
      <c r="AA139" s="42"/>
      <c r="AB139" s="42"/>
      <c r="AC139" s="42"/>
      <c r="AD139" s="42"/>
      <c r="AF139" s="21"/>
      <c r="AT139" s="6"/>
      <c r="AU139"/>
      <c r="AV139"/>
      <c r="AW139"/>
    </row>
    <row r="140" spans="1:49" x14ac:dyDescent="0.3">
      <c r="A140" s="2">
        <f>Data_nieuwveer!A140</f>
        <v>41679</v>
      </c>
      <c r="D140">
        <f>Data_nieuwveer!F140/(Data_nieuwveer!E140-Data_nieuwveer!F140)</f>
        <v>0.35370483137478459</v>
      </c>
      <c r="F140" s="46">
        <f t="shared" si="78"/>
        <v>3</v>
      </c>
      <c r="G140" s="48">
        <f>F140/(MAX(F137:F140)+1)</f>
        <v>0.75</v>
      </c>
      <c r="H140" s="49">
        <f>E137*(1-G140)+E141*G140</f>
        <v>2177.5</v>
      </c>
      <c r="J140" s="46">
        <f t="shared" si="53"/>
        <v>3</v>
      </c>
      <c r="K140" s="48">
        <f>J140/(MAX(J137:J140)+1)</f>
        <v>0.75</v>
      </c>
      <c r="L140" s="49">
        <f>I137*(1-K140)+I141*K140</f>
        <v>1717.954</v>
      </c>
      <c r="N140" s="45"/>
      <c r="O140" s="46">
        <f t="shared" si="79"/>
        <v>2</v>
      </c>
      <c r="P140" s="48">
        <f t="shared" si="81"/>
        <v>0.33333333333333331</v>
      </c>
      <c r="Q140" s="49">
        <f t="shared" si="82"/>
        <v>69.666666666666671</v>
      </c>
      <c r="R140" s="45"/>
      <c r="S140" s="46">
        <f t="shared" si="80"/>
        <v>4</v>
      </c>
      <c r="T140" s="48">
        <f t="shared" si="76"/>
        <v>0.5714285714285714</v>
      </c>
      <c r="U140" s="49">
        <f>R$136*(1-T140)+R$143*T140</f>
        <v>8482.7142857142862</v>
      </c>
      <c r="W140" s="47"/>
      <c r="X140" s="90"/>
      <c r="Y140" s="90"/>
      <c r="Z140" s="80">
        <f>$B$1/(Data_nieuwveer!E140+Data_nieuwveer!U140)</f>
        <v>1.638510425490728E-2</v>
      </c>
      <c r="AA140" s="42"/>
      <c r="AB140" s="42"/>
      <c r="AC140" s="42"/>
      <c r="AD140" s="42"/>
      <c r="AF140" s="21"/>
      <c r="AT140" s="6"/>
      <c r="AU140"/>
      <c r="AV140"/>
      <c r="AW140"/>
    </row>
    <row r="141" spans="1:49" x14ac:dyDescent="0.3">
      <c r="A141" s="2">
        <f>Data_nieuwveer!A141</f>
        <v>41680</v>
      </c>
      <c r="D141">
        <f>Data_nieuwveer!F141/(Data_nieuwveer!E141-Data_nieuwveer!F141)</f>
        <v>0.6166696349065004</v>
      </c>
      <c r="E141" s="86">
        <f>Data_nieuwveer!AF141</f>
        <v>2096</v>
      </c>
      <c r="F141" s="46">
        <f t="shared" si="78"/>
        <v>0</v>
      </c>
      <c r="G141" s="48">
        <f>F141/(MAX(F141:F142)+1)</f>
        <v>0</v>
      </c>
      <c r="H141" s="49">
        <f>E141*(1-G141)+E143*G141</f>
        <v>2096</v>
      </c>
      <c r="I141" s="24">
        <f>E141*(1-Data_nieuwveer!AG141/100)</f>
        <v>1628.5920000000001</v>
      </c>
      <c r="J141" s="46">
        <f t="shared" si="53"/>
        <v>0</v>
      </c>
      <c r="K141" s="48">
        <f>J141/(MAX(J141:J142)+1)</f>
        <v>0</v>
      </c>
      <c r="L141" s="49">
        <f>I141*(1-K141)+I143*K141</f>
        <v>1628.5920000000001</v>
      </c>
      <c r="M141" s="24">
        <f>I141/E141</f>
        <v>0.77700000000000002</v>
      </c>
      <c r="N141" s="45"/>
      <c r="O141" s="46">
        <f t="shared" si="79"/>
        <v>3</v>
      </c>
      <c r="P141" s="48">
        <f t="shared" si="81"/>
        <v>0.5</v>
      </c>
      <c r="Q141" s="49">
        <f t="shared" si="82"/>
        <v>64.5</v>
      </c>
      <c r="R141" s="45"/>
      <c r="S141" s="46">
        <f t="shared" si="80"/>
        <v>5</v>
      </c>
      <c r="T141" s="48">
        <f t="shared" si="76"/>
        <v>0.7142857142857143</v>
      </c>
      <c r="U141" s="49">
        <f>R$136*(1-T141)+R$143*T141</f>
        <v>8512.1428571428569</v>
      </c>
      <c r="W141" s="47"/>
      <c r="X141" s="90"/>
      <c r="Y141" s="90"/>
      <c r="Z141" s="80">
        <f>$B$1/(Data_nieuwveer!E141+Data_nieuwveer!U141)</f>
        <v>1.8782018310321336E-2</v>
      </c>
      <c r="AA141" s="42"/>
      <c r="AB141" s="42"/>
      <c r="AC141" s="42"/>
      <c r="AD141" s="42"/>
      <c r="AF141" s="21"/>
      <c r="AT141" s="6"/>
      <c r="AU141"/>
      <c r="AV141"/>
      <c r="AW141"/>
    </row>
    <row r="142" spans="1:49" x14ac:dyDescent="0.3">
      <c r="A142" s="2">
        <f>Data_nieuwveer!A142</f>
        <v>41681</v>
      </c>
      <c r="D142">
        <f>Data_nieuwveer!F142/(Data_nieuwveer!E142-Data_nieuwveer!F142)</f>
        <v>0.9667754451781998</v>
      </c>
      <c r="F142" s="46">
        <f t="shared" si="78"/>
        <v>1</v>
      </c>
      <c r="G142" s="48">
        <f>F142/(MAX(F141:F142)+1)</f>
        <v>0.5</v>
      </c>
      <c r="H142" s="49">
        <f>E141*(1-G142)+E143*G142</f>
        <v>2772</v>
      </c>
      <c r="J142" s="46">
        <f t="shared" si="53"/>
        <v>1</v>
      </c>
      <c r="K142" s="48">
        <f>J142/(MAX(J141:J142)+1)</f>
        <v>0.5</v>
      </c>
      <c r="L142" s="49">
        <f>I141*(1-K142)+I143*K142</f>
        <v>2184.8760000000002</v>
      </c>
      <c r="N142" s="45"/>
      <c r="O142" s="46">
        <f t="shared" si="79"/>
        <v>4</v>
      </c>
      <c r="P142" s="48">
        <f t="shared" si="81"/>
        <v>0.66666666666666663</v>
      </c>
      <c r="Q142" s="49">
        <f t="shared" si="82"/>
        <v>59.333333333333336</v>
      </c>
      <c r="R142" s="45"/>
      <c r="S142" s="46">
        <f t="shared" si="80"/>
        <v>6</v>
      </c>
      <c r="T142" s="48">
        <f t="shared" si="76"/>
        <v>0.8571428571428571</v>
      </c>
      <c r="U142" s="49">
        <f t="shared" si="77"/>
        <v>8541.5714285714294</v>
      </c>
      <c r="W142" s="47"/>
      <c r="X142" s="90"/>
      <c r="Y142" s="90"/>
      <c r="Z142" s="80">
        <f>$B$1/(Data_nieuwveer!E142+Data_nieuwveer!U142)</f>
        <v>2.2122893940002081E-2</v>
      </c>
      <c r="AA142" s="42"/>
      <c r="AB142" s="42"/>
      <c r="AC142" s="42"/>
      <c r="AD142" s="42"/>
      <c r="AF142" s="21"/>
      <c r="AT142" s="6"/>
      <c r="AU142"/>
      <c r="AV142"/>
      <c r="AW142"/>
    </row>
    <row r="143" spans="1:49" x14ac:dyDescent="0.3">
      <c r="A143" s="2">
        <f>Data_nieuwveer!A143</f>
        <v>41682</v>
      </c>
      <c r="D143">
        <f>Data_nieuwveer!F143/(Data_nieuwveer!E143-Data_nieuwveer!F143)</f>
        <v>0.78797525107604016</v>
      </c>
      <c r="E143" s="86">
        <f>Data_nieuwveer!AF143</f>
        <v>3448</v>
      </c>
      <c r="F143" s="46">
        <f t="shared" si="78"/>
        <v>0</v>
      </c>
      <c r="G143" s="48">
        <f>F143/(MAX(F143:F150)+1)</f>
        <v>0</v>
      </c>
      <c r="H143" s="49">
        <f>E143*(1-G143)+E151*G143</f>
        <v>3448</v>
      </c>
      <c r="I143" s="24">
        <f>E143*(1-Data_nieuwveer!AG143/100)</f>
        <v>2741.1600000000003</v>
      </c>
      <c r="J143" s="46">
        <f t="shared" si="53"/>
        <v>0</v>
      </c>
      <c r="K143" s="48">
        <f>J143/(MAX(J143:J150)+1)</f>
        <v>0</v>
      </c>
      <c r="L143" s="49">
        <f>I143*(1-K143)+I151*K143</f>
        <v>2741.1600000000003</v>
      </c>
      <c r="M143" s="24">
        <f>I143/E143</f>
        <v>0.79500000000000004</v>
      </c>
      <c r="N143" s="45"/>
      <c r="O143" s="46">
        <f t="shared" si="79"/>
        <v>5</v>
      </c>
      <c r="P143" s="48">
        <f t="shared" si="81"/>
        <v>0.83333333333333337</v>
      </c>
      <c r="Q143" s="49">
        <f t="shared" si="82"/>
        <v>54.166666666666664</v>
      </c>
      <c r="R143" s="45">
        <f>Data_nieuwveer!AN143*B$4</f>
        <v>8571</v>
      </c>
      <c r="S143" s="46">
        <f t="shared" si="80"/>
        <v>0</v>
      </c>
      <c r="T143" s="48">
        <f t="shared" ref="T143:T156" si="83">S143/(MAX(S$143:S$156)+1)</f>
        <v>0</v>
      </c>
      <c r="U143" s="49">
        <f>R$143*(1-T143)+R$157*T143</f>
        <v>8571</v>
      </c>
      <c r="W143" s="47"/>
      <c r="X143" s="90"/>
      <c r="Y143" s="90"/>
      <c r="Z143" s="80">
        <f>$B$1/(Data_nieuwveer!E143+Data_nieuwveer!U143)</f>
        <v>2.1416473306507668E-2</v>
      </c>
      <c r="AA143" s="42"/>
      <c r="AB143" s="42"/>
      <c r="AC143" s="42"/>
      <c r="AD143" s="42"/>
      <c r="AF143" s="21"/>
      <c r="AT143" s="6"/>
      <c r="AU143"/>
      <c r="AV143"/>
      <c r="AW143"/>
    </row>
    <row r="144" spans="1:49" x14ac:dyDescent="0.3">
      <c r="A144" s="2">
        <f>Data_nieuwveer!A144</f>
        <v>41683</v>
      </c>
      <c r="C144">
        <f>Data_nieuwveer!P144*'Edited data A'!$B$8</f>
        <v>96.130228091236489</v>
      </c>
      <c r="D144">
        <f>Data_nieuwveer!F144/(Data_nieuwveer!E144-Data_nieuwveer!F144)</f>
        <v>0.59594084650688428</v>
      </c>
      <c r="F144" s="46">
        <f t="shared" si="78"/>
        <v>1</v>
      </c>
      <c r="G144" s="48">
        <f>F144/(MAX(F143:F150)+1)</f>
        <v>0.125</v>
      </c>
      <c r="H144" s="49">
        <f>E143*(1-G144)+E151*G144</f>
        <v>3268.25</v>
      </c>
      <c r="J144" s="46">
        <f t="shared" si="53"/>
        <v>1</v>
      </c>
      <c r="K144" s="48">
        <f>J144/(MAX(J143:J150)+1)</f>
        <v>0.125</v>
      </c>
      <c r="L144" s="49">
        <f>I143*(1-K144)+I151*K144</f>
        <v>2590.2187500000005</v>
      </c>
      <c r="N144" s="45">
        <f>Data_nieuwveer!AV144</f>
        <v>49</v>
      </c>
      <c r="O144" s="46">
        <f t="shared" si="79"/>
        <v>0</v>
      </c>
      <c r="P144" s="48">
        <f t="shared" ref="P144:P149" si="84">O144/(MAX(O$144:O$149)+1)</f>
        <v>0</v>
      </c>
      <c r="Q144" s="49">
        <f t="shared" ref="Q144:Q149" si="85">N$144*(1-P144)+N$150*P144</f>
        <v>49</v>
      </c>
      <c r="R144" s="45"/>
      <c r="S144" s="46">
        <f t="shared" si="80"/>
        <v>1</v>
      </c>
      <c r="T144" s="48">
        <f t="shared" si="83"/>
        <v>7.1428571428571425E-2</v>
      </c>
      <c r="U144" s="49">
        <f>R$143*(1-T144)+R$157*T144</f>
        <v>8673.7142857142862</v>
      </c>
      <c r="V144">
        <f>(Data_nieuwveer!E144*C144)/(L144*$B$1)</f>
        <v>1.6592807463156611</v>
      </c>
      <c r="W144" s="47">
        <f>($B$1+$B$3)*H144/(Data_nieuwveer!AL144*'Edited data A'!U144+Data_nieuwveer!AQ144*'Edited data A'!Q144)</f>
        <v>2.2694170196783041</v>
      </c>
      <c r="X144" s="90">
        <f>($B$1*H144)/(Data_nieuwveer!AL144*'Edited data A'!U144+Data_nieuwveer!AQ144*'Edited data A'!N144)</f>
        <v>0.52184216338440736</v>
      </c>
      <c r="Y144" s="90">
        <f>X144*$B$2</f>
        <v>0.26092108169220368</v>
      </c>
      <c r="Z144" s="80">
        <f>$B$1/(Data_nieuwveer!E144+Data_nieuwveer!U144)</f>
        <v>2.1798385487008628E-2</v>
      </c>
      <c r="AA144" s="42">
        <f>Data_nieuwveer!E144*Data_nieuwveer!P144/1000</f>
        <v>37555.68</v>
      </c>
      <c r="AB144" s="42">
        <f>Data_nieuwveer!AQ144*Data_nieuwveer!AR144/1000</f>
        <v>19071.960719999999</v>
      </c>
      <c r="AC144" s="42">
        <f>Data_nieuwveer!AQ144*Data_nieuwveer!AR144/1000/B$5</f>
        <v>6882.1040982909599</v>
      </c>
      <c r="AD144" s="42">
        <f>Data_nieuwveer!AL144*Data_nieuwveer!AR144/B$5/1000</f>
        <v>70.553721358078306</v>
      </c>
      <c r="AE144">
        <f>((H144-H143)*($B$1+B$3)+Data_nieuwveer!AQ144*N144+U144*Data_nieuwveer!AL144)/(AA144*1000-(AC144+AD144)*1000)</f>
        <v>0.62687295261512799</v>
      </c>
      <c r="AF144" s="21">
        <f>(AA144-AB144)/AA144</f>
        <v>0.49216840914609988</v>
      </c>
      <c r="AT144" s="6"/>
      <c r="AU144"/>
      <c r="AV144"/>
      <c r="AW144"/>
    </row>
    <row r="145" spans="1:49" x14ac:dyDescent="0.3">
      <c r="A145" s="2">
        <f>Data_nieuwveer!A145</f>
        <v>41684</v>
      </c>
      <c r="D145">
        <f>Data_nieuwveer!F145/(Data_nieuwveer!E145-Data_nieuwveer!F145)</f>
        <v>0.48990867579908676</v>
      </c>
      <c r="F145" s="46">
        <f t="shared" si="78"/>
        <v>2</v>
      </c>
      <c r="G145" s="48">
        <f>F145/(MAX(F143:F150)+1)</f>
        <v>0.25</v>
      </c>
      <c r="H145" s="49">
        <f>E143*(1-G145)+E151*G145</f>
        <v>3088.5</v>
      </c>
      <c r="J145" s="46">
        <f t="shared" si="53"/>
        <v>2</v>
      </c>
      <c r="K145" s="48">
        <f>J145/(MAX(J143:J150)+1)</f>
        <v>0.25</v>
      </c>
      <c r="L145" s="49">
        <f>I143*(1-K145)+I151*K145</f>
        <v>2439.2775000000001</v>
      </c>
      <c r="N145" s="45"/>
      <c r="O145" s="46">
        <f t="shared" si="79"/>
        <v>1</v>
      </c>
      <c r="P145" s="48">
        <f t="shared" si="84"/>
        <v>0.16666666666666666</v>
      </c>
      <c r="Q145" s="49">
        <f t="shared" si="85"/>
        <v>50.5</v>
      </c>
      <c r="R145" s="45"/>
      <c r="S145" s="46">
        <f t="shared" si="80"/>
        <v>2</v>
      </c>
      <c r="T145" s="48">
        <f t="shared" si="83"/>
        <v>0.14285714285714285</v>
      </c>
      <c r="U145" s="49">
        <f t="shared" ref="U145:U155" si="86">R$143*(1-T145)+R$157*T145</f>
        <v>8776.4285714285725</v>
      </c>
      <c r="W145" s="47"/>
      <c r="X145" s="90"/>
      <c r="Y145" s="90"/>
      <c r="Z145" s="80">
        <f>$B$1/(Data_nieuwveer!E145+Data_nieuwveer!U145)</f>
        <v>2.6159462101666135E-2</v>
      </c>
      <c r="AA145" s="42"/>
      <c r="AB145" s="42"/>
      <c r="AC145" s="42"/>
      <c r="AD145" s="42"/>
      <c r="AF145" s="21"/>
      <c r="AT145" s="6"/>
      <c r="AU145"/>
      <c r="AV145"/>
      <c r="AW145"/>
    </row>
    <row r="146" spans="1:49" x14ac:dyDescent="0.3">
      <c r="A146" s="2">
        <f>Data_nieuwveer!A146</f>
        <v>41685</v>
      </c>
      <c r="D146">
        <f>Data_nieuwveer!F146/(Data_nieuwveer!E146-Data_nieuwveer!F146)</f>
        <v>0.13785867237687366</v>
      </c>
      <c r="F146" s="46">
        <f t="shared" si="78"/>
        <v>3</v>
      </c>
      <c r="G146" s="48">
        <f>F146/(MAX(F143:F150)+1)</f>
        <v>0.375</v>
      </c>
      <c r="H146" s="49">
        <f>E143*(1-G146)+E151*G146</f>
        <v>2908.75</v>
      </c>
      <c r="J146" s="46">
        <f t="shared" si="53"/>
        <v>3</v>
      </c>
      <c r="K146" s="48">
        <f>J146/(MAX(J143:J150)+1)</f>
        <v>0.375</v>
      </c>
      <c r="L146" s="49">
        <f>I143*(1-K146)+I151*K146</f>
        <v>2288.3362500000003</v>
      </c>
      <c r="N146" s="45"/>
      <c r="O146" s="46">
        <f t="shared" si="79"/>
        <v>2</v>
      </c>
      <c r="P146" s="48">
        <f t="shared" si="84"/>
        <v>0.33333333333333331</v>
      </c>
      <c r="Q146" s="49">
        <f t="shared" si="85"/>
        <v>52</v>
      </c>
      <c r="R146" s="45"/>
      <c r="S146" s="46">
        <f t="shared" si="80"/>
        <v>3</v>
      </c>
      <c r="T146" s="48">
        <f t="shared" si="83"/>
        <v>0.21428571428571427</v>
      </c>
      <c r="U146" s="49">
        <f t="shared" si="86"/>
        <v>8879.1428571428569</v>
      </c>
      <c r="W146" s="47"/>
      <c r="X146" s="90"/>
      <c r="Y146" s="90"/>
      <c r="Z146" s="80">
        <f>$B$1/(Data_nieuwveer!E146+Data_nieuwveer!U146)</f>
        <v>1.6071688916389333E-2</v>
      </c>
      <c r="AA146" s="42"/>
      <c r="AB146" s="42"/>
      <c r="AC146" s="42"/>
      <c r="AD146" s="42"/>
      <c r="AF146" s="21"/>
      <c r="AT146" s="6"/>
      <c r="AU146"/>
      <c r="AV146"/>
      <c r="AW146"/>
    </row>
    <row r="147" spans="1:49" x14ac:dyDescent="0.3">
      <c r="A147" s="2">
        <f>Data_nieuwveer!A147</f>
        <v>41686</v>
      </c>
      <c r="D147">
        <f>Data_nieuwveer!F147/(Data_nieuwveer!E147-Data_nieuwveer!F147)</f>
        <v>0.45198329853862212</v>
      </c>
      <c r="F147" s="46">
        <f t="shared" si="78"/>
        <v>4</v>
      </c>
      <c r="G147" s="48">
        <f>F147/(MAX(F143:F150)+1)</f>
        <v>0.5</v>
      </c>
      <c r="H147" s="49">
        <f>E143*(1-G147)+E151*G147</f>
        <v>2729</v>
      </c>
      <c r="J147" s="46">
        <f t="shared" si="53"/>
        <v>4</v>
      </c>
      <c r="K147" s="48">
        <f>J147/(MAX(J143:J150)+1)</f>
        <v>0.5</v>
      </c>
      <c r="L147" s="49">
        <f>I143*(1-K147)+I151*K147</f>
        <v>2137.3950000000004</v>
      </c>
      <c r="N147" s="45"/>
      <c r="O147" s="46">
        <f t="shared" si="79"/>
        <v>3</v>
      </c>
      <c r="P147" s="48">
        <f t="shared" si="84"/>
        <v>0.5</v>
      </c>
      <c r="Q147" s="49">
        <f t="shared" si="85"/>
        <v>53.5</v>
      </c>
      <c r="R147" s="45"/>
      <c r="S147" s="46">
        <f t="shared" si="80"/>
        <v>4</v>
      </c>
      <c r="T147" s="48">
        <f t="shared" si="83"/>
        <v>0.2857142857142857</v>
      </c>
      <c r="U147" s="49">
        <f t="shared" si="86"/>
        <v>8981.8571428571431</v>
      </c>
      <c r="W147" s="47"/>
      <c r="X147" s="90"/>
      <c r="Y147" s="90"/>
      <c r="Z147" s="80">
        <f>$B$1/(Data_nieuwveer!E147+Data_nieuwveer!U147)</f>
        <v>2.4246983934987601E-2</v>
      </c>
      <c r="AA147" s="42"/>
      <c r="AB147" s="42"/>
      <c r="AC147" s="42"/>
      <c r="AD147" s="42"/>
      <c r="AF147" s="21"/>
      <c r="AT147" s="6"/>
      <c r="AU147"/>
      <c r="AV147"/>
      <c r="AW147"/>
    </row>
    <row r="148" spans="1:49" x14ac:dyDescent="0.3">
      <c r="A148" s="2">
        <f>Data_nieuwveer!A148</f>
        <v>41687</v>
      </c>
      <c r="D148">
        <f>Data_nieuwveer!F148/(Data_nieuwveer!E148-Data_nieuwveer!F148)</f>
        <v>0.88265708526860043</v>
      </c>
      <c r="F148" s="46">
        <f t="shared" si="78"/>
        <v>5</v>
      </c>
      <c r="G148" s="48">
        <f>F148/(MAX(F143:F150)+1)</f>
        <v>0.625</v>
      </c>
      <c r="H148" s="49">
        <f>E143*(1-G148)+E151*G148</f>
        <v>2549.25</v>
      </c>
      <c r="J148" s="46">
        <f t="shared" si="53"/>
        <v>5</v>
      </c>
      <c r="K148" s="48">
        <f>J148/(MAX(J143:J150)+1)</f>
        <v>0.625</v>
      </c>
      <c r="L148" s="49">
        <f>I143*(1-K148)+I151*K148</f>
        <v>1986.4537500000001</v>
      </c>
      <c r="N148" s="45"/>
      <c r="O148" s="46">
        <f t="shared" si="79"/>
        <v>4</v>
      </c>
      <c r="P148" s="48">
        <f t="shared" si="84"/>
        <v>0.66666666666666663</v>
      </c>
      <c r="Q148" s="49">
        <f t="shared" si="85"/>
        <v>55</v>
      </c>
      <c r="R148" s="45"/>
      <c r="S148" s="46">
        <f t="shared" si="80"/>
        <v>5</v>
      </c>
      <c r="T148" s="48">
        <f t="shared" si="83"/>
        <v>0.35714285714285715</v>
      </c>
      <c r="U148" s="49">
        <f t="shared" si="86"/>
        <v>9084.5714285714275</v>
      </c>
      <c r="W148" s="47"/>
      <c r="X148" s="90"/>
      <c r="Y148" s="90"/>
      <c r="Z148" s="80">
        <f>$B$1/(Data_nieuwveer!E148+Data_nieuwveer!U148)</f>
        <v>2.6191057026162621E-2</v>
      </c>
      <c r="AA148" s="42"/>
      <c r="AB148" s="42"/>
      <c r="AC148" s="42"/>
      <c r="AD148" s="42"/>
      <c r="AF148" s="21"/>
      <c r="AT148" s="6"/>
      <c r="AU148"/>
      <c r="AV148"/>
      <c r="AW148"/>
    </row>
    <row r="149" spans="1:49" x14ac:dyDescent="0.3">
      <c r="A149" s="2">
        <f>Data_nieuwveer!A149</f>
        <v>41688</v>
      </c>
      <c r="D149">
        <f>Data_nieuwveer!F149/(Data_nieuwveer!E149-Data_nieuwveer!F149)</f>
        <v>1.1456938351419996</v>
      </c>
      <c r="F149" s="46">
        <f t="shared" si="78"/>
        <v>6</v>
      </c>
      <c r="G149" s="48">
        <f>F149/(MAX(F143:F150)+1)</f>
        <v>0.75</v>
      </c>
      <c r="H149" s="49">
        <f>E143*(1-G149)+E151*G149</f>
        <v>2369.5</v>
      </c>
      <c r="J149" s="46">
        <f t="shared" si="53"/>
        <v>6</v>
      </c>
      <c r="K149" s="48">
        <f>J149/(MAX(J143:J150)+1)</f>
        <v>0.75</v>
      </c>
      <c r="L149" s="49">
        <f>I143*(1-K149)+I151*K149</f>
        <v>1835.5125000000003</v>
      </c>
      <c r="N149" s="45"/>
      <c r="O149" s="46">
        <f t="shared" si="79"/>
        <v>5</v>
      </c>
      <c r="P149" s="48">
        <f t="shared" si="84"/>
        <v>0.83333333333333337</v>
      </c>
      <c r="Q149" s="49">
        <f t="shared" si="85"/>
        <v>56.5</v>
      </c>
      <c r="R149" s="45"/>
      <c r="S149" s="46">
        <f t="shared" si="80"/>
        <v>6</v>
      </c>
      <c r="T149" s="48">
        <f t="shared" si="83"/>
        <v>0.42857142857142855</v>
      </c>
      <c r="U149" s="49">
        <f t="shared" si="86"/>
        <v>9187.2857142857138</v>
      </c>
      <c r="W149" s="47"/>
      <c r="X149" s="90"/>
      <c r="Y149" s="90"/>
      <c r="Z149" s="80">
        <f>$B$1/(Data_nieuwveer!E149+Data_nieuwveer!U149)</f>
        <v>2.590502920236935E-2</v>
      </c>
      <c r="AA149" s="42"/>
      <c r="AB149" s="42"/>
      <c r="AC149" s="42"/>
      <c r="AD149" s="42"/>
      <c r="AF149" s="21"/>
      <c r="AT149" s="6"/>
      <c r="AU149"/>
      <c r="AV149"/>
      <c r="AW149"/>
    </row>
    <row r="150" spans="1:49" x14ac:dyDescent="0.3">
      <c r="A150" s="16">
        <f>Data_nieuwveer!A150</f>
        <v>41689</v>
      </c>
      <c r="C150">
        <f>Data_nieuwveer!P150*'Edited data A'!$B$8</f>
        <v>100.13565426170467</v>
      </c>
      <c r="D150">
        <f>Data_nieuwveer!F150/(Data_nieuwveer!E150-Data_nieuwveer!F150)</f>
        <v>1.2060653990303614</v>
      </c>
      <c r="F150" s="46">
        <f t="shared" si="78"/>
        <v>7</v>
      </c>
      <c r="G150" s="48">
        <f>F150/(MAX(F143:F150)+1)</f>
        <v>0.875</v>
      </c>
      <c r="H150" s="49">
        <f>E143*(1-G150)+E151*G150</f>
        <v>2189.75</v>
      </c>
      <c r="J150" s="46">
        <f t="shared" si="53"/>
        <v>7</v>
      </c>
      <c r="K150" s="48">
        <f>J150/(MAX(J143:J150)+1)</f>
        <v>0.875</v>
      </c>
      <c r="L150" s="49">
        <f>I143*(1-K150)+I151*K150</f>
        <v>1684.57125</v>
      </c>
      <c r="N150" s="45">
        <f>Data_nieuwveer!AV150</f>
        <v>58</v>
      </c>
      <c r="O150" s="46">
        <f t="shared" si="79"/>
        <v>0</v>
      </c>
      <c r="P150" s="48">
        <f t="shared" ref="P150:P155" si="87">O150/(MAX(O$150:O$155)+1)</f>
        <v>0</v>
      </c>
      <c r="Q150" s="49">
        <f t="shared" ref="Q150:Q153" si="88">N$150*(1-P150)+N$156*P150</f>
        <v>58</v>
      </c>
      <c r="R150" s="45"/>
      <c r="S150" s="46">
        <f t="shared" si="80"/>
        <v>7</v>
      </c>
      <c r="T150" s="48">
        <f t="shared" si="83"/>
        <v>0.5</v>
      </c>
      <c r="U150" s="49">
        <f t="shared" si="86"/>
        <v>9290</v>
      </c>
      <c r="V150">
        <f>(Data_nieuwveer!E150*C150)/(L150*$B$1)</f>
        <v>2.1793094039385683</v>
      </c>
      <c r="W150" s="47">
        <f>($B$1+$B$3)*H150/(Data_nieuwveer!AL150*'Edited data A'!U150+Data_nieuwveer!AQ150*'Edited data A'!Q150)</f>
        <v>1.1100582499921117</v>
      </c>
      <c r="X150" s="90">
        <f>($B$1*H150)/(Data_nieuwveer!AL150*'Edited data A'!U150+Data_nieuwveer!AQ150*'Edited data A'!N150)</f>
        <v>0.25525286610422382</v>
      </c>
      <c r="Y150" s="90">
        <f>X150*$B$2</f>
        <v>0.12762643305211191</v>
      </c>
      <c r="Z150" s="80">
        <f>$B$1/(Data_nieuwveer!E150+Data_nieuwveer!U150)</f>
        <v>2.627586201719042E-2</v>
      </c>
      <c r="AA150" s="42">
        <f>Data_nieuwveer!E150*Data_nieuwveer!P150/1000</f>
        <v>32079.5</v>
      </c>
      <c r="AB150" s="42">
        <f>Data_nieuwveer!AQ150*Data_nieuwveer!AR150/1000</f>
        <v>13078.66</v>
      </c>
      <c r="AC150" s="42">
        <f>Data_nieuwveer!AQ150*Data_nieuwveer!AR150/1000/B$5</f>
        <v>4719.4255959097873</v>
      </c>
      <c r="AD150" s="42">
        <f>Data_nieuwveer!AL150*Data_nieuwveer!AR150/B$5/1000</f>
        <v>87.163153770493992</v>
      </c>
      <c r="AE150">
        <f>((H150-H149)*($B$1+B$3)+Data_nieuwveer!AQ150*N150+U150*Data_nieuwveer!AL150)/(AA150*1000-(AC150+AD150)*1000)</f>
        <v>1.000613495183067</v>
      </c>
      <c r="AF150" s="21">
        <f>(AA150-AB150)/AA150</f>
        <v>0.59230474290434698</v>
      </c>
      <c r="AT150" s="6"/>
      <c r="AU150"/>
      <c r="AV150"/>
      <c r="AW150"/>
    </row>
    <row r="151" spans="1:49" x14ac:dyDescent="0.3">
      <c r="A151" s="2">
        <f>Data_nieuwveer!A151</f>
        <v>41690</v>
      </c>
      <c r="D151">
        <f>Data_nieuwveer!F151/(Data_nieuwveer!E151-Data_nieuwveer!F151)</f>
        <v>1.022555935692876</v>
      </c>
      <c r="E151" s="86">
        <f>Data_nieuwveer!AF151</f>
        <v>2010</v>
      </c>
      <c r="F151" s="46">
        <f t="shared" si="78"/>
        <v>0</v>
      </c>
      <c r="G151" s="48">
        <f>F151/(MAX(F151:F154)+1)</f>
        <v>0</v>
      </c>
      <c r="H151" s="49">
        <f>E151*(1-G151)+E155*G151</f>
        <v>2010</v>
      </c>
      <c r="I151" s="24">
        <f>E151*(1-Data_nieuwveer!AG151/100)</f>
        <v>1533.63</v>
      </c>
      <c r="J151" s="46">
        <f t="shared" si="53"/>
        <v>0</v>
      </c>
      <c r="K151" s="48">
        <f>J151/(MAX(J151:J154)+1)</f>
        <v>0</v>
      </c>
      <c r="L151" s="49">
        <f>I151*(1-K151)+I155*K151</f>
        <v>1533.63</v>
      </c>
      <c r="M151" s="24">
        <f>I151/E151</f>
        <v>0.76300000000000001</v>
      </c>
      <c r="N151" s="45"/>
      <c r="O151" s="46">
        <f t="shared" si="79"/>
        <v>1</v>
      </c>
      <c r="P151" s="48">
        <f t="shared" si="87"/>
        <v>0.16666666666666666</v>
      </c>
      <c r="Q151" s="49">
        <f t="shared" si="88"/>
        <v>58.333333333333336</v>
      </c>
      <c r="R151" s="45"/>
      <c r="S151" s="46">
        <f t="shared" si="80"/>
        <v>8</v>
      </c>
      <c r="T151" s="48">
        <f t="shared" si="83"/>
        <v>0.5714285714285714</v>
      </c>
      <c r="U151" s="49">
        <f t="shared" si="86"/>
        <v>9392.7142857142862</v>
      </c>
      <c r="W151" s="47"/>
      <c r="X151" s="90"/>
      <c r="Y151" s="90"/>
      <c r="Z151" s="80">
        <f>$B$1/(Data_nieuwveer!E151+Data_nieuwveer!U151)</f>
        <v>2.5210534978356753E-2</v>
      </c>
      <c r="AA151" s="42"/>
      <c r="AB151" s="42"/>
      <c r="AC151" s="42"/>
      <c r="AD151" s="42"/>
      <c r="AF151" s="21"/>
      <c r="AT151" s="6"/>
      <c r="AU151"/>
      <c r="AV151"/>
      <c r="AW151"/>
    </row>
    <row r="152" spans="1:49" x14ac:dyDescent="0.3">
      <c r="A152" s="2">
        <f>Data_nieuwveer!A152</f>
        <v>41691</v>
      </c>
      <c r="D152">
        <f>Data_nieuwveer!F152/(Data_nieuwveer!E152-Data_nieuwveer!F152)</f>
        <v>0.3966980459278277</v>
      </c>
      <c r="F152" s="46">
        <f t="shared" si="78"/>
        <v>1</v>
      </c>
      <c r="G152" s="48">
        <f>F152/(MAX(F151:F154)+1)</f>
        <v>0.25</v>
      </c>
      <c r="H152" s="49">
        <f>E151*(1-G152)+E155*G152</f>
        <v>2139</v>
      </c>
      <c r="J152" s="46">
        <f t="shared" ref="J152:J154" si="89">IF(I152&gt;0,0,J151+1)</f>
        <v>1</v>
      </c>
      <c r="K152" s="48">
        <f>J152/(MAX(J151:J154)+1)</f>
        <v>0.25</v>
      </c>
      <c r="L152" s="49">
        <f>I151*(1-K152)+I155*K152</f>
        <v>1635.846</v>
      </c>
      <c r="N152" s="45"/>
      <c r="O152" s="46">
        <f t="shared" si="79"/>
        <v>2</v>
      </c>
      <c r="P152" s="48">
        <f t="shared" si="87"/>
        <v>0.33333333333333331</v>
      </c>
      <c r="Q152" s="49">
        <f t="shared" si="88"/>
        <v>58.666666666666671</v>
      </c>
      <c r="R152" s="45"/>
      <c r="S152" s="46">
        <f t="shared" si="80"/>
        <v>9</v>
      </c>
      <c r="T152" s="48">
        <f t="shared" si="83"/>
        <v>0.6428571428571429</v>
      </c>
      <c r="U152" s="49">
        <f t="shared" si="86"/>
        <v>9495.4285714285706</v>
      </c>
      <c r="W152" s="47"/>
      <c r="X152" s="90"/>
      <c r="Y152" s="90"/>
      <c r="Z152" s="80">
        <f>$B$1/(Data_nieuwveer!E152+Data_nieuwveer!U152)</f>
        <v>2.178325844560269E-2</v>
      </c>
      <c r="AA152" s="42"/>
      <c r="AB152" s="42"/>
      <c r="AC152" s="42"/>
      <c r="AD152" s="42"/>
      <c r="AF152" s="21"/>
      <c r="AT152" s="6"/>
      <c r="AU152"/>
      <c r="AV152"/>
      <c r="AW152"/>
    </row>
    <row r="153" spans="1:49" x14ac:dyDescent="0.3">
      <c r="A153" s="2">
        <f>Data_nieuwveer!A153</f>
        <v>41692</v>
      </c>
      <c r="D153">
        <f>Data_nieuwveer!F153/(Data_nieuwveer!E153-Data_nieuwveer!F153)</f>
        <v>0.34372389829942201</v>
      </c>
      <c r="F153" s="46">
        <f t="shared" si="78"/>
        <v>2</v>
      </c>
      <c r="G153" s="48">
        <f>F153/(MAX(F151:F154)+1)</f>
        <v>0.5</v>
      </c>
      <c r="H153" s="49">
        <f>E151*(1-G153)+E155*G153</f>
        <v>2268</v>
      </c>
      <c r="J153" s="46">
        <f t="shared" si="89"/>
        <v>2</v>
      </c>
      <c r="K153" s="48">
        <f>J153/(MAX(J151:J154)+1)</f>
        <v>0.5</v>
      </c>
      <c r="L153" s="49">
        <f>I151*(1-K153)+I155*K153</f>
        <v>1738.0620000000001</v>
      </c>
      <c r="N153" s="45"/>
      <c r="O153" s="46">
        <f t="shared" si="79"/>
        <v>3</v>
      </c>
      <c r="P153" s="48">
        <f t="shared" si="87"/>
        <v>0.5</v>
      </c>
      <c r="Q153" s="49">
        <f t="shared" si="88"/>
        <v>59</v>
      </c>
      <c r="R153" s="45"/>
      <c r="S153" s="46">
        <f t="shared" si="80"/>
        <v>10</v>
      </c>
      <c r="T153" s="48">
        <f t="shared" si="83"/>
        <v>0.7142857142857143</v>
      </c>
      <c r="U153" s="49">
        <f t="shared" si="86"/>
        <v>9598.1428571428569</v>
      </c>
      <c r="W153" s="47"/>
      <c r="X153" s="90"/>
      <c r="Y153" s="90"/>
      <c r="Z153" s="80">
        <f>$B$1/(Data_nieuwveer!E153+Data_nieuwveer!U153)</f>
        <v>2.1165473790642625E-2</v>
      </c>
      <c r="AA153" s="42"/>
      <c r="AB153" s="42"/>
      <c r="AC153" s="42"/>
      <c r="AD153" s="42"/>
      <c r="AF153" s="21"/>
      <c r="AT153" s="6"/>
      <c r="AU153"/>
      <c r="AV153"/>
      <c r="AW153"/>
    </row>
    <row r="154" spans="1:49" x14ac:dyDescent="0.3">
      <c r="A154" s="2">
        <f>Data_nieuwveer!A154</f>
        <v>41693</v>
      </c>
      <c r="D154">
        <f>Data_nieuwveer!F154/(Data_nieuwveer!E154-Data_nieuwveer!F154)</f>
        <v>1.1274509803921569</v>
      </c>
      <c r="F154" s="46">
        <f t="shared" si="78"/>
        <v>3</v>
      </c>
      <c r="G154" s="48">
        <f>F154/(MAX(F151:F154)+1)</f>
        <v>0.75</v>
      </c>
      <c r="H154" s="49">
        <f>E151*(1-G154)+E155*G154</f>
        <v>2397</v>
      </c>
      <c r="J154" s="46">
        <f t="shared" si="89"/>
        <v>3</v>
      </c>
      <c r="K154" s="48">
        <f>J154/(MAX(J151:J154)+1)</f>
        <v>0.75</v>
      </c>
      <c r="L154" s="49">
        <f>I151*(1-K154)+I155*K154</f>
        <v>1840.278</v>
      </c>
      <c r="N154" s="45"/>
      <c r="O154" s="46">
        <f>IF(N154&gt;0,0,O153+1)</f>
        <v>4</v>
      </c>
      <c r="P154" s="48">
        <f t="shared" si="87"/>
        <v>0.66666666666666663</v>
      </c>
      <c r="Q154" s="49">
        <f>N$150*(1-P154)+N$156*P154</f>
        <v>59.333333333333336</v>
      </c>
      <c r="R154" s="45"/>
      <c r="S154" s="46">
        <f t="shared" si="80"/>
        <v>11</v>
      </c>
      <c r="T154" s="48">
        <f t="shared" si="83"/>
        <v>0.7857142857142857</v>
      </c>
      <c r="U154" s="49">
        <f t="shared" si="86"/>
        <v>9700.8571428571431</v>
      </c>
      <c r="W154" s="47"/>
      <c r="X154" s="90"/>
      <c r="Y154" s="90"/>
      <c r="Z154" s="80">
        <f>$B$1/(Data_nieuwveer!E154+Data_nieuwveer!U154)</f>
        <v>2.5984660883471046E-2</v>
      </c>
      <c r="AA154" s="42"/>
      <c r="AB154" s="42"/>
      <c r="AC154" s="42"/>
      <c r="AD154" s="42"/>
      <c r="AF154" s="21"/>
      <c r="AT154" s="6"/>
      <c r="AU154"/>
      <c r="AV154"/>
      <c r="AW154"/>
    </row>
    <row r="155" spans="1:49" x14ac:dyDescent="0.3">
      <c r="A155" s="2">
        <f>Data_nieuwveer!A155</f>
        <v>41694</v>
      </c>
      <c r="D155">
        <f>Data_nieuwveer!F155/(Data_nieuwveer!E155-Data_nieuwveer!F155)</f>
        <v>1.150043715111978</v>
      </c>
      <c r="E155" s="86">
        <f>Data_nieuwveer!AF155</f>
        <v>2526</v>
      </c>
      <c r="F155" s="46">
        <f>IF(E155&gt;0,0,F154+1)</f>
        <v>0</v>
      </c>
      <c r="G155" s="48">
        <f>F155/(MAX(F155:F157)+1)</f>
        <v>0</v>
      </c>
      <c r="H155" s="49">
        <f>E155*(1-G155)+E158*G155</f>
        <v>2526</v>
      </c>
      <c r="I155" s="24">
        <f>E155*(1-Data_nieuwveer!AG155/100)</f>
        <v>1942.4940000000001</v>
      </c>
      <c r="J155" s="46">
        <f>IF(I155&gt;0,0,J154+1)</f>
        <v>0</v>
      </c>
      <c r="K155" s="48">
        <f>J155/(MAX(J155:J157)+1)</f>
        <v>0</v>
      </c>
      <c r="L155" s="49">
        <f>I155*(1-K155)+I158*K155</f>
        <v>1942.4940000000001</v>
      </c>
      <c r="M155" s="24">
        <f>I155/E155</f>
        <v>0.76900000000000002</v>
      </c>
      <c r="N155" s="45"/>
      <c r="O155" s="46">
        <f>IF(N155&gt;0,0,O154+1)</f>
        <v>5</v>
      </c>
      <c r="P155" s="48">
        <f t="shared" si="87"/>
        <v>0.83333333333333337</v>
      </c>
      <c r="Q155" s="49">
        <f>N$150*(1-P155)+N$156*P155</f>
        <v>59.666666666666664</v>
      </c>
      <c r="R155" s="45"/>
      <c r="S155" s="46">
        <f t="shared" si="80"/>
        <v>12</v>
      </c>
      <c r="T155" s="48">
        <f t="shared" si="83"/>
        <v>0.8571428571428571</v>
      </c>
      <c r="U155" s="49">
        <f t="shared" si="86"/>
        <v>9803.5714285714294</v>
      </c>
      <c r="W155" s="47"/>
      <c r="X155" s="90"/>
      <c r="Y155" s="90"/>
      <c r="Z155" s="80">
        <f>$B$1/(Data_nieuwveer!E155+Data_nieuwveer!U155)</f>
        <v>2.6411855149840114E-2</v>
      </c>
      <c r="AA155" s="42"/>
      <c r="AB155" s="42"/>
      <c r="AC155" s="42"/>
      <c r="AD155" s="42"/>
      <c r="AF155" s="21"/>
      <c r="AT155" s="6"/>
      <c r="AU155"/>
      <c r="AV155"/>
      <c r="AW155"/>
    </row>
    <row r="156" spans="1:49" x14ac:dyDescent="0.3">
      <c r="A156" s="2">
        <f>Data_nieuwveer!A156</f>
        <v>41695</v>
      </c>
      <c r="D156">
        <f>Data_nieuwveer!F156/(Data_nieuwveer!E156-Data_nieuwveer!F156)</f>
        <v>1.2924945208924659</v>
      </c>
      <c r="F156" s="46">
        <f>IF(E156&gt;0,0,F155+1)</f>
        <v>1</v>
      </c>
      <c r="G156" s="48">
        <f>F156/(MAX(F155:F157)+1)</f>
        <v>0.33333333333333331</v>
      </c>
      <c r="H156" s="49">
        <f>E155*(1-G156)+E158*G156</f>
        <v>2557.3333333333335</v>
      </c>
      <c r="J156" s="46">
        <f>IF(I156&gt;0,0,J155+1)</f>
        <v>1</v>
      </c>
      <c r="K156" s="48">
        <f>J156/(MAX(J155:J157)+1)</f>
        <v>0.33333333333333331</v>
      </c>
      <c r="L156" s="49">
        <f>I155*(1-K156)+I158*K156</f>
        <v>1991.9160000000004</v>
      </c>
      <c r="N156" s="45">
        <f>Data_nieuwveer!AV156</f>
        <v>60</v>
      </c>
      <c r="O156" s="46">
        <f>IF(N156&gt;0,0,O155+1)</f>
        <v>0</v>
      </c>
      <c r="P156" s="48">
        <f t="shared" ref="P156:P161" si="90">O156/(MAX(O$156:O$161)+1)</f>
        <v>0</v>
      </c>
      <c r="Q156" s="49">
        <f>N$156*(1-P156)+N$162*P156</f>
        <v>60</v>
      </c>
      <c r="R156" s="45"/>
      <c r="S156" s="46">
        <f t="shared" si="80"/>
        <v>13</v>
      </c>
      <c r="T156" s="48">
        <f t="shared" si="83"/>
        <v>0.9285714285714286</v>
      </c>
      <c r="U156" s="49">
        <f>R$143*(1-T156)+R$157*T156</f>
        <v>9906.2857142857156</v>
      </c>
      <c r="W156" s="47">
        <f>($B$1+$B$3)*H156/(Data_nieuwveer!AL156*'Edited data A'!U156+Data_nieuwveer!AQ156*'Edited data A'!Q156)</f>
        <v>1.5513710944046901</v>
      </c>
      <c r="X156" s="90">
        <f>($B$1*H156)/(Data_nieuwveer!AL156*'Edited data A'!U156+Data_nieuwveer!AQ156*'Edited data A'!N156)</f>
        <v>0.35673075556247391</v>
      </c>
      <c r="Y156" s="90">
        <f>X156*$B$2</f>
        <v>0.17836537778123696</v>
      </c>
      <c r="Z156" s="80">
        <f>$B$1/(Data_nieuwveer!E156+Data_nieuwveer!U156)</f>
        <v>2.6551861475145561E-2</v>
      </c>
      <c r="AA156" s="42"/>
      <c r="AB156" s="42">
        <f>Data_nieuwveer!AQ156*Data_nieuwveer!AR156/1000</f>
        <v>16909.424999999999</v>
      </c>
      <c r="AC156" s="42">
        <f>Data_nieuwveer!AQ156*Data_nieuwveer!AR156/1000/B$5</f>
        <v>6101.7545495575887</v>
      </c>
      <c r="AD156" s="42">
        <f>Data_nieuwveer!AL156*Data_nieuwveer!AR156/B$5/1000</f>
        <v>81.858668734574891</v>
      </c>
      <c r="AF156" s="21"/>
      <c r="AT156" s="6"/>
      <c r="AU156"/>
      <c r="AV156"/>
      <c r="AW156"/>
    </row>
    <row r="157" spans="1:49" x14ac:dyDescent="0.3">
      <c r="A157" s="16">
        <f>Data_nieuwveer!A157</f>
        <v>41696</v>
      </c>
      <c r="D157">
        <f>Data_nieuwveer!F157/(Data_nieuwveer!E157-Data_nieuwveer!F157)</f>
        <v>0.60690082644628096</v>
      </c>
      <c r="F157" s="46">
        <f>IF(E157&gt;0,0,F156+1)</f>
        <v>2</v>
      </c>
      <c r="G157" s="48">
        <f>F157/(MAX(F155:F157)+1)</f>
        <v>0.66666666666666663</v>
      </c>
      <c r="H157" s="49">
        <f>E155*(1-G157)+E158*G157</f>
        <v>2588.6666666666665</v>
      </c>
      <c r="J157" s="46">
        <f>IF(I157&gt;0,0,J156+1)</f>
        <v>2</v>
      </c>
      <c r="K157" s="48">
        <f>J157/(MAX(J155:J157)+1)</f>
        <v>0.66666666666666663</v>
      </c>
      <c r="L157" s="49">
        <f>I155*(1-K157)+I158*K157</f>
        <v>2041.3380000000002</v>
      </c>
      <c r="N157" s="45"/>
      <c r="O157" s="46">
        <f>IF(N157&gt;0,0,O156+1)</f>
        <v>1</v>
      </c>
      <c r="P157" s="48">
        <f t="shared" si="90"/>
        <v>0.16666666666666666</v>
      </c>
      <c r="Q157" s="49">
        <f>N$156*(1-P157)+N$162*P157</f>
        <v>59.666666666666664</v>
      </c>
      <c r="R157" s="45">
        <f>Data_nieuwveer!AN157*B$4</f>
        <v>10009</v>
      </c>
      <c r="S157" s="46">
        <f t="shared" si="80"/>
        <v>0</v>
      </c>
      <c r="T157" s="48">
        <f>S157/(MAX(S$157:S$170)+1)</f>
        <v>0</v>
      </c>
      <c r="U157" s="49">
        <f>R$157*(1-T157)+R$171*T157</f>
        <v>10009</v>
      </c>
      <c r="W157" s="47"/>
      <c r="X157" s="90"/>
      <c r="Y157" s="90"/>
      <c r="Z157" s="80">
        <f>$B$1/(Data_nieuwveer!E157+Data_nieuwveer!U157)</f>
        <v>2.1996385679598763E-2</v>
      </c>
      <c r="AA157" s="42"/>
      <c r="AB157" s="42"/>
      <c r="AC157" s="42"/>
      <c r="AD157" s="42"/>
      <c r="AF157" s="21"/>
      <c r="AT157" s="6"/>
      <c r="AU157"/>
      <c r="AV157"/>
      <c r="AW157"/>
    </row>
    <row r="158" spans="1:49" x14ac:dyDescent="0.3">
      <c r="A158" s="2">
        <f>Data_nieuwveer!A158</f>
        <v>41697</v>
      </c>
      <c r="D158">
        <f>Data_nieuwveer!F158/(Data_nieuwveer!E158-Data_nieuwveer!F158)</f>
        <v>1.2073649260488983</v>
      </c>
      <c r="E158" s="86">
        <f>Data_nieuwveer!AF158</f>
        <v>2620</v>
      </c>
      <c r="F158" s="46">
        <f t="shared" si="78"/>
        <v>0</v>
      </c>
      <c r="G158" s="48">
        <f>F158/(MAX(F158:F161)+1)</f>
        <v>0</v>
      </c>
      <c r="H158" s="49">
        <f>E158*(1-G158)+E162*G158</f>
        <v>2620</v>
      </c>
      <c r="I158" s="24">
        <f>E158*(1-Data_nieuwveer!AG158/100)</f>
        <v>2090.7600000000002</v>
      </c>
      <c r="J158" s="46">
        <f t="shared" ref="J158:J220" si="91">IF(I158&gt;0,0,J157+1)</f>
        <v>0</v>
      </c>
      <c r="K158" s="48">
        <f>J158/(MAX(J158:J161)+1)</f>
        <v>0</v>
      </c>
      <c r="L158" s="49">
        <f>I158*(1-K158)+I162*K158</f>
        <v>2090.7600000000002</v>
      </c>
      <c r="M158" s="24">
        <f>I158/E158</f>
        <v>0.79800000000000004</v>
      </c>
      <c r="N158" s="45"/>
      <c r="O158" s="46">
        <f>IF(N158&gt;0,0,O157+1)</f>
        <v>2</v>
      </c>
      <c r="P158" s="48">
        <f t="shared" si="90"/>
        <v>0.33333333333333331</v>
      </c>
      <c r="Q158" s="49">
        <f t="shared" ref="Q158" si="92">N$156*(1-P158)+N$162*P158</f>
        <v>59.333333333333343</v>
      </c>
      <c r="R158" s="45"/>
      <c r="S158" s="46">
        <f t="shared" si="80"/>
        <v>1</v>
      </c>
      <c r="T158" s="48">
        <f>S158/(MAX(S$157:S$170)+1)</f>
        <v>7.1428571428571425E-2</v>
      </c>
      <c r="U158" s="49">
        <f t="shared" ref="U158:U170" si="93">R$157*(1-T158)+R$171*T158</f>
        <v>10041.285714285716</v>
      </c>
      <c r="W158" s="47"/>
      <c r="X158" s="90"/>
      <c r="Y158" s="90"/>
      <c r="Z158" s="80">
        <f>$B$1/(Data_nieuwveer!E158+Data_nieuwveer!U158)</f>
        <v>2.6016192478198429E-2</v>
      </c>
      <c r="AA158" s="42"/>
      <c r="AB158" s="42"/>
      <c r="AC158" s="42"/>
      <c r="AD158" s="42"/>
      <c r="AF158" s="21"/>
      <c r="AT158" s="6"/>
      <c r="AU158"/>
      <c r="AV158"/>
      <c r="AW158"/>
    </row>
    <row r="159" spans="1:49" x14ac:dyDescent="0.3">
      <c r="A159" s="2">
        <f>Data_nieuwveer!A159</f>
        <v>41698</v>
      </c>
      <c r="D159">
        <f>Data_nieuwveer!F159/(Data_nieuwveer!E159-Data_nieuwveer!F159)</f>
        <v>0.77482421540044588</v>
      </c>
      <c r="F159" s="46">
        <f t="shared" si="78"/>
        <v>1</v>
      </c>
      <c r="G159" s="48">
        <f>F159/(MAX(F158:F161)+1)</f>
        <v>0.25</v>
      </c>
      <c r="H159" s="49">
        <f>E158*(1-G159)+E162*G159</f>
        <v>2540</v>
      </c>
      <c r="J159" s="46">
        <f t="shared" si="91"/>
        <v>1</v>
      </c>
      <c r="K159" s="48">
        <f>J159/(MAX(J158:J161)+1)</f>
        <v>0.25</v>
      </c>
      <c r="L159" s="49">
        <f>I158*(1-K159)+I162*K159</f>
        <v>2020.5950000000003</v>
      </c>
      <c r="N159" s="45"/>
      <c r="O159" s="46">
        <f t="shared" si="79"/>
        <v>3</v>
      </c>
      <c r="P159" s="48">
        <f t="shared" si="90"/>
        <v>0.5</v>
      </c>
      <c r="Q159" s="49">
        <f>N$156*(1-P159)+N$162*P159</f>
        <v>59</v>
      </c>
      <c r="R159" s="45"/>
      <c r="S159" s="46">
        <f t="shared" si="80"/>
        <v>2</v>
      </c>
      <c r="T159" s="48">
        <f>S159/(MAX(S$157:S$170)+1)</f>
        <v>0.14285714285714285</v>
      </c>
      <c r="U159" s="49">
        <f t="shared" si="93"/>
        <v>10073.571428571428</v>
      </c>
      <c r="W159" s="47"/>
      <c r="X159" s="90"/>
      <c r="Y159" s="90"/>
      <c r="Z159" s="80">
        <f>$B$1/(Data_nieuwveer!E159+Data_nieuwveer!U159)</f>
        <v>2.3436398803136593E-2</v>
      </c>
      <c r="AA159" s="42"/>
      <c r="AB159" s="42"/>
      <c r="AC159" s="42"/>
      <c r="AD159" s="42"/>
      <c r="AF159" s="21"/>
      <c r="AT159" s="6"/>
      <c r="AU159"/>
      <c r="AV159"/>
      <c r="AW159"/>
    </row>
    <row r="160" spans="1:49" x14ac:dyDescent="0.3">
      <c r="A160" s="2">
        <f>Data_nieuwveer!A160</f>
        <v>41699</v>
      </c>
      <c r="D160">
        <f>Data_nieuwveer!F160/(Data_nieuwveer!E160-Data_nieuwveer!F160)</f>
        <v>0.85581508515815086</v>
      </c>
      <c r="F160" s="46">
        <f t="shared" si="78"/>
        <v>2</v>
      </c>
      <c r="G160" s="48">
        <f>F160/(MAX(F158:F161)+1)</f>
        <v>0.5</v>
      </c>
      <c r="H160" s="49">
        <f>E158*(1-G160)+E162*G160</f>
        <v>2460</v>
      </c>
      <c r="J160" s="46">
        <f t="shared" si="91"/>
        <v>2</v>
      </c>
      <c r="K160" s="48">
        <f>J160/(MAX(J158:J161)+1)</f>
        <v>0.5</v>
      </c>
      <c r="L160" s="49">
        <f>I158*(1-K160)+I162*K160</f>
        <v>1950.4300000000003</v>
      </c>
      <c r="N160" s="45"/>
      <c r="O160" s="46">
        <f t="shared" si="79"/>
        <v>4</v>
      </c>
      <c r="P160" s="48">
        <f t="shared" si="90"/>
        <v>0.66666666666666663</v>
      </c>
      <c r="Q160" s="49">
        <f>N$156*(1-P160)+N$162*P160</f>
        <v>58.666666666666671</v>
      </c>
      <c r="R160" s="45"/>
      <c r="S160" s="46">
        <f t="shared" si="80"/>
        <v>3</v>
      </c>
      <c r="T160" s="48">
        <f t="shared" ref="T160:T170" si="94">S160/(MAX(S$157:S$170)+1)</f>
        <v>0.21428571428571427</v>
      </c>
      <c r="U160" s="49">
        <f t="shared" si="93"/>
        <v>10105.857142857141</v>
      </c>
      <c r="W160" s="47"/>
      <c r="X160" s="90"/>
      <c r="Y160" s="90"/>
      <c r="Z160" s="80">
        <f>$B$1/(Data_nieuwveer!E160+Data_nieuwveer!U160)</f>
        <v>2.2372390680109489E-2</v>
      </c>
      <c r="AA160" s="42"/>
      <c r="AB160" s="42"/>
      <c r="AC160" s="42"/>
      <c r="AD160" s="42"/>
      <c r="AF160" s="21"/>
      <c r="AT160" s="6"/>
      <c r="AW160"/>
    </row>
    <row r="161" spans="1:32" x14ac:dyDescent="0.3">
      <c r="A161" s="2">
        <f>Data_nieuwveer!A161</f>
        <v>41700</v>
      </c>
      <c r="D161">
        <f>Data_nieuwveer!F161/(Data_nieuwveer!E161-Data_nieuwveer!F161)</f>
        <v>0.99941700674606482</v>
      </c>
      <c r="F161" s="46">
        <f t="shared" si="78"/>
        <v>3</v>
      </c>
      <c r="G161" s="48">
        <f>F161/(MAX(F158:F161)+1)</f>
        <v>0.75</v>
      </c>
      <c r="H161" s="49">
        <f>E158*(1-G161)+E162*G161</f>
        <v>2380</v>
      </c>
      <c r="J161" s="46">
        <f t="shared" si="91"/>
        <v>3</v>
      </c>
      <c r="K161" s="48">
        <f>J161/(MAX(J158:J161)+1)</f>
        <v>0.75</v>
      </c>
      <c r="L161" s="49">
        <f>I158*(1-K161)+I162*K161</f>
        <v>1880.2650000000001</v>
      </c>
      <c r="N161" s="45"/>
      <c r="O161" s="46">
        <f t="shared" si="79"/>
        <v>5</v>
      </c>
      <c r="P161" s="48">
        <f t="shared" si="90"/>
        <v>0.83333333333333337</v>
      </c>
      <c r="Q161" s="49">
        <f>N$156*(1-P161)+N$162*P161</f>
        <v>58.333333333333336</v>
      </c>
      <c r="R161" s="45"/>
      <c r="S161" s="46">
        <f t="shared" si="80"/>
        <v>4</v>
      </c>
      <c r="T161" s="48">
        <f t="shared" si="94"/>
        <v>0.2857142857142857</v>
      </c>
      <c r="U161" s="49">
        <f t="shared" si="93"/>
        <v>10138.142857142857</v>
      </c>
      <c r="W161" s="47"/>
      <c r="X161" s="90"/>
      <c r="Y161" s="90"/>
      <c r="Z161" s="80">
        <f>$B$1/(Data_nieuwveer!E161+Data_nieuwveer!U161)</f>
        <v>2.3770266486759707E-2</v>
      </c>
      <c r="AA161" s="42"/>
      <c r="AB161" s="42"/>
      <c r="AC161" s="42"/>
      <c r="AD161" s="42"/>
      <c r="AF161" s="21"/>
    </row>
    <row r="162" spans="1:32" x14ac:dyDescent="0.3">
      <c r="A162" s="2">
        <f>Data_nieuwveer!A162</f>
        <v>41701</v>
      </c>
      <c r="B162">
        <f>Data_nieuwveer!Q162/Data_nieuwveer!P162</f>
        <v>0.55000000000000004</v>
      </c>
      <c r="C162">
        <f>Data_nieuwveer!P162*'Edited data A'!$B$8</f>
        <v>80.108523409363741</v>
      </c>
      <c r="D162">
        <f>Data_nieuwveer!F162/(Data_nieuwveer!E162-Data_nieuwveer!F162)</f>
        <v>1.2615201317587694</v>
      </c>
      <c r="E162" s="86">
        <f>Data_nieuwveer!AF162</f>
        <v>2300</v>
      </c>
      <c r="F162" s="46">
        <f t="shared" si="78"/>
        <v>0</v>
      </c>
      <c r="G162" s="48">
        <f>F162/(MAX(F162:F164)+1)</f>
        <v>0</v>
      </c>
      <c r="H162" s="49">
        <f>E162*(1-G162)+E165*G162</f>
        <v>2300</v>
      </c>
      <c r="I162" s="24">
        <f>E162*(1-Data_nieuwveer!AG162/100)</f>
        <v>1810.1000000000001</v>
      </c>
      <c r="J162" s="46">
        <f t="shared" si="91"/>
        <v>0</v>
      </c>
      <c r="K162" s="48">
        <f>J162/(MAX(J162:J164)+1)</f>
        <v>0</v>
      </c>
      <c r="L162" s="49">
        <f>I162*(1-K162)+I165*K162</f>
        <v>1810.1000000000001</v>
      </c>
      <c r="M162" s="24">
        <f t="shared" ref="M162:M211" si="95">I162/E162</f>
        <v>0.78700000000000003</v>
      </c>
      <c r="N162" s="45">
        <f>Data_nieuwveer!AV162</f>
        <v>58</v>
      </c>
      <c r="O162" s="46">
        <f t="shared" si="79"/>
        <v>0</v>
      </c>
      <c r="P162" s="48">
        <f>O162/(MAX(O$162:O$167)+1)</f>
        <v>0</v>
      </c>
      <c r="Q162" s="49">
        <f>N$162*(1-P162)+N$168*P162</f>
        <v>58</v>
      </c>
      <c r="R162" s="45"/>
      <c r="S162" s="46">
        <f t="shared" si="80"/>
        <v>5</v>
      </c>
      <c r="T162" s="48">
        <f t="shared" si="94"/>
        <v>0.35714285714285715</v>
      </c>
      <c r="U162" s="49">
        <f t="shared" si="93"/>
        <v>10170.428571428571</v>
      </c>
      <c r="V162">
        <f>(Data_nieuwveer!E162*C162)/(L162*$B$1)</f>
        <v>1.6321004444174694</v>
      </c>
      <c r="W162" s="47">
        <f>($B$1+$B$3)*H162/(Data_nieuwveer!AL162*'Edited data A'!U162+Data_nieuwveer!AQ162*'Edited data A'!Q162)</f>
        <v>1.6791332761272462</v>
      </c>
      <c r="X162" s="90">
        <f>($B$1*H162)/(Data_nieuwveer!AL162*'Edited data A'!U162+Data_nieuwveer!AQ162*'Edited data A'!N162)</f>
        <v>0.38610909049637748</v>
      </c>
      <c r="Y162" s="90">
        <f t="shared" ref="Y162:Y216" si="96">X162*$B$2</f>
        <v>0.19305454524818874</v>
      </c>
      <c r="Z162" s="80">
        <f>$B$1/(Data_nieuwveer!E162+Data_nieuwveer!U162)</f>
        <v>2.6388446987117918E-2</v>
      </c>
      <c r="AA162" s="42">
        <f>Data_nieuwveer!E162*Data_nieuwveer!P162/1000</f>
        <v>25814.799999999999</v>
      </c>
      <c r="AB162" s="42">
        <f>Data_nieuwveer!AQ162*Data_nieuwveer!AR162/1000</f>
        <v>15759.935999999998</v>
      </c>
      <c r="AC162" s="42">
        <f>Data_nieuwveer!AQ162*Data_nieuwveer!AR162/1000/B$5</f>
        <v>5686.9622230641444</v>
      </c>
      <c r="AD162" s="42">
        <f>Data_nieuwveer!AL162*Data_nieuwveer!AR162/B$5/1000</f>
        <v>56.335796177394009</v>
      </c>
      <c r="AE162">
        <f>((H162-H161)*($B$1+B$3)+Data_nieuwveer!AQ162*N162+U162*Data_nieuwveer!AL162)/(AA162*1000-(AC162+AD162)*1000)</f>
        <v>0.97807079860033175</v>
      </c>
      <c r="AF162" s="21">
        <f>(AA162-AB162)/AA162</f>
        <v>0.38949997675751902</v>
      </c>
    </row>
    <row r="163" spans="1:32" x14ac:dyDescent="0.3">
      <c r="A163" s="2">
        <f>Data_nieuwveer!A163</f>
        <v>41702</v>
      </c>
      <c r="D163">
        <f>Data_nieuwveer!F163/(Data_nieuwveer!E163-Data_nieuwveer!F163)</f>
        <v>1.273209549071618</v>
      </c>
      <c r="F163" s="46">
        <f t="shared" si="78"/>
        <v>1</v>
      </c>
      <c r="G163" s="48">
        <f>F163/(MAX(F162:F164)+1)</f>
        <v>0.33333333333333331</v>
      </c>
      <c r="H163" s="49">
        <f>E162*(1-G163)+E165*G163</f>
        <v>2524.666666666667</v>
      </c>
      <c r="J163" s="46">
        <f t="shared" si="91"/>
        <v>1</v>
      </c>
      <c r="K163" s="48">
        <f>J163/(MAX(J162:J164)+1)</f>
        <v>0.33333333333333331</v>
      </c>
      <c r="L163" s="49">
        <f>I162*(1-K163)+I165*K163</f>
        <v>2016.6526666666668</v>
      </c>
      <c r="N163" s="45"/>
      <c r="O163" s="46">
        <f t="shared" si="79"/>
        <v>1</v>
      </c>
      <c r="P163" s="48">
        <f t="shared" ref="P163:P167" si="97">O163/(MAX(O$162:O$167)+1)</f>
        <v>0.16666666666666666</v>
      </c>
      <c r="Q163" s="49">
        <f t="shared" ref="Q163:Q166" si="98">N$162*(1-P163)+N$168*P163</f>
        <v>59.166666666666671</v>
      </c>
      <c r="R163" s="45"/>
      <c r="S163" s="46">
        <f t="shared" si="80"/>
        <v>6</v>
      </c>
      <c r="T163" s="48">
        <f t="shared" si="94"/>
        <v>0.42857142857142855</v>
      </c>
      <c r="U163" s="49">
        <f t="shared" si="93"/>
        <v>10202.714285714286</v>
      </c>
      <c r="W163" s="47"/>
      <c r="X163" s="90"/>
      <c r="Y163" s="90"/>
      <c r="Z163" s="80">
        <f>$B$1/(Data_nieuwveer!E163+Data_nieuwveer!U163)</f>
        <v>2.6484737004972454E-2</v>
      </c>
      <c r="AA163" s="42"/>
      <c r="AB163" s="42"/>
      <c r="AC163" s="42"/>
      <c r="AD163" s="42"/>
      <c r="AF163" s="21"/>
    </row>
    <row r="164" spans="1:32" x14ac:dyDescent="0.3">
      <c r="A164" s="2">
        <f>Data_nieuwveer!A164</f>
        <v>41703</v>
      </c>
      <c r="D164">
        <f>Data_nieuwveer!F164/(Data_nieuwveer!E164-Data_nieuwveer!F164)</f>
        <v>1.3019891500904159</v>
      </c>
      <c r="F164" s="46">
        <f t="shared" si="78"/>
        <v>2</v>
      </c>
      <c r="G164" s="48">
        <f>F164/(MAX(F162:F164)+1)</f>
        <v>0.66666666666666663</v>
      </c>
      <c r="H164" s="49">
        <f>E162*(1-G164)+E165*G164</f>
        <v>2749.333333333333</v>
      </c>
      <c r="J164" s="46">
        <f t="shared" si="91"/>
        <v>2</v>
      </c>
      <c r="K164" s="48">
        <f>J164/(MAX(J162:J164)+1)</f>
        <v>0.66666666666666663</v>
      </c>
      <c r="L164" s="49">
        <f>I162*(1-K164)+I165*K164</f>
        <v>2223.2053333333333</v>
      </c>
      <c r="N164" s="45"/>
      <c r="O164" s="46">
        <f t="shared" si="79"/>
        <v>2</v>
      </c>
      <c r="P164" s="48">
        <f t="shared" si="97"/>
        <v>0.33333333333333331</v>
      </c>
      <c r="Q164" s="49">
        <f>N$162*(1-P164)+N$168*P164</f>
        <v>60.333333333333336</v>
      </c>
      <c r="R164" s="45"/>
      <c r="S164" s="46">
        <f t="shared" si="80"/>
        <v>7</v>
      </c>
      <c r="T164" s="48">
        <f t="shared" si="94"/>
        <v>0.5</v>
      </c>
      <c r="U164" s="49">
        <f t="shared" si="93"/>
        <v>10235</v>
      </c>
      <c r="W164" s="47"/>
      <c r="X164" s="90"/>
      <c r="Y164" s="90"/>
      <c r="Z164" s="80">
        <f>$B$1/(Data_nieuwveer!E164+Data_nieuwveer!U164)</f>
        <v>2.676439494305875E-2</v>
      </c>
      <c r="AA164" s="42"/>
      <c r="AB164" s="42"/>
      <c r="AC164" s="42"/>
      <c r="AD164" s="42"/>
      <c r="AF164" s="21"/>
    </row>
    <row r="165" spans="1:32" x14ac:dyDescent="0.3">
      <c r="A165" s="2">
        <f>Data_nieuwveer!A165</f>
        <v>41704</v>
      </c>
      <c r="D165">
        <f>Data_nieuwveer!F165/(Data_nieuwveer!E165-Data_nieuwveer!F165)</f>
        <v>1.2972972972972974</v>
      </c>
      <c r="E165" s="86">
        <f>Data_nieuwveer!AF165</f>
        <v>2974</v>
      </c>
      <c r="F165" s="46">
        <f t="shared" si="78"/>
        <v>0</v>
      </c>
      <c r="G165" s="48">
        <f>F165/(MAX(F165:F168)+1)</f>
        <v>0</v>
      </c>
      <c r="H165" s="49">
        <f>E165*(1-G165)+E169*G165</f>
        <v>2974</v>
      </c>
      <c r="I165" s="24">
        <f>E165*(1-Data_nieuwveer!AG165/100)</f>
        <v>2429.7579999999998</v>
      </c>
      <c r="J165" s="46">
        <f t="shared" si="91"/>
        <v>0</v>
      </c>
      <c r="K165" s="48">
        <f>J165/(MAX(J165:J168)+1)</f>
        <v>0</v>
      </c>
      <c r="L165" s="49">
        <f>I165*(1-K165)+I169*K165</f>
        <v>2429.7579999999998</v>
      </c>
      <c r="M165" s="24">
        <f t="shared" si="95"/>
        <v>0.81699999999999995</v>
      </c>
      <c r="N165" s="45"/>
      <c r="O165" s="46">
        <f t="shared" si="79"/>
        <v>3</v>
      </c>
      <c r="P165" s="48">
        <f t="shared" si="97"/>
        <v>0.5</v>
      </c>
      <c r="Q165" s="49">
        <f>N$162*(1-P165)+N$168*P165</f>
        <v>61.5</v>
      </c>
      <c r="R165" s="45"/>
      <c r="S165" s="46">
        <f t="shared" si="80"/>
        <v>8</v>
      </c>
      <c r="T165" s="48">
        <f t="shared" si="94"/>
        <v>0.5714285714285714</v>
      </c>
      <c r="U165" s="49">
        <f t="shared" si="93"/>
        <v>10267.285714285714</v>
      </c>
      <c r="W165" s="47"/>
      <c r="X165" s="90"/>
      <c r="Y165" s="90"/>
      <c r="Z165" s="80">
        <f>$B$1/(Data_nieuwveer!E165+Data_nieuwveer!U165)</f>
        <v>2.6695311702239214E-2</v>
      </c>
      <c r="AA165" s="42"/>
      <c r="AB165" s="42"/>
      <c r="AC165" s="42"/>
      <c r="AD165" s="42"/>
      <c r="AF165" s="21"/>
    </row>
    <row r="166" spans="1:32" x14ac:dyDescent="0.3">
      <c r="A166" s="2">
        <f>Data_nieuwveer!A166</f>
        <v>41705</v>
      </c>
      <c r="D166">
        <f>Data_nieuwveer!F166/(Data_nieuwveer!E166-Data_nieuwveer!F166)</f>
        <v>1.4007782101167314</v>
      </c>
      <c r="F166" s="46">
        <f t="shared" si="78"/>
        <v>1</v>
      </c>
      <c r="G166" s="48">
        <f>F166/(MAX(F165:F168)+1)</f>
        <v>0.25</v>
      </c>
      <c r="H166" s="49">
        <f>E165*(1-G166)+E169*G166</f>
        <v>2910.5</v>
      </c>
      <c r="J166" s="46">
        <f t="shared" si="91"/>
        <v>1</v>
      </c>
      <c r="K166" s="48">
        <f>J166/(MAX(J165:J168)+1)</f>
        <v>0.25</v>
      </c>
      <c r="L166" s="49">
        <f>I165*(1-K166)+I169*K166</f>
        <v>2393.5184999999997</v>
      </c>
      <c r="N166" s="45"/>
      <c r="O166" s="46">
        <f t="shared" si="79"/>
        <v>4</v>
      </c>
      <c r="P166" s="48">
        <f t="shared" si="97"/>
        <v>0.66666666666666663</v>
      </c>
      <c r="Q166" s="49">
        <f t="shared" si="98"/>
        <v>62.666666666666664</v>
      </c>
      <c r="R166" s="45"/>
      <c r="S166" s="46">
        <f t="shared" si="80"/>
        <v>9</v>
      </c>
      <c r="T166" s="48">
        <f t="shared" si="94"/>
        <v>0.6428571428571429</v>
      </c>
      <c r="U166" s="49">
        <f t="shared" si="93"/>
        <v>10299.571428571428</v>
      </c>
      <c r="W166" s="47"/>
      <c r="X166" s="90"/>
      <c r="Y166" s="90"/>
      <c r="Z166" s="80">
        <f>$B$1/(Data_nieuwveer!E166+Data_nieuwveer!U166)</f>
        <v>2.7594895890370997E-2</v>
      </c>
      <c r="AA166" s="42"/>
      <c r="AB166" s="42"/>
      <c r="AC166" s="42"/>
      <c r="AD166" s="42"/>
      <c r="AF166" s="21"/>
    </row>
    <row r="167" spans="1:32" x14ac:dyDescent="0.3">
      <c r="A167" s="2">
        <f>Data_nieuwveer!A167</f>
        <v>41706</v>
      </c>
      <c r="D167">
        <f>Data_nieuwveer!F167/(Data_nieuwveer!E167-Data_nieuwveer!F167)</f>
        <v>1.3936557059961314</v>
      </c>
      <c r="F167" s="46">
        <f t="shared" si="78"/>
        <v>2</v>
      </c>
      <c r="G167" s="48">
        <f>F167/(MAX(F165:F168)+1)</f>
        <v>0.5</v>
      </c>
      <c r="H167" s="49">
        <f>E165*(1-G167)+E169*G167</f>
        <v>2847</v>
      </c>
      <c r="J167" s="46">
        <f t="shared" si="91"/>
        <v>2</v>
      </c>
      <c r="K167" s="48">
        <f>J167/(MAX(J165:J168)+1)</f>
        <v>0.5</v>
      </c>
      <c r="L167" s="49">
        <f>I165*(1-K167)+I169*K167</f>
        <v>2357.2789999999995</v>
      </c>
      <c r="N167" s="45"/>
      <c r="O167" s="46">
        <f t="shared" si="79"/>
        <v>5</v>
      </c>
      <c r="P167" s="48">
        <f t="shared" si="97"/>
        <v>0.83333333333333337</v>
      </c>
      <c r="Q167" s="49">
        <f>N$162*(1-P167)+N$168*P167</f>
        <v>63.833333333333336</v>
      </c>
      <c r="R167" s="45"/>
      <c r="S167" s="46">
        <f t="shared" si="80"/>
        <v>10</v>
      </c>
      <c r="T167" s="48">
        <f t="shared" si="94"/>
        <v>0.7142857142857143</v>
      </c>
      <c r="U167" s="49">
        <f t="shared" si="93"/>
        <v>10331.857142857143</v>
      </c>
      <c r="W167" s="47"/>
      <c r="X167" s="90"/>
      <c r="Y167" s="90"/>
      <c r="Z167" s="80">
        <f>$B$1/(Data_nieuwveer!E167+Data_nieuwveer!U167)</f>
        <v>2.7609338898324273E-2</v>
      </c>
      <c r="AA167" s="42"/>
      <c r="AB167" s="42"/>
      <c r="AC167" s="42"/>
      <c r="AD167" s="42"/>
      <c r="AF167" s="21"/>
    </row>
    <row r="168" spans="1:32" x14ac:dyDescent="0.3">
      <c r="A168" s="2">
        <f>Data_nieuwveer!A168</f>
        <v>41707</v>
      </c>
      <c r="C168">
        <f>Data_nieuwveer!P168*'Edited data A'!$B$8</f>
        <v>100.13565426170467</v>
      </c>
      <c r="D168">
        <f>Data_nieuwveer!F168/(Data_nieuwveer!E168-Data_nieuwveer!F168)</f>
        <v>1.3533834586466165</v>
      </c>
      <c r="F168" s="46">
        <f t="shared" si="78"/>
        <v>3</v>
      </c>
      <c r="G168" s="48">
        <f>F168/(MAX(F165:F168)+1)</f>
        <v>0.75</v>
      </c>
      <c r="H168" s="49">
        <f>E165*(1-G168)+E169*G168</f>
        <v>2783.5</v>
      </c>
      <c r="J168" s="46">
        <f t="shared" si="91"/>
        <v>3</v>
      </c>
      <c r="K168" s="48">
        <f>J168/(MAX(J165:J168)+1)</f>
        <v>0.75</v>
      </c>
      <c r="L168" s="49">
        <f>I165*(1-K168)+I169*K168</f>
        <v>2321.0394999999999</v>
      </c>
      <c r="N168" s="45">
        <f>Data_nieuwveer!AV168</f>
        <v>65</v>
      </c>
      <c r="O168" s="46">
        <f t="shared" si="79"/>
        <v>0</v>
      </c>
      <c r="P168" s="48">
        <f>O168/(MAX(O$168:O$173)+1)</f>
        <v>0</v>
      </c>
      <c r="Q168" s="49">
        <f>N$168*(1-P168)+N$174*P168</f>
        <v>65</v>
      </c>
      <c r="R168" s="45"/>
      <c r="S168" s="46">
        <f t="shared" si="80"/>
        <v>11</v>
      </c>
      <c r="T168" s="48">
        <f t="shared" si="94"/>
        <v>0.7857142857142857</v>
      </c>
      <c r="U168" s="49">
        <f t="shared" si="93"/>
        <v>10364.142857142857</v>
      </c>
      <c r="V168">
        <f>(Data_nieuwveer!E168*C168)/(L168*$B$1)</f>
        <v>1.5432720571432912</v>
      </c>
      <c r="W168" s="47">
        <f>($B$1+$B$3)*H168/(Data_nieuwveer!AL168*'Edited data A'!U168+Data_nieuwveer!AQ168*'Edited data A'!Q168)</f>
        <v>2.0286009414723569</v>
      </c>
      <c r="X168" s="90">
        <f>($B$1*H168)/(Data_nieuwveer!AL168*'Edited data A'!U168+Data_nieuwveer!AQ168*'Edited data A'!N168)</f>
        <v>0.46646759707990598</v>
      </c>
      <c r="Y168" s="90">
        <f t="shared" si="96"/>
        <v>0.23323379853995299</v>
      </c>
      <c r="Z168" s="80">
        <f>$B$1/(Data_nieuwveer!E168+Data_nieuwveer!U168)</f>
        <v>2.7309272044044392E-2</v>
      </c>
      <c r="AA168" s="42">
        <f>Data_nieuwveer!E168*Data_nieuwveer!P168/1000</f>
        <v>31300</v>
      </c>
      <c r="AB168" s="42">
        <f>Data_nieuwveer!AQ168*Data_nieuwveer!AR168/1000</f>
        <v>19041.39</v>
      </c>
      <c r="AC168" s="42">
        <f>Data_nieuwveer!AQ168*Data_nieuwveer!AR168/1000/B$5</f>
        <v>6871.0726747006693</v>
      </c>
      <c r="AD168" s="42">
        <f>Data_nieuwveer!AL168*Data_nieuwveer!AR168/B$5/1000</f>
        <v>65.981298559034684</v>
      </c>
      <c r="AE168">
        <f>((H168-H167)*($B$1+B$3)+Data_nieuwveer!AQ168*N168+U168*Data_nieuwveer!AL168)/(AA168*1000-(AC168+AD168)*1000)</f>
        <v>0.81757869598343502</v>
      </c>
      <c r="AF168" s="21">
        <f t="shared" ref="AF168:AF216" si="99">(AA168-AB168)/AA168</f>
        <v>0.39164888178913743</v>
      </c>
    </row>
    <row r="169" spans="1:32" x14ac:dyDescent="0.3">
      <c r="A169" s="2">
        <f>Data_nieuwveer!A169</f>
        <v>41708</v>
      </c>
      <c r="D169">
        <f>Data_nieuwveer!F169/(Data_nieuwveer!E169-Data_nieuwveer!F169)</f>
        <v>1.3610586011342154</v>
      </c>
      <c r="E169" s="86">
        <f>Data_nieuwveer!AF169</f>
        <v>2720</v>
      </c>
      <c r="F169" s="46">
        <f t="shared" si="78"/>
        <v>0</v>
      </c>
      <c r="G169" s="48">
        <f>F169/(MAX(F169:F171)+1)</f>
        <v>0</v>
      </c>
      <c r="H169" s="49">
        <f>E169*(1-G169)+E172*G169</f>
        <v>2720</v>
      </c>
      <c r="I169" s="24">
        <f>E169*(1-Data_nieuwveer!AG169/100)</f>
        <v>2284.7999999999997</v>
      </c>
      <c r="J169" s="46">
        <f t="shared" si="91"/>
        <v>0</v>
      </c>
      <c r="K169" s="48">
        <f>J169/(MAX(J169:J171)+1)</f>
        <v>0</v>
      </c>
      <c r="L169" s="49">
        <f>I169*(1-K169)+I172*K169</f>
        <v>2284.7999999999997</v>
      </c>
      <c r="M169" s="24">
        <f t="shared" si="95"/>
        <v>0.83999999999999986</v>
      </c>
      <c r="N169" s="45"/>
      <c r="O169" s="46">
        <f t="shared" si="79"/>
        <v>1</v>
      </c>
      <c r="P169" s="48">
        <f t="shared" ref="P169:P173" si="100">O169/(MAX(O$168:O$173)+1)</f>
        <v>0.16666666666666666</v>
      </c>
      <c r="Q169" s="49">
        <f t="shared" ref="Q169:Q173" si="101">N$168*(1-P169)+N$174*P169</f>
        <v>65.5</v>
      </c>
      <c r="R169" s="45"/>
      <c r="S169" s="46">
        <f t="shared" si="80"/>
        <v>12</v>
      </c>
      <c r="T169" s="48">
        <f t="shared" si="94"/>
        <v>0.8571428571428571</v>
      </c>
      <c r="U169" s="49">
        <f t="shared" si="93"/>
        <v>10396.428571428571</v>
      </c>
      <c r="W169" s="47"/>
      <c r="X169" s="90"/>
      <c r="Y169" s="90"/>
      <c r="Z169" s="80">
        <f>$B$1/(Data_nieuwveer!E169+Data_nieuwveer!U169)</f>
        <v>2.7358155778902327E-2</v>
      </c>
      <c r="AA169" s="42"/>
      <c r="AB169" s="42"/>
      <c r="AC169" s="42"/>
      <c r="AD169" s="42"/>
      <c r="AF169" s="21"/>
    </row>
    <row r="170" spans="1:32" x14ac:dyDescent="0.3">
      <c r="A170" s="2">
        <f>Data_nieuwveer!A170</f>
        <v>41709</v>
      </c>
      <c r="D170">
        <f>Data_nieuwveer!F170/(Data_nieuwveer!E170-Data_nieuwveer!F170)</f>
        <v>1.4649033570701933</v>
      </c>
      <c r="F170" s="46">
        <f t="shared" si="78"/>
        <v>1</v>
      </c>
      <c r="G170" s="48">
        <f>F170/(MAX(F169:F171)+1)</f>
        <v>0.33333333333333331</v>
      </c>
      <c r="H170" s="49">
        <f>E169*(1-G170)+E172*G170</f>
        <v>2753.3333333333335</v>
      </c>
      <c r="J170" s="46">
        <f t="shared" si="91"/>
        <v>1</v>
      </c>
      <c r="K170" s="48">
        <f>J170/(MAX(J169:J171)+1)</f>
        <v>0.33333333333333331</v>
      </c>
      <c r="L170" s="49">
        <f>I169*(1-K170)+I172*K170</f>
        <v>2296.8199999999997</v>
      </c>
      <c r="N170" s="45"/>
      <c r="O170" s="46">
        <f t="shared" si="79"/>
        <v>2</v>
      </c>
      <c r="P170" s="48">
        <f t="shared" si="100"/>
        <v>0.33333333333333331</v>
      </c>
      <c r="Q170" s="49">
        <f t="shared" si="101"/>
        <v>66</v>
      </c>
      <c r="R170" s="45"/>
      <c r="S170" s="46">
        <f t="shared" si="80"/>
        <v>13</v>
      </c>
      <c r="T170" s="48">
        <f t="shared" si="94"/>
        <v>0.9285714285714286</v>
      </c>
      <c r="U170" s="49">
        <f t="shared" si="93"/>
        <v>10428.714285714284</v>
      </c>
      <c r="W170" s="47"/>
      <c r="X170" s="90"/>
      <c r="Y170" s="90"/>
      <c r="Z170" s="80">
        <f>$B$1/(Data_nieuwveer!E170+Data_nieuwveer!U170)</f>
        <v>2.8651676655186895E-2</v>
      </c>
      <c r="AA170" s="42"/>
      <c r="AB170" s="42"/>
      <c r="AC170" s="42"/>
      <c r="AD170" s="42"/>
      <c r="AF170" s="21"/>
    </row>
    <row r="171" spans="1:32" x14ac:dyDescent="0.3">
      <c r="A171" s="2">
        <f>Data_nieuwveer!A171</f>
        <v>41710</v>
      </c>
      <c r="D171">
        <f>Data_nieuwveer!F171/(Data_nieuwveer!E171-Data_nieuwveer!F171)</f>
        <v>1.4501510574018126</v>
      </c>
      <c r="F171" s="46">
        <f t="shared" si="78"/>
        <v>2</v>
      </c>
      <c r="G171" s="48">
        <f>F171/(MAX(F169:F171)+1)</f>
        <v>0.66666666666666663</v>
      </c>
      <c r="H171" s="49">
        <f>E169*(1-G171)+E172*G171</f>
        <v>2786.666666666667</v>
      </c>
      <c r="J171" s="46">
        <f t="shared" si="91"/>
        <v>2</v>
      </c>
      <c r="K171" s="48">
        <f>J171/(MAX(J169:J171)+1)</f>
        <v>0.66666666666666663</v>
      </c>
      <c r="L171" s="49">
        <f>I169*(1-K171)+I172*K171</f>
        <v>2308.8399999999997</v>
      </c>
      <c r="N171" s="45"/>
      <c r="O171" s="46">
        <f t="shared" si="79"/>
        <v>3</v>
      </c>
      <c r="P171" s="48">
        <f t="shared" si="100"/>
        <v>0.5</v>
      </c>
      <c r="Q171" s="49">
        <f t="shared" si="101"/>
        <v>66.5</v>
      </c>
      <c r="R171" s="45">
        <f>Data_nieuwveer!AN171*B$4</f>
        <v>10461</v>
      </c>
      <c r="S171" s="46">
        <f t="shared" si="80"/>
        <v>0</v>
      </c>
      <c r="T171" s="48">
        <f>S171/(MAX(S$171:S$177)+1)</f>
        <v>0</v>
      </c>
      <c r="U171" s="49">
        <f>R$171*(1-T171)+R$178*T171</f>
        <v>10461</v>
      </c>
      <c r="W171" s="47"/>
      <c r="X171" s="90"/>
      <c r="Y171" s="90"/>
      <c r="Z171" s="80">
        <f>$B$1/(Data_nieuwveer!E171+Data_nieuwveer!U171)</f>
        <v>2.8060307212260591E-2</v>
      </c>
      <c r="AA171" s="42"/>
      <c r="AB171" s="42"/>
      <c r="AC171" s="42"/>
      <c r="AD171" s="42"/>
      <c r="AF171" s="21"/>
    </row>
    <row r="172" spans="1:32" x14ac:dyDescent="0.3">
      <c r="A172" s="2">
        <f>Data_nieuwveer!A172</f>
        <v>41711</v>
      </c>
      <c r="D172">
        <f>Data_nieuwveer!F172/(Data_nieuwveer!E172-Data_nieuwveer!F172)</f>
        <v>1.4007782101167314</v>
      </c>
      <c r="E172" s="86">
        <f>Data_nieuwveer!AF172</f>
        <v>2820</v>
      </c>
      <c r="F172" s="46">
        <f t="shared" si="78"/>
        <v>0</v>
      </c>
      <c r="G172" s="48">
        <f>F172/(MAX(F172:F175)+1)</f>
        <v>0</v>
      </c>
      <c r="H172" s="49">
        <f>E172*(1-G172)+E176*G172</f>
        <v>2820</v>
      </c>
      <c r="I172" s="24">
        <f>E172*(1-Data_nieuwveer!AG172/100)</f>
        <v>2320.8599999999997</v>
      </c>
      <c r="J172" s="46">
        <f t="shared" si="91"/>
        <v>0</v>
      </c>
      <c r="K172" s="48">
        <f>J172/(MAX(J172:J175)+1)</f>
        <v>0</v>
      </c>
      <c r="L172" s="49">
        <f>I172*(1-K172)+I176*K172</f>
        <v>2320.8599999999997</v>
      </c>
      <c r="M172" s="24">
        <f t="shared" si="95"/>
        <v>0.82299999999999984</v>
      </c>
      <c r="N172" s="45"/>
      <c r="O172" s="46">
        <f t="shared" si="79"/>
        <v>4</v>
      </c>
      <c r="P172" s="48">
        <f t="shared" si="100"/>
        <v>0.66666666666666663</v>
      </c>
      <c r="Q172" s="49">
        <f t="shared" si="101"/>
        <v>67</v>
      </c>
      <c r="R172" s="45"/>
      <c r="S172" s="46">
        <f t="shared" si="80"/>
        <v>1</v>
      </c>
      <c r="T172" s="48">
        <f t="shared" ref="T172:T177" si="102">S172/(MAX(S$171:S$177)+1)</f>
        <v>0.14285714285714285</v>
      </c>
      <c r="U172" s="49">
        <f t="shared" ref="U172:U177" si="103">R$171*(1-T172)+R$178*T172</f>
        <v>10462.714285714286</v>
      </c>
      <c r="W172" s="47"/>
      <c r="X172" s="90"/>
      <c r="Y172" s="90"/>
      <c r="Z172" s="80">
        <f>$B$1/(Data_nieuwveer!E172+Data_nieuwveer!U172)</f>
        <v>2.7506284203573223E-2</v>
      </c>
      <c r="AA172" s="42"/>
      <c r="AB172" s="42"/>
      <c r="AC172" s="42"/>
      <c r="AD172" s="42"/>
      <c r="AF172" s="21"/>
    </row>
    <row r="173" spans="1:32" x14ac:dyDescent="0.3">
      <c r="A173" s="2">
        <f>Data_nieuwveer!A173</f>
        <v>41712</v>
      </c>
      <c r="D173">
        <f>Data_nieuwveer!F173/(Data_nieuwveer!E173-Data_nieuwveer!F173)</f>
        <v>1.3672106261859582</v>
      </c>
      <c r="F173" s="46">
        <f t="shared" si="78"/>
        <v>1</v>
      </c>
      <c r="G173" s="48">
        <f>F173/(MAX(F172:F175)+1)</f>
        <v>0.25</v>
      </c>
      <c r="H173" s="49">
        <f>E172*(1-G173)+E176*G173</f>
        <v>2828</v>
      </c>
      <c r="J173" s="46">
        <f t="shared" si="91"/>
        <v>1</v>
      </c>
      <c r="K173" s="48">
        <f>J173/(MAX(J172:J175)+1)</f>
        <v>0.25</v>
      </c>
      <c r="L173" s="49">
        <f>I172*(1-K173)+I176*K173</f>
        <v>2338.8519999999999</v>
      </c>
      <c r="N173" s="45"/>
      <c r="O173" s="46">
        <f t="shared" si="79"/>
        <v>5</v>
      </c>
      <c r="P173" s="48">
        <f t="shared" si="100"/>
        <v>0.83333333333333337</v>
      </c>
      <c r="Q173" s="49">
        <f t="shared" si="101"/>
        <v>67.5</v>
      </c>
      <c r="R173" s="45"/>
      <c r="S173" s="46">
        <f t="shared" si="80"/>
        <v>2</v>
      </c>
      <c r="T173" s="48">
        <f t="shared" si="102"/>
        <v>0.2857142857142857</v>
      </c>
      <c r="U173" s="49">
        <f t="shared" si="103"/>
        <v>10464.428571428571</v>
      </c>
      <c r="W173" s="47"/>
      <c r="X173" s="90"/>
      <c r="Y173" s="90"/>
      <c r="Z173" s="80">
        <f>$B$1/(Data_nieuwveer!E173+Data_nieuwveer!U173)</f>
        <v>2.7223223431883995E-2</v>
      </c>
      <c r="AA173" s="42"/>
      <c r="AB173" s="42"/>
      <c r="AC173" s="42"/>
      <c r="AD173" s="42"/>
      <c r="AF173" s="21"/>
    </row>
    <row r="174" spans="1:32" x14ac:dyDescent="0.3">
      <c r="A174" s="2">
        <f>Data_nieuwveer!A174</f>
        <v>41713</v>
      </c>
      <c r="C174">
        <f>Data_nieuwveer!P174*'Edited data A'!$B$8</f>
        <v>104.14108043217286</v>
      </c>
      <c r="D174">
        <f>Data_nieuwveer!F174/(Data_nieuwveer!E174-Data_nieuwveer!F174)</f>
        <v>1.3103397612488521</v>
      </c>
      <c r="F174" s="46">
        <f t="shared" si="78"/>
        <v>2</v>
      </c>
      <c r="G174" s="48">
        <f>F174/(MAX(F172:F175)+1)</f>
        <v>0.5</v>
      </c>
      <c r="H174" s="49">
        <f>E172*(1-G174)+E176*G174</f>
        <v>2836</v>
      </c>
      <c r="J174" s="46">
        <f t="shared" si="91"/>
        <v>2</v>
      </c>
      <c r="K174" s="48">
        <f>J174/(MAX(J172:J175)+1)</f>
        <v>0.5</v>
      </c>
      <c r="L174" s="49">
        <f>I172*(1-K174)+I176*K174</f>
        <v>2356.8440000000001</v>
      </c>
      <c r="N174" s="45">
        <f>Data_nieuwveer!AV174</f>
        <v>68</v>
      </c>
      <c r="O174" s="46">
        <f t="shared" si="79"/>
        <v>0</v>
      </c>
      <c r="P174" s="48">
        <f>O174/(MAX(O$174:O$179)+1)</f>
        <v>0</v>
      </c>
      <c r="Q174" s="49">
        <f>N$174*(1-P174)+N$180*P174</f>
        <v>68</v>
      </c>
      <c r="R174" s="45"/>
      <c r="S174" s="46">
        <f t="shared" si="80"/>
        <v>3</v>
      </c>
      <c r="T174" s="48">
        <f t="shared" si="102"/>
        <v>0.42857142857142855</v>
      </c>
      <c r="U174" s="49">
        <f t="shared" si="103"/>
        <v>10466.142857142857</v>
      </c>
      <c r="V174">
        <f>(Data_nieuwveer!E174*C174)/(L174*$B$1)</f>
        <v>1.5881698014325794</v>
      </c>
      <c r="W174" s="47">
        <f>($B$1+$B$3)*H174/(Data_nieuwveer!AL174*'Edited data A'!U174+Data_nieuwveer!AQ174*'Edited data A'!Q174)</f>
        <v>1.8156535640183211</v>
      </c>
      <c r="X174" s="90">
        <f>($B$1*H174)/(Data_nieuwveer!AL174*'Edited data A'!U174+Data_nieuwveer!AQ174*'Edited data A'!N174)</f>
        <v>0.41750131227016118</v>
      </c>
      <c r="Y174" s="90">
        <f t="shared" si="96"/>
        <v>0.20875065613508059</v>
      </c>
      <c r="Z174" s="80">
        <f>$B$1/(Data_nieuwveer!E174+Data_nieuwveer!U174)</f>
        <v>2.7009090488170018E-2</v>
      </c>
      <c r="AA174" s="42">
        <f>Data_nieuwveer!E174*Data_nieuwveer!P174/1000</f>
        <v>32707.48</v>
      </c>
      <c r="AB174" s="42">
        <f>Data_nieuwveer!AQ174*Data_nieuwveer!AR174/1000</f>
        <v>19222.05</v>
      </c>
      <c r="AC174" s="42">
        <f>Data_nieuwveer!AQ174*Data_nieuwveer!AR174/1000/B$5</f>
        <v>6936.2637132441487</v>
      </c>
      <c r="AD174" s="42">
        <f>Data_nieuwveer!AL174*Data_nieuwveer!AR174/B$5/1000</f>
        <v>77.889326190689843</v>
      </c>
      <c r="AE174">
        <f>((H174-H173)*($B$1+B$3)+Data_nieuwveer!AQ174*N174+U174*Data_nieuwveer!AL174)/(AA174*1000-(AC174+AD174)*1000)</f>
        <v>0.9300680915362054</v>
      </c>
      <c r="AF174" s="21">
        <f t="shared" si="99"/>
        <v>0.41230415794796788</v>
      </c>
    </row>
    <row r="175" spans="1:32" x14ac:dyDescent="0.3">
      <c r="A175" s="2">
        <f>Data_nieuwveer!A175</f>
        <v>41714</v>
      </c>
      <c r="D175">
        <f>Data_nieuwveer!F175/(Data_nieuwveer!E175-Data_nieuwveer!F175)</f>
        <v>1.2995594713656389</v>
      </c>
      <c r="F175" s="46">
        <f t="shared" si="78"/>
        <v>3</v>
      </c>
      <c r="G175" s="48">
        <f>F175/(MAX(F172:F175)+1)</f>
        <v>0.75</v>
      </c>
      <c r="H175" s="49">
        <f>E172*(1-G175)+E176*G175</f>
        <v>2844</v>
      </c>
      <c r="J175" s="46">
        <f t="shared" si="91"/>
        <v>3</v>
      </c>
      <c r="K175" s="48">
        <f>J175/(MAX(J172:J175)+1)</f>
        <v>0.75</v>
      </c>
      <c r="L175" s="49">
        <f>I172*(1-K175)+I176*K175</f>
        <v>2374.8360000000002</v>
      </c>
      <c r="N175" s="45"/>
      <c r="O175" s="46">
        <f>IF(N175&gt;0,0,O174+1)</f>
        <v>1</v>
      </c>
      <c r="P175" s="48">
        <f t="shared" ref="P175:P179" si="104">O175/(MAX(O$174:O$179)+1)</f>
        <v>0.16666666666666666</v>
      </c>
      <c r="Q175" s="49">
        <f t="shared" ref="Q175:Q179" si="105">N$174*(1-P175)+N$180*P175</f>
        <v>70.333333333333343</v>
      </c>
      <c r="R175" s="45"/>
      <c r="S175" s="46">
        <f t="shared" si="80"/>
        <v>4</v>
      </c>
      <c r="T175" s="48">
        <f t="shared" si="102"/>
        <v>0.5714285714285714</v>
      </c>
      <c r="U175" s="49">
        <f t="shared" si="103"/>
        <v>10467.857142857143</v>
      </c>
      <c r="W175" s="47"/>
      <c r="X175" s="90"/>
      <c r="Y175" s="90"/>
      <c r="Z175" s="80">
        <f>$B$1/(Data_nieuwveer!E175+Data_nieuwveer!U175)</f>
        <v>3.243724667089587E-2</v>
      </c>
      <c r="AA175" s="42"/>
      <c r="AB175" s="42"/>
      <c r="AC175" s="42"/>
      <c r="AD175" s="42"/>
      <c r="AF175" s="21"/>
    </row>
    <row r="176" spans="1:32" x14ac:dyDescent="0.3">
      <c r="A176" s="2">
        <f>Data_nieuwveer!A176</f>
        <v>41715</v>
      </c>
      <c r="D176">
        <f>Data_nieuwveer!F176/(Data_nieuwveer!E176-Data_nieuwveer!F176)</f>
        <v>1.330230840258541</v>
      </c>
      <c r="E176" s="86">
        <f>Data_nieuwveer!AF176</f>
        <v>2852</v>
      </c>
      <c r="F176" s="46">
        <f t="shared" si="78"/>
        <v>0</v>
      </c>
      <c r="G176" s="48">
        <f>F176/(MAX(F176:F178)+1)</f>
        <v>0</v>
      </c>
      <c r="H176" s="49">
        <f>E176*(1-G176)+E179*G176</f>
        <v>2852</v>
      </c>
      <c r="I176" s="24">
        <f>E176*(1-Data_nieuwveer!AG176/100)</f>
        <v>2392.828</v>
      </c>
      <c r="J176" s="46">
        <f t="shared" si="91"/>
        <v>0</v>
      </c>
      <c r="K176" s="48">
        <f>J176/(MAX(J176:J178)+1)</f>
        <v>0</v>
      </c>
      <c r="L176" s="49">
        <f>I176*(1-K176)+I179*K176</f>
        <v>2392.828</v>
      </c>
      <c r="M176" s="24">
        <f t="shared" si="95"/>
        <v>0.83899999999999997</v>
      </c>
      <c r="N176" s="45"/>
      <c r="O176" s="46">
        <f>IF(N176&gt;0,0,O175+1)</f>
        <v>2</v>
      </c>
      <c r="P176" s="48">
        <f t="shared" si="104"/>
        <v>0.33333333333333331</v>
      </c>
      <c r="Q176" s="49">
        <f t="shared" si="105"/>
        <v>72.666666666666671</v>
      </c>
      <c r="R176" s="45"/>
      <c r="S176" s="46">
        <f t="shared" si="80"/>
        <v>5</v>
      </c>
      <c r="T176" s="48">
        <f t="shared" si="102"/>
        <v>0.7142857142857143</v>
      </c>
      <c r="U176" s="49">
        <f t="shared" si="103"/>
        <v>10469.571428571429</v>
      </c>
      <c r="W176" s="47"/>
      <c r="X176" s="90"/>
      <c r="Y176" s="90"/>
      <c r="Z176" s="80">
        <f>$B$1/(Data_nieuwveer!E176+Data_nieuwveer!U176)</f>
        <v>2.7150925400505239E-2</v>
      </c>
      <c r="AA176" s="42"/>
      <c r="AB176" s="42"/>
      <c r="AC176" s="42"/>
      <c r="AD176" s="42"/>
      <c r="AF176" s="21"/>
    </row>
    <row r="177" spans="1:32" x14ac:dyDescent="0.3">
      <c r="A177" s="2">
        <f>Data_nieuwveer!A177</f>
        <v>41716</v>
      </c>
      <c r="D177">
        <f>Data_nieuwveer!F177/(Data_nieuwveer!E177-Data_nieuwveer!F177)</f>
        <v>0.96130671506352083</v>
      </c>
      <c r="F177" s="46">
        <f t="shared" si="78"/>
        <v>1</v>
      </c>
      <c r="G177" s="48">
        <f>F177/(MAX(F176:F178)+1)</f>
        <v>0.33333333333333331</v>
      </c>
      <c r="H177" s="49">
        <f>E176*(1-G177)+E179*G177</f>
        <v>2852</v>
      </c>
      <c r="J177" s="46">
        <f t="shared" si="91"/>
        <v>1</v>
      </c>
      <c r="K177" s="48">
        <f>J177/(MAX(J176:J178)+1)</f>
        <v>0.33333333333333331</v>
      </c>
      <c r="L177" s="49">
        <f>I176*(1-K177)+I179*K177</f>
        <v>2382.3706666666667</v>
      </c>
      <c r="N177" s="45"/>
      <c r="O177" s="46">
        <f>IF(N177&gt;0,0,O176+1)</f>
        <v>3</v>
      </c>
      <c r="P177" s="48">
        <f t="shared" si="104"/>
        <v>0.5</v>
      </c>
      <c r="Q177" s="49">
        <f t="shared" si="105"/>
        <v>75</v>
      </c>
      <c r="R177" s="45"/>
      <c r="S177" s="46">
        <f t="shared" si="80"/>
        <v>6</v>
      </c>
      <c r="T177" s="48">
        <f t="shared" si="102"/>
        <v>0.8571428571428571</v>
      </c>
      <c r="U177" s="49">
        <f t="shared" si="103"/>
        <v>10471.285714285716</v>
      </c>
      <c r="W177" s="47"/>
      <c r="X177" s="90"/>
      <c r="Y177" s="90"/>
      <c r="Z177" s="80">
        <f>$B$1/(Data_nieuwveer!E177+Data_nieuwveer!U177)</f>
        <v>2.5204761683577263E-2</v>
      </c>
      <c r="AA177" s="42"/>
      <c r="AB177" s="42"/>
      <c r="AC177" s="42"/>
      <c r="AD177" s="42"/>
      <c r="AF177" s="21"/>
    </row>
    <row r="178" spans="1:32" x14ac:dyDescent="0.3">
      <c r="A178" s="2">
        <f>Data_nieuwveer!A178</f>
        <v>41717</v>
      </c>
      <c r="D178">
        <f>Data_nieuwveer!F178/(Data_nieuwveer!E178-Data_nieuwveer!F178)</f>
        <v>0.96130671506352083</v>
      </c>
      <c r="F178" s="46">
        <f t="shared" si="78"/>
        <v>2</v>
      </c>
      <c r="G178" s="48">
        <f>F178/(MAX(F176:F178)+1)</f>
        <v>0.66666666666666663</v>
      </c>
      <c r="H178" s="49">
        <f>E176*(1-G178)+E179*G178</f>
        <v>2852</v>
      </c>
      <c r="J178" s="46">
        <f t="shared" si="91"/>
        <v>2</v>
      </c>
      <c r="K178" s="48">
        <f>J178/(MAX(J176:J178)+1)</f>
        <v>0.66666666666666663</v>
      </c>
      <c r="L178" s="49">
        <f>I176*(1-K178)+I179*K178</f>
        <v>2371.9133333333334</v>
      </c>
      <c r="N178" s="45"/>
      <c r="O178" s="46">
        <f t="shared" si="79"/>
        <v>4</v>
      </c>
      <c r="P178" s="48">
        <f t="shared" si="104"/>
        <v>0.66666666666666663</v>
      </c>
      <c r="Q178" s="49">
        <f t="shared" si="105"/>
        <v>77.333333333333329</v>
      </c>
      <c r="R178" s="45">
        <f>Data_nieuwveer!AN178*B$4</f>
        <v>10473</v>
      </c>
      <c r="S178" s="46">
        <f t="shared" si="80"/>
        <v>0</v>
      </c>
      <c r="T178" s="48">
        <f>S178/(MAX(S$178:S$184)+1)</f>
        <v>0</v>
      </c>
      <c r="U178" s="49">
        <f>R$178*(1-T178)+R$185*T178</f>
        <v>10473</v>
      </c>
      <c r="W178" s="47"/>
      <c r="X178" s="90"/>
      <c r="Y178" s="90"/>
      <c r="Z178" s="80">
        <f>$B$1/(Data_nieuwveer!E178+Data_nieuwveer!U178)</f>
        <v>2.5147399687022648E-2</v>
      </c>
      <c r="AA178" s="42"/>
      <c r="AB178" s="42"/>
      <c r="AC178" s="42"/>
      <c r="AD178" s="42"/>
      <c r="AF178" s="21"/>
    </row>
    <row r="179" spans="1:32" x14ac:dyDescent="0.3">
      <c r="A179" s="2">
        <f>Data_nieuwveer!A179</f>
        <v>41718</v>
      </c>
      <c r="D179">
        <f>Data_nieuwveer!F179/(Data_nieuwveer!E179-Data_nieuwveer!F179)</f>
        <v>1.2952072800808898</v>
      </c>
      <c r="E179" s="86">
        <f>Data_nieuwveer!AF179</f>
        <v>2852</v>
      </c>
      <c r="F179" s="46">
        <f t="shared" si="78"/>
        <v>0</v>
      </c>
      <c r="G179" s="48">
        <f>F179/(MAX(F179:F182)+1)</f>
        <v>0</v>
      </c>
      <c r="H179" s="49">
        <f>E179*(1-G179)+E183*G179</f>
        <v>2852</v>
      </c>
      <c r="I179" s="24">
        <f>E179*(1-Data_nieuwveer!AG179/100)</f>
        <v>2361.4560000000001</v>
      </c>
      <c r="J179" s="46">
        <f t="shared" si="91"/>
        <v>0</v>
      </c>
      <c r="K179" s="48">
        <f>J179/(MAX(J179:J182)+1)</f>
        <v>0</v>
      </c>
      <c r="L179" s="49">
        <f>I179*(1-K179)+I183*K179</f>
        <v>2361.4560000000001</v>
      </c>
      <c r="M179" s="24">
        <f t="shared" si="95"/>
        <v>0.82800000000000007</v>
      </c>
      <c r="N179" s="45"/>
      <c r="O179" s="46">
        <f t="shared" si="79"/>
        <v>5</v>
      </c>
      <c r="P179" s="48">
        <f t="shared" si="104"/>
        <v>0.83333333333333337</v>
      </c>
      <c r="Q179" s="49">
        <f t="shared" si="105"/>
        <v>79.666666666666671</v>
      </c>
      <c r="R179" s="45"/>
      <c r="S179" s="46">
        <f t="shared" si="80"/>
        <v>1</v>
      </c>
      <c r="T179" s="48">
        <f t="shared" ref="T179:T184" si="106">S179/(MAX(S$178:S$184)+1)</f>
        <v>0.14285714285714285</v>
      </c>
      <c r="U179" s="49">
        <f t="shared" ref="U179:U184" si="107">R$178*(1-T179)+R$185*T179</f>
        <v>10577</v>
      </c>
      <c r="W179" s="47"/>
      <c r="X179" s="90"/>
      <c r="Y179" s="90"/>
      <c r="Z179" s="80">
        <f>$B$1/(Data_nieuwveer!E179+Data_nieuwveer!U179)</f>
        <v>2.9747182941775415E-2</v>
      </c>
      <c r="AA179" s="42"/>
      <c r="AB179" s="42"/>
      <c r="AC179" s="42"/>
      <c r="AD179" s="42"/>
      <c r="AF179" s="21"/>
    </row>
    <row r="180" spans="1:32" x14ac:dyDescent="0.3">
      <c r="A180" s="2">
        <f>Data_nieuwveer!A180</f>
        <v>41719</v>
      </c>
      <c r="C180">
        <f>Data_nieuwveer!P180*'Edited data A'!$B$8</f>
        <v>96.130228091236489</v>
      </c>
      <c r="D180">
        <f>Data_nieuwveer!F180/(Data_nieuwveer!E180-Data_nieuwveer!F180)</f>
        <v>1.3308687615526802</v>
      </c>
      <c r="F180" s="46">
        <f t="shared" si="78"/>
        <v>1</v>
      </c>
      <c r="G180" s="48">
        <f>F180/(MAX(F179:F182)+1)</f>
        <v>0.25</v>
      </c>
      <c r="H180" s="49">
        <f>E179*(1-G180)+E183*G180</f>
        <v>3135.5</v>
      </c>
      <c r="J180" s="46">
        <f t="shared" si="91"/>
        <v>1</v>
      </c>
      <c r="K180" s="48">
        <f>J180/(MAX(J179:J182)+1)</f>
        <v>0.25</v>
      </c>
      <c r="L180" s="49">
        <f>I179*(1-K180)+I183*K180</f>
        <v>2575.2674999999999</v>
      </c>
      <c r="N180" s="45">
        <f>Data_nieuwveer!AV180</f>
        <v>82</v>
      </c>
      <c r="O180" s="46">
        <f t="shared" si="79"/>
        <v>0</v>
      </c>
      <c r="P180" s="48">
        <f>O180/(MAX(O$180:O$185)+1)</f>
        <v>0</v>
      </c>
      <c r="Q180" s="49">
        <f>N$180*(1-P180)+N$186*P180</f>
        <v>82</v>
      </c>
      <c r="R180" s="45"/>
      <c r="S180" s="46">
        <f t="shared" si="80"/>
        <v>2</v>
      </c>
      <c r="T180" s="48">
        <f t="shared" si="106"/>
        <v>0.2857142857142857</v>
      </c>
      <c r="U180" s="49">
        <f t="shared" si="107"/>
        <v>10681</v>
      </c>
      <c r="V180">
        <f>(Data_nieuwveer!E180*C180)/(L180*$B$1)</f>
        <v>1.3448835079190715</v>
      </c>
      <c r="W180" s="47">
        <f>($B$1+$B$3)*H180/(Data_nieuwveer!AL180*'Edited data A'!U180+Data_nieuwveer!AQ180*'Edited data A'!Q180)</f>
        <v>1.8522961119951467</v>
      </c>
      <c r="X180" s="90">
        <f>($B$1*H180)/(Data_nieuwveer!AL180*'Edited data A'!U180+Data_nieuwveer!AQ180*'Edited data A'!N180)</f>
        <v>0.42592710018941021</v>
      </c>
      <c r="Y180" s="90">
        <f t="shared" si="96"/>
        <v>0.21296355009470511</v>
      </c>
      <c r="Z180" s="80">
        <f>$B$1/(Data_nieuwveer!E180+Data_nieuwveer!U180)</f>
        <v>2.6918066021555987E-2</v>
      </c>
      <c r="AA180" s="42">
        <f>Data_nieuwveer!E180*Data_nieuwveer!P180/1000</f>
        <v>30264</v>
      </c>
      <c r="AB180" s="42">
        <f>Data_nieuwveer!AQ180*Data_nieuwveer!AR180/1000</f>
        <v>20575.871999999999</v>
      </c>
      <c r="AC180" s="42">
        <f>Data_nieuwveer!AQ180*Data_nieuwveer!AR180/1000/B$5</f>
        <v>7424.789464284835</v>
      </c>
      <c r="AD180" s="42">
        <f>Data_nieuwveer!AL180*Data_nieuwveer!AR180/B$5/1000</f>
        <v>82.273645455071971</v>
      </c>
      <c r="AE180">
        <f>((H180-H179)*($B$1+B$3)+Data_nieuwveer!AQ180*N180+U180*Data_nieuwveer!AL180)/(AA180*1000-(AC180+AD180)*1000)</f>
        <v>1.3218260895592879</v>
      </c>
      <c r="AF180" s="21">
        <f t="shared" si="99"/>
        <v>0.32012053925455991</v>
      </c>
    </row>
    <row r="181" spans="1:32" x14ac:dyDescent="0.3">
      <c r="A181" s="2">
        <f>Data_nieuwveer!A181</f>
        <v>41720</v>
      </c>
      <c r="D181">
        <f>Data_nieuwveer!F181/(Data_nieuwveer!E181-Data_nieuwveer!F181)</f>
        <v>0.12006079027355623</v>
      </c>
      <c r="F181" s="46">
        <f t="shared" si="78"/>
        <v>2</v>
      </c>
      <c r="G181" s="48">
        <f>F181/(MAX(F179:F182)+1)</f>
        <v>0.5</v>
      </c>
      <c r="H181" s="49">
        <f>E179*(1-G181)+E183*G181</f>
        <v>3419</v>
      </c>
      <c r="J181" s="46">
        <f t="shared" si="91"/>
        <v>2</v>
      </c>
      <c r="K181" s="48">
        <f>J181/(MAX(J179:J182)+1)</f>
        <v>0.5</v>
      </c>
      <c r="L181" s="49">
        <f>I179*(1-K181)+I183*K181</f>
        <v>2789.0789999999997</v>
      </c>
      <c r="N181" s="45"/>
      <c r="O181" s="46">
        <f t="shared" si="79"/>
        <v>1</v>
      </c>
      <c r="P181" s="48">
        <f t="shared" ref="P181:P185" si="108">O181/(MAX(O$180:O$185)+1)</f>
        <v>0.16666666666666666</v>
      </c>
      <c r="Q181" s="49">
        <f t="shared" ref="Q181:Q185" si="109">N$180*(1-P181)+N$186*P181</f>
        <v>82.166666666666671</v>
      </c>
      <c r="R181" s="45"/>
      <c r="S181" s="46">
        <f t="shared" si="80"/>
        <v>3</v>
      </c>
      <c r="T181" s="48">
        <f t="shared" si="106"/>
        <v>0.42857142857142855</v>
      </c>
      <c r="U181" s="49">
        <f t="shared" si="107"/>
        <v>10785</v>
      </c>
      <c r="W181" s="47"/>
      <c r="X181" s="90"/>
      <c r="Y181" s="90"/>
      <c r="Z181" s="80">
        <f>$B$1/(Data_nieuwveer!E181+Data_nieuwveer!U181)</f>
        <v>1.5539549819241737E-2</v>
      </c>
      <c r="AA181" s="42"/>
      <c r="AB181" s="42"/>
      <c r="AC181" s="42"/>
      <c r="AD181" s="42"/>
      <c r="AF181" s="21"/>
    </row>
    <row r="182" spans="1:32" x14ac:dyDescent="0.3">
      <c r="A182" s="2">
        <f>Data_nieuwveer!A182</f>
        <v>41721</v>
      </c>
      <c r="D182">
        <f>Data_nieuwveer!F182/(Data_nieuwveer!E182-Data_nieuwveer!F182)</f>
        <v>1.1405079365079365</v>
      </c>
      <c r="F182" s="46">
        <f t="shared" si="78"/>
        <v>3</v>
      </c>
      <c r="G182" s="48">
        <f>F182/(MAX(F179:F182)+1)</f>
        <v>0.75</v>
      </c>
      <c r="H182" s="49">
        <f>E179*(1-G182)+E183*G182</f>
        <v>3702.5</v>
      </c>
      <c r="J182" s="46">
        <f t="shared" si="91"/>
        <v>3</v>
      </c>
      <c r="K182" s="48">
        <f>J182/(MAX(J179:J182)+1)</f>
        <v>0.75</v>
      </c>
      <c r="L182" s="49">
        <f>I179*(1-K182)+I183*K182</f>
        <v>3002.8905</v>
      </c>
      <c r="N182" s="45"/>
      <c r="O182" s="46">
        <f t="shared" si="79"/>
        <v>2</v>
      </c>
      <c r="P182" s="48">
        <f t="shared" si="108"/>
        <v>0.33333333333333331</v>
      </c>
      <c r="Q182" s="49">
        <f t="shared" si="109"/>
        <v>82.333333333333343</v>
      </c>
      <c r="R182" s="45"/>
      <c r="S182" s="46">
        <f t="shared" si="80"/>
        <v>4</v>
      </c>
      <c r="T182" s="48">
        <f t="shared" si="106"/>
        <v>0.5714285714285714</v>
      </c>
      <c r="U182" s="49">
        <f t="shared" si="107"/>
        <v>10889</v>
      </c>
      <c r="W182" s="47"/>
      <c r="X182" s="90"/>
      <c r="Y182" s="90"/>
      <c r="Z182" s="80">
        <f>$B$1/(Data_nieuwveer!E182+Data_nieuwveer!U182)</f>
        <v>2.516929044534183E-2</v>
      </c>
      <c r="AA182" s="42"/>
      <c r="AB182" s="42"/>
      <c r="AC182" s="42"/>
      <c r="AD182" s="42"/>
      <c r="AF182" s="21"/>
    </row>
    <row r="183" spans="1:32" x14ac:dyDescent="0.3">
      <c r="A183" s="2">
        <f>Data_nieuwveer!A183</f>
        <v>41722</v>
      </c>
      <c r="D183">
        <f>Data_nieuwveer!F183/(Data_nieuwveer!E183-Data_nieuwveer!F183)</f>
        <v>0.94781382228490829</v>
      </c>
      <c r="E183" s="86">
        <f>Data_nieuwveer!AF183</f>
        <v>3986</v>
      </c>
      <c r="F183" s="46">
        <f t="shared" si="78"/>
        <v>0</v>
      </c>
      <c r="G183" s="48">
        <f>F183/(MAX(F183:F185)+1)</f>
        <v>0</v>
      </c>
      <c r="H183" s="49">
        <f>E183*(1-G183)+E186*G183</f>
        <v>3986</v>
      </c>
      <c r="I183" s="24">
        <f>E183*(1-Data_nieuwveer!AG183/100)</f>
        <v>3216.7019999999998</v>
      </c>
      <c r="J183" s="46">
        <f t="shared" si="91"/>
        <v>0</v>
      </c>
      <c r="K183" s="48">
        <f>J183/(MAX(J183:J185)+1)</f>
        <v>0</v>
      </c>
      <c r="L183" s="49">
        <f>I183*(1-K183)+I186*K183</f>
        <v>3216.7019999999998</v>
      </c>
      <c r="M183" s="24">
        <f t="shared" si="95"/>
        <v>0.80699999999999994</v>
      </c>
      <c r="N183" s="45"/>
      <c r="O183" s="46">
        <f t="shared" si="79"/>
        <v>3</v>
      </c>
      <c r="P183" s="48">
        <f t="shared" si="108"/>
        <v>0.5</v>
      </c>
      <c r="Q183" s="49">
        <f t="shared" si="109"/>
        <v>82.5</v>
      </c>
      <c r="R183" s="45"/>
      <c r="S183" s="46">
        <f t="shared" si="80"/>
        <v>5</v>
      </c>
      <c r="T183" s="48">
        <f t="shared" si="106"/>
        <v>0.7142857142857143</v>
      </c>
      <c r="U183" s="49">
        <f t="shared" si="107"/>
        <v>10993</v>
      </c>
      <c r="W183" s="47"/>
      <c r="X183" s="90"/>
      <c r="Y183" s="90"/>
      <c r="Z183" s="80">
        <f>$B$1/(Data_nieuwveer!E183+Data_nieuwveer!U183)</f>
        <v>2.4617574767970565E-2</v>
      </c>
      <c r="AA183" s="42"/>
      <c r="AB183" s="42"/>
      <c r="AC183" s="42"/>
      <c r="AD183" s="42"/>
      <c r="AF183" s="21"/>
    </row>
    <row r="184" spans="1:32" x14ac:dyDescent="0.3">
      <c r="A184" s="2">
        <f>Data_nieuwveer!A184</f>
        <v>41723</v>
      </c>
      <c r="D184">
        <f>Data_nieuwveer!F184/(Data_nieuwveer!E184-Data_nieuwveer!F184)</f>
        <v>1.3213259668508288</v>
      </c>
      <c r="F184" s="46">
        <f t="shared" si="78"/>
        <v>1</v>
      </c>
      <c r="G184" s="48">
        <f>F184/(MAX(F183:F185)+1)</f>
        <v>0.33333333333333331</v>
      </c>
      <c r="H184" s="49">
        <f>E183*(1-G184)+E186*G184</f>
        <v>3747.3333333333335</v>
      </c>
      <c r="J184" s="46">
        <f t="shared" si="91"/>
        <v>1</v>
      </c>
      <c r="K184" s="48">
        <f>J184/(MAX(J183:J185)+1)</f>
        <v>0.33333333333333331</v>
      </c>
      <c r="L184" s="49">
        <f>I183*(1-K184)+I186*K184</f>
        <v>3042.6280000000002</v>
      </c>
      <c r="N184" s="45"/>
      <c r="O184" s="46">
        <f t="shared" si="79"/>
        <v>4</v>
      </c>
      <c r="P184" s="48">
        <f t="shared" si="108"/>
        <v>0.66666666666666663</v>
      </c>
      <c r="Q184" s="49">
        <f t="shared" si="109"/>
        <v>82.666666666666657</v>
      </c>
      <c r="R184" s="45"/>
      <c r="S184" s="46">
        <f t="shared" si="80"/>
        <v>6</v>
      </c>
      <c r="T184" s="48">
        <f t="shared" si="106"/>
        <v>0.8571428571428571</v>
      </c>
      <c r="U184" s="49">
        <f t="shared" si="107"/>
        <v>11097</v>
      </c>
      <c r="W184" s="47"/>
      <c r="X184" s="90"/>
      <c r="Y184" s="90"/>
      <c r="Z184" s="80">
        <f>$B$1/(Data_nieuwveer!E184+Data_nieuwveer!U184)</f>
        <v>2.6831735503484101E-2</v>
      </c>
      <c r="AA184" s="42"/>
      <c r="AB184" s="42"/>
      <c r="AC184" s="42"/>
      <c r="AD184" s="42"/>
      <c r="AF184" s="21"/>
    </row>
    <row r="185" spans="1:32" x14ac:dyDescent="0.3">
      <c r="A185" s="2">
        <f>Data_nieuwveer!A185</f>
        <v>41724</v>
      </c>
      <c r="D185">
        <f>Data_nieuwveer!F185/(Data_nieuwveer!E185-Data_nieuwveer!F185)</f>
        <v>1.3668463816538841</v>
      </c>
      <c r="F185" s="46">
        <f t="shared" si="78"/>
        <v>2</v>
      </c>
      <c r="G185" s="48">
        <f>F185/(MAX(F183:F185)+1)</f>
        <v>0.66666666666666663</v>
      </c>
      <c r="H185" s="49">
        <f>E183*(1-G185)+E186*G185</f>
        <v>3508.666666666667</v>
      </c>
      <c r="J185" s="46">
        <f t="shared" si="91"/>
        <v>2</v>
      </c>
      <c r="K185" s="48">
        <f>J185/(MAX(J183:J185)+1)</f>
        <v>0.66666666666666663</v>
      </c>
      <c r="L185" s="49">
        <f>I183*(1-K185)+I186*K185</f>
        <v>2868.5540000000001</v>
      </c>
      <c r="N185" s="45"/>
      <c r="O185" s="46">
        <f t="shared" si="79"/>
        <v>5</v>
      </c>
      <c r="P185" s="48">
        <f t="shared" si="108"/>
        <v>0.83333333333333337</v>
      </c>
      <c r="Q185" s="49">
        <f t="shared" si="109"/>
        <v>82.833333333333343</v>
      </c>
      <c r="R185" s="45">
        <f>Data_nieuwveer!AN185*B$4</f>
        <v>11201</v>
      </c>
      <c r="S185" s="46">
        <f t="shared" si="80"/>
        <v>0</v>
      </c>
      <c r="T185" s="48">
        <f>S185/(MAX(S$185:S$191)+1)</f>
        <v>0</v>
      </c>
      <c r="U185" s="49">
        <f>R$185*(1-T185)+R$192*T185</f>
        <v>11201</v>
      </c>
      <c r="W185" s="47"/>
      <c r="X185" s="90"/>
      <c r="Y185" s="90"/>
      <c r="Z185" s="80">
        <f>$B$1/(Data_nieuwveer!E185+Data_nieuwveer!U185)</f>
        <v>2.7102033736611596E-2</v>
      </c>
      <c r="AA185" s="42"/>
      <c r="AB185" s="42"/>
      <c r="AC185" s="42"/>
      <c r="AD185" s="42"/>
      <c r="AF185" s="21"/>
    </row>
    <row r="186" spans="1:32" x14ac:dyDescent="0.3">
      <c r="A186" s="2">
        <f>Data_nieuwveer!A186</f>
        <v>41725</v>
      </c>
      <c r="C186">
        <f>Data_nieuwveer!P186*'Edited data A'!$B$8</f>
        <v>128.17363745498199</v>
      </c>
      <c r="D186">
        <f>Data_nieuwveer!F186/(Data_nieuwveer!E186-Data_nieuwveer!F186)</f>
        <v>0.89027777777777772</v>
      </c>
      <c r="E186" s="86">
        <f>Data_nieuwveer!AF186</f>
        <v>3270</v>
      </c>
      <c r="F186" s="46">
        <f t="shared" si="78"/>
        <v>0</v>
      </c>
      <c r="G186" s="48">
        <f>F186/(MAX(F186:F189)+1)</f>
        <v>0</v>
      </c>
      <c r="H186" s="49">
        <f>E186*(1-G186)+E190*G186</f>
        <v>3270</v>
      </c>
      <c r="I186" s="24">
        <f>E186*(1-Data_nieuwveer!AG186/100)</f>
        <v>2694.48</v>
      </c>
      <c r="J186" s="46">
        <f t="shared" si="91"/>
        <v>0</v>
      </c>
      <c r="K186" s="48">
        <f>J186/(MAX(J186:J189)+1)</f>
        <v>0</v>
      </c>
      <c r="L186" s="49">
        <f>I186*(1-K186)+I190*K186</f>
        <v>2694.48</v>
      </c>
      <c r="M186" s="24">
        <f t="shared" si="95"/>
        <v>0.82399999999999995</v>
      </c>
      <c r="N186" s="45">
        <f>Data_nieuwveer!AV186</f>
        <v>83</v>
      </c>
      <c r="O186" s="46">
        <f t="shared" si="79"/>
        <v>0</v>
      </c>
      <c r="P186" s="48">
        <f>O186/(MAX(O$186:O$191)+1)</f>
        <v>0</v>
      </c>
      <c r="Q186" s="49">
        <f>N$186*(1-P186)+N$192*P186</f>
        <v>83</v>
      </c>
      <c r="R186" s="45"/>
      <c r="S186" s="46">
        <f t="shared" si="80"/>
        <v>1</v>
      </c>
      <c r="T186" s="48">
        <f t="shared" ref="T186:T191" si="110">S186/(MAX(S$185:S$191)+1)</f>
        <v>0.14285714285714285</v>
      </c>
      <c r="U186" s="49">
        <f t="shared" ref="U186:U191" si="111">R$185*(1-T186)+R$192*T186</f>
        <v>10903.285714285714</v>
      </c>
      <c r="V186">
        <f>(Data_nieuwveer!E186*C186)/(L186*$B$1)</f>
        <v>1.8497533642985498</v>
      </c>
      <c r="W186" s="47">
        <f>($B$1+$B$3)*H186/(Data_nieuwveer!AL186*'Edited data A'!U186+Data_nieuwveer!AQ186*'Edited data A'!Q186)</f>
        <v>1.9253600844311012</v>
      </c>
      <c r="X186" s="90">
        <f>($B$1*H186)/(Data_nieuwveer!AL186*'Edited data A'!U186+Data_nieuwveer!AQ186*'Edited data A'!N186)</f>
        <v>0.44272782967668711</v>
      </c>
      <c r="Y186" s="90">
        <f t="shared" si="96"/>
        <v>0.22136391483834356</v>
      </c>
      <c r="Z186" s="80">
        <f>$B$1/(Data_nieuwveer!E186+Data_nieuwveer!U186)</f>
        <v>2.494833911778396E-2</v>
      </c>
      <c r="AA186" s="42">
        <f>Data_nieuwveer!E186*Data_nieuwveer!P186/1000</f>
        <v>43552</v>
      </c>
      <c r="AB186" s="42">
        <f>Data_nieuwveer!AQ186*Data_nieuwveer!AR186/1000</f>
        <v>22236.304</v>
      </c>
      <c r="AC186" s="42">
        <f>Data_nieuwveer!AQ186*Data_nieuwveer!AR186/1000/B$5</f>
        <v>8023.9552259964848</v>
      </c>
      <c r="AD186" s="42">
        <f>Data_nieuwveer!AL186*Data_nieuwveer!AR186/B$5/1000</f>
        <v>75.807225601761047</v>
      </c>
      <c r="AE186">
        <f>((H186-H185)*($B$1+B$3)+Data_nieuwveer!AQ186*N186+U186*Data_nieuwveer!AL186)/(AA186*1000-(AC186+AD186)*1000)</f>
        <v>0.62671224853409679</v>
      </c>
      <c r="AF186" s="21">
        <f t="shared" si="99"/>
        <v>0.48943093313739899</v>
      </c>
    </row>
    <row r="187" spans="1:32" x14ac:dyDescent="0.3">
      <c r="A187" s="2">
        <f>Data_nieuwveer!A187</f>
        <v>41726</v>
      </c>
      <c r="D187">
        <f>Data_nieuwveer!F187/(Data_nieuwveer!E187-Data_nieuwveer!F187)</f>
        <v>1.3495644234792863</v>
      </c>
      <c r="F187" s="46">
        <f t="shared" si="78"/>
        <v>1</v>
      </c>
      <c r="G187" s="48">
        <f>F187/(MAX(F186:F189)+1)</f>
        <v>0.25</v>
      </c>
      <c r="H187" s="49">
        <f>E186*(1-G187)+E190*G187</f>
        <v>3076</v>
      </c>
      <c r="J187" s="46">
        <f t="shared" si="91"/>
        <v>1</v>
      </c>
      <c r="K187" s="48">
        <f>J187/(MAX(J186:J189)+1)</f>
        <v>0.25</v>
      </c>
      <c r="L187" s="49">
        <f>I186*(1-K187)+I190*K187</f>
        <v>2519.0365000000002</v>
      </c>
      <c r="N187" s="45"/>
      <c r="O187" s="46">
        <f t="shared" si="79"/>
        <v>1</v>
      </c>
      <c r="P187" s="48">
        <f t="shared" ref="P187:P191" si="112">O187/(MAX(O$186:O$191)+1)</f>
        <v>0.16666666666666666</v>
      </c>
      <c r="Q187" s="49">
        <f t="shared" ref="Q187:Q191" si="113">N$186*(1-P187)+N$192*P187</f>
        <v>81</v>
      </c>
      <c r="R187" s="45"/>
      <c r="S187" s="46">
        <f t="shared" si="80"/>
        <v>2</v>
      </c>
      <c r="T187" s="48">
        <f t="shared" si="110"/>
        <v>0.2857142857142857</v>
      </c>
      <c r="U187" s="49">
        <f t="shared" si="111"/>
        <v>10605.571428571429</v>
      </c>
      <c r="W187" s="47"/>
      <c r="X187" s="90"/>
      <c r="Y187" s="90"/>
      <c r="Z187" s="80">
        <f>$B$1/(Data_nieuwveer!E187+Data_nieuwveer!U187)</f>
        <v>2.7524108169745105E-2</v>
      </c>
      <c r="AA187" s="42"/>
      <c r="AB187" s="42"/>
      <c r="AC187" s="42"/>
      <c r="AD187" s="42"/>
      <c r="AF187" s="21"/>
    </row>
    <row r="188" spans="1:32" x14ac:dyDescent="0.3">
      <c r="A188" s="2">
        <f>Data_nieuwveer!A188</f>
        <v>41727</v>
      </c>
      <c r="D188">
        <f>Data_nieuwveer!F188/(Data_nieuwveer!E188-Data_nieuwveer!F188)</f>
        <v>1.3913043478260869</v>
      </c>
      <c r="F188" s="46">
        <f t="shared" si="78"/>
        <v>2</v>
      </c>
      <c r="G188" s="48">
        <f>F188/(MAX(F186:F189)+1)</f>
        <v>0.5</v>
      </c>
      <c r="H188" s="49">
        <f>E186*(1-G188)+E190*G188</f>
        <v>2882</v>
      </c>
      <c r="J188" s="46">
        <f t="shared" si="91"/>
        <v>2</v>
      </c>
      <c r="K188" s="48">
        <f>J188/(MAX(J186:J189)+1)</f>
        <v>0.5</v>
      </c>
      <c r="L188" s="49">
        <f>I186*(1-K188)+I190*K188</f>
        <v>2343.5929999999998</v>
      </c>
      <c r="N188" s="45"/>
      <c r="O188" s="46">
        <f t="shared" si="79"/>
        <v>2</v>
      </c>
      <c r="P188" s="48">
        <f t="shared" si="112"/>
        <v>0.33333333333333331</v>
      </c>
      <c r="Q188" s="49">
        <f t="shared" si="113"/>
        <v>79</v>
      </c>
      <c r="R188" s="45"/>
      <c r="S188" s="46">
        <f t="shared" si="80"/>
        <v>3</v>
      </c>
      <c r="T188" s="48">
        <f t="shared" si="110"/>
        <v>0.42857142857142855</v>
      </c>
      <c r="U188" s="49">
        <f t="shared" si="111"/>
        <v>10307.857142857143</v>
      </c>
      <c r="W188" s="47"/>
      <c r="X188" s="90"/>
      <c r="Y188" s="90"/>
      <c r="Z188" s="80">
        <f>$B$1/(Data_nieuwveer!E188+Data_nieuwveer!U188)</f>
        <v>2.7244743029529801E-2</v>
      </c>
      <c r="AA188" s="42"/>
      <c r="AB188" s="42"/>
      <c r="AC188" s="42"/>
      <c r="AD188" s="42"/>
      <c r="AF188" s="21"/>
    </row>
    <row r="189" spans="1:32" x14ac:dyDescent="0.3">
      <c r="A189" s="2">
        <f>Data_nieuwveer!A189</f>
        <v>41728</v>
      </c>
      <c r="D189">
        <f>Data_nieuwveer!F189/(Data_nieuwveer!E189-Data_nieuwveer!F189)</f>
        <v>1.4257425742574257</v>
      </c>
      <c r="F189" s="46">
        <f t="shared" si="78"/>
        <v>3</v>
      </c>
      <c r="G189" s="48">
        <f>F189/(MAX(F186:F189)+1)</f>
        <v>0.75</v>
      </c>
      <c r="H189" s="49">
        <f>E186*(1-G189)+E190*G189</f>
        <v>2688</v>
      </c>
      <c r="J189" s="46">
        <f t="shared" si="91"/>
        <v>3</v>
      </c>
      <c r="K189" s="48">
        <f>J189/(MAX(J186:J189)+1)</f>
        <v>0.75</v>
      </c>
      <c r="L189" s="49">
        <f>I186*(1-K189)+I190*K189</f>
        <v>2168.1495</v>
      </c>
      <c r="N189" s="45"/>
      <c r="O189" s="46">
        <f t="shared" si="79"/>
        <v>3</v>
      </c>
      <c r="P189" s="48">
        <f t="shared" si="112"/>
        <v>0.5</v>
      </c>
      <c r="Q189" s="49">
        <f t="shared" si="113"/>
        <v>77</v>
      </c>
      <c r="R189" s="45"/>
      <c r="S189" s="46">
        <f t="shared" si="80"/>
        <v>4</v>
      </c>
      <c r="T189" s="48">
        <f t="shared" si="110"/>
        <v>0.5714285714285714</v>
      </c>
      <c r="U189" s="49">
        <f t="shared" si="111"/>
        <v>10010.142857142857</v>
      </c>
      <c r="W189" s="47"/>
      <c r="X189" s="90"/>
      <c r="Y189" s="90"/>
      <c r="Z189" s="80">
        <f>$B$1/(Data_nieuwveer!E189+Data_nieuwveer!U189)</f>
        <v>2.7542984762433886E-2</v>
      </c>
      <c r="AA189" s="42"/>
      <c r="AB189" s="42"/>
      <c r="AC189" s="42"/>
      <c r="AD189" s="42"/>
      <c r="AF189" s="21"/>
    </row>
    <row r="190" spans="1:32" x14ac:dyDescent="0.3">
      <c r="A190" s="2">
        <f>Data_nieuwveer!A190</f>
        <v>41729</v>
      </c>
      <c r="D190">
        <f>Data_nieuwveer!F190/(Data_nieuwveer!E190-Data_nieuwveer!F190)</f>
        <v>1.5007503751875937</v>
      </c>
      <c r="E190" s="86">
        <f>Data_nieuwveer!AF190</f>
        <v>2494</v>
      </c>
      <c r="F190" s="46">
        <f t="shared" si="78"/>
        <v>0</v>
      </c>
      <c r="G190" s="48">
        <f>F190/(MAX(F190:F192)+1)</f>
        <v>0</v>
      </c>
      <c r="H190" s="49">
        <f>E190*(1-G190)+E193*G190</f>
        <v>2494</v>
      </c>
      <c r="I190" s="24">
        <f>E190*(1-Data_nieuwveer!AG190/100)</f>
        <v>1992.7059999999999</v>
      </c>
      <c r="J190" s="46">
        <f t="shared" si="91"/>
        <v>0</v>
      </c>
      <c r="K190" s="48">
        <f>J190/(MAX(J190:J192)+1)</f>
        <v>0</v>
      </c>
      <c r="L190" s="49">
        <f>I190*(1-K190)+I193*K190</f>
        <v>1992.7059999999999</v>
      </c>
      <c r="M190" s="24">
        <f t="shared" si="95"/>
        <v>0.79899999999999993</v>
      </c>
      <c r="N190" s="45"/>
      <c r="O190" s="46">
        <f t="shared" si="79"/>
        <v>4</v>
      </c>
      <c r="P190" s="48">
        <f t="shared" si="112"/>
        <v>0.66666666666666663</v>
      </c>
      <c r="Q190" s="49">
        <f t="shared" si="113"/>
        <v>75</v>
      </c>
      <c r="R190" s="45"/>
      <c r="S190" s="46">
        <f t="shared" si="80"/>
        <v>5</v>
      </c>
      <c r="T190" s="48">
        <f t="shared" si="110"/>
        <v>0.7142857142857143</v>
      </c>
      <c r="U190" s="49">
        <f t="shared" si="111"/>
        <v>9712.4285714285706</v>
      </c>
      <c r="W190" s="47"/>
      <c r="X190" s="90"/>
      <c r="Y190" s="90"/>
      <c r="Z190" s="80">
        <f>$B$1/(Data_nieuwveer!E190+Data_nieuwveer!U190)</f>
        <v>2.8146779827444159E-2</v>
      </c>
      <c r="AA190" s="42"/>
      <c r="AB190" s="42"/>
      <c r="AC190" s="42"/>
      <c r="AD190" s="42"/>
      <c r="AF190" s="21"/>
    </row>
    <row r="191" spans="1:32" x14ac:dyDescent="0.3">
      <c r="A191" s="2">
        <f>Data_nieuwveer!A191</f>
        <v>41730</v>
      </c>
      <c r="D191">
        <f>Data_nieuwveer!F191/(Data_nieuwveer!E191-Data_nieuwveer!F191)</f>
        <v>1.4761963341124369</v>
      </c>
      <c r="F191" s="46">
        <f t="shared" si="78"/>
        <v>1</v>
      </c>
      <c r="G191" s="48">
        <f>F191/(MAX(F190:F192)+1)</f>
        <v>0.33333333333333331</v>
      </c>
      <c r="H191" s="49">
        <f>E190*(1-G191)+E193*G191</f>
        <v>2604</v>
      </c>
      <c r="J191" s="46">
        <f t="shared" si="91"/>
        <v>1</v>
      </c>
      <c r="K191" s="48">
        <f>J191/(MAX(J190:J192)+1)</f>
        <v>0.33333333333333331</v>
      </c>
      <c r="L191" s="49">
        <f>I190*(1-K191)+I193*K191</f>
        <v>2095.6573333333336</v>
      </c>
      <c r="N191" s="45"/>
      <c r="O191" s="46">
        <f t="shared" si="79"/>
        <v>5</v>
      </c>
      <c r="P191" s="48">
        <f t="shared" si="112"/>
        <v>0.83333333333333337</v>
      </c>
      <c r="Q191" s="49">
        <f t="shared" si="113"/>
        <v>73</v>
      </c>
      <c r="R191" s="45"/>
      <c r="S191" s="46">
        <f t="shared" si="80"/>
        <v>6</v>
      </c>
      <c r="T191" s="48">
        <f t="shared" si="110"/>
        <v>0.8571428571428571</v>
      </c>
      <c r="U191" s="49">
        <f t="shared" si="111"/>
        <v>9414.7142857142862</v>
      </c>
      <c r="W191" s="47"/>
      <c r="X191" s="90"/>
      <c r="Y191" s="90"/>
      <c r="Z191" s="80">
        <f>$B$1/(Data_nieuwveer!E191+Data_nieuwveer!U191)</f>
        <v>2.7969971438663453E-2</v>
      </c>
      <c r="AA191" s="42"/>
      <c r="AB191" s="42"/>
      <c r="AC191" s="42"/>
      <c r="AD191" s="42"/>
      <c r="AF191" s="21"/>
    </row>
    <row r="192" spans="1:32" x14ac:dyDescent="0.3">
      <c r="A192" s="2">
        <f>Data_nieuwveer!A192</f>
        <v>41731</v>
      </c>
      <c r="C192">
        <f>Data_nieuwveer!P192*'Edited data A'!$B$8</f>
        <v>164.22247298919567</v>
      </c>
      <c r="D192">
        <f>Data_nieuwveer!F192/(Data_nieuwveer!E192-Data_nieuwveer!F192)</f>
        <v>1.4229249011857708</v>
      </c>
      <c r="F192" s="46">
        <f t="shared" si="78"/>
        <v>2</v>
      </c>
      <c r="G192" s="48">
        <f>F192/(MAX(F190:F192)+1)</f>
        <v>0.66666666666666663</v>
      </c>
      <c r="H192" s="49">
        <f>E190*(1-G192)+E193*G192</f>
        <v>2714</v>
      </c>
      <c r="J192" s="46">
        <f t="shared" si="91"/>
        <v>2</v>
      </c>
      <c r="K192" s="48">
        <f>J192/(MAX(J190:J192)+1)</f>
        <v>0.66666666666666663</v>
      </c>
      <c r="L192" s="49">
        <f>I190*(1-K192)+I193*K192</f>
        <v>2198.6086666666665</v>
      </c>
      <c r="N192" s="45">
        <f>Data_nieuwveer!AV192</f>
        <v>71</v>
      </c>
      <c r="O192" s="46">
        <f t="shared" si="79"/>
        <v>0</v>
      </c>
      <c r="P192" s="48">
        <f>O192/(MAX(O$192:O$197)+1)</f>
        <v>0</v>
      </c>
      <c r="Q192" s="49">
        <f>N$192*(1-P192)+N$198*P192</f>
        <v>71</v>
      </c>
      <c r="R192" s="45">
        <f>Data_nieuwveer!AN192*B$4</f>
        <v>9117</v>
      </c>
      <c r="S192" s="46">
        <f t="shared" si="80"/>
        <v>0</v>
      </c>
      <c r="T192" s="48">
        <f>S192/(MAX(S$192:S$198)+1)</f>
        <v>0</v>
      </c>
      <c r="U192" s="49">
        <f>R$192*(1-T192)+R$199*T192</f>
        <v>9117</v>
      </c>
      <c r="V192">
        <f>(Data_nieuwveer!E192*C192)/(L192*$B$1)</f>
        <v>2.6164176974704985</v>
      </c>
      <c r="W192" s="47">
        <f>($B$1+$B$3)*H192/(Data_nieuwveer!AL192*'Edited data A'!U192+Data_nieuwveer!AQ192*'Edited data A'!Q192)</f>
        <v>1.8763197353252272</v>
      </c>
      <c r="X192" s="90">
        <f>($B$1*H192)/(Data_nieuwveer!AL192*'Edited data A'!U192+Data_nieuwveer!AQ192*'Edited data A'!N192)</f>
        <v>0.43145122354893212</v>
      </c>
      <c r="Y192" s="90">
        <f t="shared" si="96"/>
        <v>0.21572561177446606</v>
      </c>
      <c r="Z192" s="80">
        <f>$B$1/(Data_nieuwveer!E192+Data_nieuwveer!U192)</f>
        <v>2.7585837273510425E-2</v>
      </c>
      <c r="AA192" s="42">
        <f>Data_nieuwveer!E192*Data_nieuwveer!P192/1000</f>
        <v>50266</v>
      </c>
      <c r="AB192" s="42">
        <f>Data_nieuwveer!AQ192*Data_nieuwveer!AR192/1000</f>
        <v>20070.191999999999</v>
      </c>
      <c r="AC192" s="42">
        <f>Data_nieuwveer!AQ192*Data_nieuwveer!AR192/1000/B$5</f>
        <v>7242.3151790492175</v>
      </c>
      <c r="AD192" s="42">
        <f>Data_nieuwveer!AL192*Data_nieuwveer!AR192/B$5/1000</f>
        <v>83.024212045188406</v>
      </c>
      <c r="AE192">
        <f>((H192-H191)*($B$1+B$3)+Data_nieuwveer!AQ192*N192+U192*Data_nieuwveer!AL192)/(AA192*1000-(AC192+AD192)*1000)</f>
        <v>0.55170794682852908</v>
      </c>
      <c r="AF192" s="21">
        <f t="shared" si="99"/>
        <v>0.60072032785580709</v>
      </c>
    </row>
    <row r="193" spans="1:32" x14ac:dyDescent="0.3">
      <c r="A193" s="2">
        <f>Data_nieuwveer!A193</f>
        <v>41732</v>
      </c>
      <c r="D193">
        <f>Data_nieuwveer!F193/(Data_nieuwveer!E193-Data_nieuwveer!F193)</f>
        <v>1.4319103267350346</v>
      </c>
      <c r="E193" s="86">
        <f>Data_nieuwveer!AF193</f>
        <v>2824</v>
      </c>
      <c r="F193" s="46">
        <f t="shared" si="78"/>
        <v>0</v>
      </c>
      <c r="G193" s="48">
        <f>F193/(MAX(F193:F196)+1)</f>
        <v>0</v>
      </c>
      <c r="H193" s="49">
        <f>E193*(1-G193)+E197*G193</f>
        <v>2824</v>
      </c>
      <c r="I193" s="24">
        <f>E193*(1-Data_nieuwveer!AG193/100)</f>
        <v>2301.56</v>
      </c>
      <c r="J193" s="46">
        <f t="shared" si="91"/>
        <v>0</v>
      </c>
      <c r="K193" s="48">
        <f>J193/(MAX(J193:J196)+1)</f>
        <v>0</v>
      </c>
      <c r="L193" s="49">
        <f>I193*(1-K193)+I197*K193</f>
        <v>2301.56</v>
      </c>
      <c r="M193" s="24">
        <f t="shared" si="95"/>
        <v>0.81499999999999995</v>
      </c>
      <c r="N193" s="45"/>
      <c r="O193" s="46">
        <f t="shared" si="79"/>
        <v>1</v>
      </c>
      <c r="P193" s="48">
        <f t="shared" ref="P193:P197" si="114">O193/(MAX(O$192:O$197)+1)</f>
        <v>0.16666666666666666</v>
      </c>
      <c r="Q193" s="49">
        <f t="shared" ref="Q193:Q197" si="115">N$192*(1-P193)+N$198*P193</f>
        <v>77.5</v>
      </c>
      <c r="R193" s="45"/>
      <c r="S193" s="46">
        <f t="shared" si="80"/>
        <v>1</v>
      </c>
      <c r="T193" s="48">
        <f t="shared" ref="T193:T198" si="116">S193/(MAX(S$192:S$198)+1)</f>
        <v>0.14285714285714285</v>
      </c>
      <c r="U193" s="49">
        <f t="shared" ref="U193:U198" si="117">R$192*(1-T193)+R$199*T193</f>
        <v>8877.1428571428587</v>
      </c>
      <c r="W193" s="47"/>
      <c r="X193" s="90"/>
      <c r="Y193" s="90"/>
      <c r="Z193" s="80">
        <f>$B$1/(Data_nieuwveer!E193+Data_nieuwveer!U193)</f>
        <v>2.7654320987654323E-2</v>
      </c>
      <c r="AA193" s="42"/>
      <c r="AB193" s="42"/>
      <c r="AC193" s="42"/>
      <c r="AD193" s="42"/>
      <c r="AF193" s="21"/>
    </row>
    <row r="194" spans="1:32" x14ac:dyDescent="0.3">
      <c r="A194" s="2">
        <f>Data_nieuwveer!A194</f>
        <v>41733</v>
      </c>
      <c r="D194">
        <f>Data_nieuwveer!F194/(Data_nieuwveer!E194-Data_nieuwveer!F194)</f>
        <v>1.4774079697952149</v>
      </c>
      <c r="F194" s="46">
        <f t="shared" si="78"/>
        <v>1</v>
      </c>
      <c r="G194" s="48">
        <f>F194/(MAX(F193:F196)+1)</f>
        <v>0.25</v>
      </c>
      <c r="H194" s="49">
        <f>E193*(1-G194)+E197*G194</f>
        <v>2707.5</v>
      </c>
      <c r="J194" s="46">
        <f t="shared" si="91"/>
        <v>1</v>
      </c>
      <c r="K194" s="48">
        <f>J194/(MAX(J193:J196)+1)</f>
        <v>0.25</v>
      </c>
      <c r="L194" s="49">
        <f>I193*(1-K194)+I197*K194</f>
        <v>2201.8964999999998</v>
      </c>
      <c r="N194" s="45"/>
      <c r="O194" s="46">
        <f t="shared" si="79"/>
        <v>2</v>
      </c>
      <c r="P194" s="48">
        <f t="shared" si="114"/>
        <v>0.33333333333333331</v>
      </c>
      <c r="Q194" s="49">
        <f t="shared" si="115"/>
        <v>84</v>
      </c>
      <c r="R194" s="45"/>
      <c r="S194" s="46">
        <f t="shared" si="80"/>
        <v>2</v>
      </c>
      <c r="T194" s="48">
        <f t="shared" si="116"/>
        <v>0.2857142857142857</v>
      </c>
      <c r="U194" s="49">
        <f t="shared" si="117"/>
        <v>8637.2857142857138</v>
      </c>
      <c r="W194" s="47"/>
      <c r="X194" s="90"/>
      <c r="Y194" s="90"/>
      <c r="Z194" s="80">
        <f>$B$1/(Data_nieuwveer!E194+Data_nieuwveer!U194)</f>
        <v>2.8248120188487599E-2</v>
      </c>
      <c r="AA194" s="42"/>
      <c r="AB194" s="42"/>
      <c r="AC194" s="42"/>
      <c r="AD194" s="42"/>
      <c r="AF194" s="21"/>
    </row>
    <row r="195" spans="1:32" x14ac:dyDescent="0.3">
      <c r="A195" s="2">
        <f>Data_nieuwveer!A195</f>
        <v>41734</v>
      </c>
      <c r="D195">
        <f>Data_nieuwveer!F195/(Data_nieuwveer!E195-Data_nieuwveer!F195)</f>
        <v>1.522198731501057</v>
      </c>
      <c r="F195" s="46">
        <f t="shared" si="78"/>
        <v>2</v>
      </c>
      <c r="G195" s="48">
        <f>F195/(MAX(F193:F196)+1)</f>
        <v>0.5</v>
      </c>
      <c r="H195" s="49">
        <f>E193*(1-G195)+E197*G195</f>
        <v>2591</v>
      </c>
      <c r="J195" s="46">
        <f t="shared" si="91"/>
        <v>2</v>
      </c>
      <c r="K195" s="48">
        <f>J195/(MAX(J193:J196)+1)</f>
        <v>0.5</v>
      </c>
      <c r="L195" s="49">
        <f>I193*(1-K195)+I197*K195</f>
        <v>2102.2330000000002</v>
      </c>
      <c r="N195" s="45"/>
      <c r="O195" s="46">
        <f t="shared" si="79"/>
        <v>3</v>
      </c>
      <c r="P195" s="48">
        <f t="shared" si="114"/>
        <v>0.5</v>
      </c>
      <c r="Q195" s="49">
        <f t="shared" si="115"/>
        <v>90.5</v>
      </c>
      <c r="R195" s="45"/>
      <c r="S195" s="46">
        <f t="shared" si="80"/>
        <v>3</v>
      </c>
      <c r="T195" s="48">
        <f t="shared" si="116"/>
        <v>0.42857142857142855</v>
      </c>
      <c r="U195" s="49">
        <f t="shared" si="117"/>
        <v>8397.4285714285706</v>
      </c>
      <c r="W195" s="47"/>
      <c r="X195" s="90"/>
      <c r="Y195" s="90"/>
      <c r="Z195" s="80">
        <f>$B$1/(Data_nieuwveer!E195+Data_nieuwveer!U195)</f>
        <v>2.8461509061737892E-2</v>
      </c>
      <c r="AA195" s="42"/>
      <c r="AB195" s="42"/>
      <c r="AC195" s="42"/>
      <c r="AD195" s="42"/>
      <c r="AF195" s="21"/>
    </row>
    <row r="196" spans="1:32" x14ac:dyDescent="0.3">
      <c r="A196" s="2">
        <f>Data_nieuwveer!A196</f>
        <v>41735</v>
      </c>
      <c r="D196">
        <f>Data_nieuwveer!F196/(Data_nieuwveer!E196-Data_nieuwveer!F196)</f>
        <v>1.4876033057851239</v>
      </c>
      <c r="F196" s="46">
        <f t="shared" si="78"/>
        <v>3</v>
      </c>
      <c r="G196" s="48">
        <f>F196/(MAX(F193:F196)+1)</f>
        <v>0.75</v>
      </c>
      <c r="H196" s="49">
        <f>E193*(1-G196)+E197*G196</f>
        <v>2474.5</v>
      </c>
      <c r="J196" s="46">
        <f t="shared" si="91"/>
        <v>3</v>
      </c>
      <c r="K196" s="48">
        <f>J196/(MAX(J193:J196)+1)</f>
        <v>0.75</v>
      </c>
      <c r="L196" s="49">
        <f>I193*(1-K196)+I197*K196</f>
        <v>2002.5695000000001</v>
      </c>
      <c r="N196" s="45"/>
      <c r="O196" s="46">
        <f t="shared" si="79"/>
        <v>4</v>
      </c>
      <c r="P196" s="48">
        <f t="shared" si="114"/>
        <v>0.66666666666666663</v>
      </c>
      <c r="Q196" s="49">
        <f t="shared" si="115"/>
        <v>97</v>
      </c>
      <c r="R196" s="45"/>
      <c r="S196" s="46">
        <f t="shared" si="80"/>
        <v>4</v>
      </c>
      <c r="T196" s="48">
        <f t="shared" si="116"/>
        <v>0.5714285714285714</v>
      </c>
      <c r="U196" s="49">
        <f t="shared" si="117"/>
        <v>8157.5714285714284</v>
      </c>
      <c r="W196" s="47"/>
      <c r="X196" s="90"/>
      <c r="Y196" s="90"/>
      <c r="Z196" s="80">
        <f>$B$1/(Data_nieuwveer!E196+Data_nieuwveer!U196)</f>
        <v>2.8044770671900622E-2</v>
      </c>
      <c r="AA196" s="42"/>
      <c r="AB196" s="42"/>
      <c r="AC196" s="42"/>
      <c r="AD196" s="42"/>
      <c r="AF196" s="21"/>
    </row>
    <row r="197" spans="1:32" x14ac:dyDescent="0.3">
      <c r="A197" s="2">
        <f>Data_nieuwveer!A197</f>
        <v>41736</v>
      </c>
      <c r="D197">
        <f>Data_nieuwveer!F197/(Data_nieuwveer!E197-Data_nieuwveer!F197)</f>
        <v>0.99911032028469748</v>
      </c>
      <c r="E197" s="86">
        <f>Data_nieuwveer!AF197</f>
        <v>2358</v>
      </c>
      <c r="F197" s="46">
        <f t="shared" si="78"/>
        <v>0</v>
      </c>
      <c r="G197" s="48">
        <f>F197/(MAX(F197:F199)+1)</f>
        <v>0</v>
      </c>
      <c r="H197" s="49">
        <f>E197*(1-G197)+E200*G197</f>
        <v>2358</v>
      </c>
      <c r="I197" s="24">
        <f>E197*(1-Data_nieuwveer!AG197/100)</f>
        <v>1902.9059999999999</v>
      </c>
      <c r="J197" s="46">
        <f t="shared" si="91"/>
        <v>0</v>
      </c>
      <c r="K197" s="48">
        <f>J197/(MAX(J197:J199)+1)</f>
        <v>0</v>
      </c>
      <c r="L197" s="49">
        <f>I197*(1-K197)+I200*K197</f>
        <v>1902.9059999999999</v>
      </c>
      <c r="M197" s="24">
        <f t="shared" si="95"/>
        <v>0.80699999999999994</v>
      </c>
      <c r="N197" s="45"/>
      <c r="O197" s="46">
        <f t="shared" si="79"/>
        <v>5</v>
      </c>
      <c r="P197" s="48">
        <f t="shared" si="114"/>
        <v>0.83333333333333337</v>
      </c>
      <c r="Q197" s="49">
        <f t="shared" si="115"/>
        <v>103.5</v>
      </c>
      <c r="R197" s="45"/>
      <c r="S197" s="46">
        <f t="shared" si="80"/>
        <v>5</v>
      </c>
      <c r="T197" s="48">
        <f t="shared" si="116"/>
        <v>0.7142857142857143</v>
      </c>
      <c r="U197" s="49">
        <f t="shared" si="117"/>
        <v>7917.7142857142862</v>
      </c>
      <c r="W197" s="47"/>
      <c r="X197" s="90"/>
      <c r="Y197" s="90"/>
      <c r="Z197" s="80">
        <f>$B$1/(Data_nieuwveer!E197+Data_nieuwveer!U197)</f>
        <v>2.5181450336424174E-2</v>
      </c>
      <c r="AA197" s="42"/>
      <c r="AB197" s="42"/>
      <c r="AC197" s="42"/>
      <c r="AD197" s="42"/>
      <c r="AF197" s="21"/>
    </row>
    <row r="198" spans="1:32" x14ac:dyDescent="0.3">
      <c r="A198" s="2">
        <f>Data_nieuwveer!A198</f>
        <v>41737</v>
      </c>
      <c r="B198">
        <f>Data_nieuwveer!Q198/Data_nieuwveer!P198</f>
        <v>0.36</v>
      </c>
      <c r="C198">
        <f>Data_nieuwveer!P198*'Edited data A'!$B$8</f>
        <v>200.27130852340935</v>
      </c>
      <c r="D198">
        <f>Data_nieuwveer!F198/(Data_nieuwveer!E198-Data_nieuwveer!F198)</f>
        <v>0.99911032028469748</v>
      </c>
      <c r="F198" s="46">
        <f t="shared" si="78"/>
        <v>1</v>
      </c>
      <c r="G198" s="48">
        <f>F198/(MAX(F197:F199)+1)</f>
        <v>0.33333333333333331</v>
      </c>
      <c r="H198" s="49">
        <f>E197*(1-G198)+E200*G198</f>
        <v>2400</v>
      </c>
      <c r="J198" s="46">
        <f t="shared" si="91"/>
        <v>1</v>
      </c>
      <c r="K198" s="48">
        <f>J198/(MAX(J197:J199)+1)</f>
        <v>0.33333333333333331</v>
      </c>
      <c r="L198" s="49">
        <f>I197*(1-K198)+I200*K198</f>
        <v>1935.972</v>
      </c>
      <c r="N198" s="45">
        <f>Data_nieuwveer!AV198</f>
        <v>110</v>
      </c>
      <c r="O198" s="46">
        <f t="shared" si="79"/>
        <v>0</v>
      </c>
      <c r="P198" s="48">
        <f>O198/(MAX(O$198:O$203)+1)</f>
        <v>0</v>
      </c>
      <c r="Q198" s="49">
        <f>N$198*(1-P198)+N$204*P198</f>
        <v>110</v>
      </c>
      <c r="R198" s="45"/>
      <c r="S198" s="46">
        <f t="shared" si="80"/>
        <v>6</v>
      </c>
      <c r="T198" s="48">
        <f t="shared" si="116"/>
        <v>0.8571428571428571</v>
      </c>
      <c r="U198" s="49">
        <f t="shared" si="117"/>
        <v>7677.8571428571422</v>
      </c>
      <c r="V198">
        <f>(Data_nieuwveer!E198*C198)/(L198*$B$1)</f>
        <v>3.9847946170304773</v>
      </c>
      <c r="W198" s="47">
        <f>($B$1+$B$3)*H198/(Data_nieuwveer!AL198*'Edited data A'!U198+Data_nieuwveer!AQ198*'Edited data A'!Q198)</f>
        <v>1.2045454783658012</v>
      </c>
      <c r="X198" s="90">
        <f>($B$1*H198)/(Data_nieuwveer!AL198*'Edited data A'!U198+Data_nieuwveer!AQ198*'Edited data A'!N198)</f>
        <v>0.27697977624862385</v>
      </c>
      <c r="Y198" s="90">
        <f t="shared" si="96"/>
        <v>0.13848988812431193</v>
      </c>
      <c r="Z198" s="80">
        <f>$B$1/(Data_nieuwveer!E198+Data_nieuwveer!U198)</f>
        <v>2.5207648000403322E-2</v>
      </c>
      <c r="AA198" s="42">
        <f>Data_nieuwveer!E198*Data_nieuwveer!P198/1000</f>
        <v>67410</v>
      </c>
      <c r="AB198" s="42">
        <f>Data_nieuwveer!AQ198*Data_nieuwveer!AR198/1000</f>
        <v>28740.085499999997</v>
      </c>
      <c r="AC198" s="42">
        <f>Data_nieuwveer!AQ198*Data_nieuwveer!AR198/1000/B$5</f>
        <v>10370.840371822169</v>
      </c>
      <c r="AD198" s="42">
        <f>Data_nieuwveer!AL198*Data_nieuwveer!AR198/B$5/1000</f>
        <v>150.73830904929</v>
      </c>
      <c r="AE198">
        <f>((H198-H197)*($B$1+B$3)+Data_nieuwveer!AQ198*N198+U198*Data_nieuwveer!AL198)/(AA198*1000-(AC198+AD198)*1000)</f>
        <v>0.54433582810917402</v>
      </c>
      <c r="AF198" s="21">
        <f t="shared" si="99"/>
        <v>0.57365249221183801</v>
      </c>
    </row>
    <row r="199" spans="1:32" x14ac:dyDescent="0.3">
      <c r="A199" s="2">
        <f>Data_nieuwveer!A199</f>
        <v>41738</v>
      </c>
      <c r="D199">
        <f>Data_nieuwveer!F199/(Data_nieuwveer!E199-Data_nieuwveer!F199)</f>
        <v>0.99911032028469748</v>
      </c>
      <c r="F199" s="46">
        <f t="shared" si="78"/>
        <v>2</v>
      </c>
      <c r="G199" s="48">
        <f>F199/(MAX(F197:F199)+1)</f>
        <v>0.66666666666666663</v>
      </c>
      <c r="H199" s="49">
        <f>E197*(1-G199)+E200*G199</f>
        <v>2442</v>
      </c>
      <c r="J199" s="46">
        <f t="shared" si="91"/>
        <v>2</v>
      </c>
      <c r="K199" s="48">
        <f>J199/(MAX(J197:J199)+1)</f>
        <v>0.66666666666666663</v>
      </c>
      <c r="L199" s="49">
        <f>I197*(1-K199)+I200*K199</f>
        <v>1969.038</v>
      </c>
      <c r="N199" s="45"/>
      <c r="O199" s="46">
        <f t="shared" si="79"/>
        <v>1</v>
      </c>
      <c r="P199" s="48">
        <f t="shared" ref="P199:P203" si="118">O199/(MAX(O$198:O$203)+1)</f>
        <v>0.16666666666666666</v>
      </c>
      <c r="Q199" s="49">
        <f t="shared" ref="Q199:Q203" si="119">N$198*(1-P199)+N$204*P199</f>
        <v>100.16666666666667</v>
      </c>
      <c r="R199" s="45">
        <f>Data_nieuwveer!AN199*B$4</f>
        <v>7438</v>
      </c>
      <c r="S199" s="46">
        <f t="shared" si="80"/>
        <v>0</v>
      </c>
      <c r="T199" s="48">
        <f>S199/(MAX(S$199:S$205)+1)</f>
        <v>0</v>
      </c>
      <c r="U199" s="49">
        <f>R$199*(1-T199)+R$206*T199</f>
        <v>7438</v>
      </c>
      <c r="W199" s="47"/>
      <c r="X199" s="90"/>
      <c r="Y199" s="90"/>
      <c r="Z199" s="80">
        <f>$B$1/(Data_nieuwveer!E199+Data_nieuwveer!U199)</f>
        <v>2.5149667467503935E-2</v>
      </c>
      <c r="AA199" s="42"/>
      <c r="AB199" s="42"/>
      <c r="AC199" s="42"/>
      <c r="AD199" s="42"/>
      <c r="AF199" s="21"/>
    </row>
    <row r="200" spans="1:32" x14ac:dyDescent="0.3">
      <c r="A200" s="2">
        <f>Data_nieuwveer!A200</f>
        <v>41739</v>
      </c>
      <c r="D200">
        <f>Data_nieuwveer!F200/(Data_nieuwveer!E200-Data_nieuwveer!F200)</f>
        <v>0.99911032028469748</v>
      </c>
      <c r="E200" s="86">
        <f>Data_nieuwveer!AF200</f>
        <v>2484</v>
      </c>
      <c r="F200" s="46">
        <f t="shared" si="78"/>
        <v>0</v>
      </c>
      <c r="G200" s="48">
        <f>F200/(MAX(F200:F203)+1)</f>
        <v>0</v>
      </c>
      <c r="H200" s="49">
        <f>E200*(1-G200)+E204*G200</f>
        <v>2484</v>
      </c>
      <c r="I200" s="24">
        <f>E200*(1-Data_nieuwveer!AG200/100)</f>
        <v>2002.104</v>
      </c>
      <c r="J200" s="46">
        <f t="shared" si="91"/>
        <v>0</v>
      </c>
      <c r="K200" s="48">
        <f>J200/(MAX(J200:J203)+1)</f>
        <v>0</v>
      </c>
      <c r="L200" s="49">
        <f>I200*(1-K200)+I204*K200</f>
        <v>2002.104</v>
      </c>
      <c r="M200" s="24">
        <f t="shared" si="95"/>
        <v>0.80600000000000005</v>
      </c>
      <c r="N200" s="45"/>
      <c r="O200" s="46">
        <f t="shared" si="79"/>
        <v>2</v>
      </c>
      <c r="P200" s="48">
        <f t="shared" si="118"/>
        <v>0.33333333333333331</v>
      </c>
      <c r="Q200" s="49">
        <f t="shared" si="119"/>
        <v>90.333333333333343</v>
      </c>
      <c r="R200" s="45"/>
      <c r="S200" s="46">
        <f t="shared" si="80"/>
        <v>1</v>
      </c>
      <c r="T200" s="48">
        <f t="shared" ref="T200:T205" si="120">S200/(MAX(S$199:S$205)+1)</f>
        <v>0.14285714285714285</v>
      </c>
      <c r="U200" s="49">
        <f t="shared" ref="U200:U205" si="121">R$199*(1-T200)+R$206*T200</f>
        <v>7510.2857142857147</v>
      </c>
      <c r="W200" s="47"/>
      <c r="X200" s="90"/>
      <c r="Y200" s="90"/>
      <c r="Z200" s="80">
        <f>$B$1/(Data_nieuwveer!E200+Data_nieuwveer!U200)</f>
        <v>2.5097863741546499E-2</v>
      </c>
      <c r="AA200" s="42"/>
      <c r="AB200" s="42"/>
      <c r="AC200" s="42"/>
      <c r="AD200" s="42"/>
      <c r="AF200" s="21"/>
    </row>
    <row r="201" spans="1:32" x14ac:dyDescent="0.3">
      <c r="A201" s="2">
        <f>Data_nieuwveer!A201</f>
        <v>41740</v>
      </c>
      <c r="D201">
        <f>Data_nieuwveer!F201/(Data_nieuwveer!E201-Data_nieuwveer!F201)</f>
        <v>0.99911032028469748</v>
      </c>
      <c r="F201" s="46">
        <f t="shared" ref="F201:F220" si="122">IF(E201&gt;0,0,F200+1)</f>
        <v>1</v>
      </c>
      <c r="G201" s="48">
        <f>F201/(MAX(F200:F203)+1)</f>
        <v>0.25</v>
      </c>
      <c r="H201" s="49">
        <f>E200*(1-G201)+E204*G201</f>
        <v>2421</v>
      </c>
      <c r="J201" s="46">
        <f t="shared" si="91"/>
        <v>1</v>
      </c>
      <c r="K201" s="48">
        <f>J201/(MAX(J200:J203)+1)</f>
        <v>0.25</v>
      </c>
      <c r="L201" s="49">
        <f>I200*(1-K201)+I204*K201</f>
        <v>1955.232</v>
      </c>
      <c r="N201" s="45"/>
      <c r="O201" s="46">
        <f t="shared" ref="O201:O221" si="123">IF(N201&gt;0,0,O200+1)</f>
        <v>3</v>
      </c>
      <c r="P201" s="48">
        <f t="shared" si="118"/>
        <v>0.5</v>
      </c>
      <c r="Q201" s="49">
        <f t="shared" si="119"/>
        <v>80.5</v>
      </c>
      <c r="R201" s="45"/>
      <c r="S201" s="46">
        <f t="shared" ref="S201:S221" si="124">IF(R201&gt;0,0,S200+1)</f>
        <v>2</v>
      </c>
      <c r="T201" s="48">
        <f t="shared" si="120"/>
        <v>0.2857142857142857</v>
      </c>
      <c r="U201" s="49">
        <f t="shared" si="121"/>
        <v>7582.5714285714294</v>
      </c>
      <c r="W201" s="47"/>
      <c r="X201" s="90"/>
      <c r="Y201" s="90"/>
      <c r="Z201" s="80">
        <f>$B$1/(Data_nieuwveer!E201+Data_nieuwveer!U201)</f>
        <v>2.5121083623063162E-2</v>
      </c>
      <c r="AA201" s="42"/>
      <c r="AB201" s="42"/>
      <c r="AC201" s="42"/>
      <c r="AD201" s="42"/>
      <c r="AF201" s="21"/>
    </row>
    <row r="202" spans="1:32" x14ac:dyDescent="0.3">
      <c r="A202" s="2">
        <f>Data_nieuwveer!A202</f>
        <v>41741</v>
      </c>
      <c r="D202">
        <f>Data_nieuwveer!F202/(Data_nieuwveer!E202-Data_nieuwveer!F202)</f>
        <v>1.506276150627615</v>
      </c>
      <c r="F202" s="46">
        <f t="shared" si="122"/>
        <v>2</v>
      </c>
      <c r="G202" s="48">
        <f>F202/(MAX(F200:F203)+1)</f>
        <v>0.5</v>
      </c>
      <c r="H202" s="49">
        <f>E200*(1-G202)+E204*G202</f>
        <v>2358</v>
      </c>
      <c r="J202" s="46">
        <f t="shared" si="91"/>
        <v>2</v>
      </c>
      <c r="K202" s="48">
        <f>J202/(MAX(J200:J203)+1)</f>
        <v>0.5</v>
      </c>
      <c r="L202" s="49">
        <f>I200*(1-K202)+I204*K202</f>
        <v>1908.3600000000001</v>
      </c>
      <c r="N202" s="45"/>
      <c r="O202" s="46">
        <f t="shared" si="123"/>
        <v>4</v>
      </c>
      <c r="P202" s="48">
        <f t="shared" si="118"/>
        <v>0.66666666666666663</v>
      </c>
      <c r="Q202" s="49">
        <f t="shared" si="119"/>
        <v>70.666666666666671</v>
      </c>
      <c r="R202" s="45"/>
      <c r="S202" s="46">
        <f t="shared" si="124"/>
        <v>3</v>
      </c>
      <c r="T202" s="48">
        <f t="shared" si="120"/>
        <v>0.42857142857142855</v>
      </c>
      <c r="U202" s="49">
        <f t="shared" si="121"/>
        <v>7654.8571428571422</v>
      </c>
      <c r="W202" s="47"/>
      <c r="X202" s="90"/>
      <c r="Y202" s="90"/>
      <c r="Z202" s="80">
        <f>$B$1/(Data_nieuwveer!E202+Data_nieuwveer!U202)</f>
        <v>2.8191004656364621E-2</v>
      </c>
      <c r="AA202" s="42"/>
      <c r="AB202" s="42"/>
      <c r="AC202" s="42"/>
      <c r="AD202" s="42"/>
      <c r="AF202" s="21"/>
    </row>
    <row r="203" spans="1:32" x14ac:dyDescent="0.3">
      <c r="A203" s="2">
        <f>Data_nieuwveer!A203</f>
        <v>41742</v>
      </c>
      <c r="D203">
        <f>Data_nieuwveer!F203/(Data_nieuwveer!E203-Data_nieuwveer!F203)</f>
        <v>1.5094339622641511</v>
      </c>
      <c r="F203" s="46">
        <f t="shared" si="122"/>
        <v>3</v>
      </c>
      <c r="G203" s="48">
        <f>F203/(MAX(F200:F203)+1)</f>
        <v>0.75</v>
      </c>
      <c r="H203" s="49">
        <f>E200*(1-G203)+E204*G203</f>
        <v>2295</v>
      </c>
      <c r="J203" s="46">
        <f t="shared" si="91"/>
        <v>3</v>
      </c>
      <c r="K203" s="48">
        <f>J203/(MAX(J200:J203)+1)</f>
        <v>0.75</v>
      </c>
      <c r="L203" s="49">
        <f>I200*(1-K203)+I204*K203</f>
        <v>1861.4880000000001</v>
      </c>
      <c r="N203" s="45"/>
      <c r="O203" s="46">
        <f t="shared" si="123"/>
        <v>5</v>
      </c>
      <c r="P203" s="48">
        <f t="shared" si="118"/>
        <v>0.83333333333333337</v>
      </c>
      <c r="Q203" s="49">
        <f t="shared" si="119"/>
        <v>60.833333333333329</v>
      </c>
      <c r="R203" s="45"/>
      <c r="S203" s="46">
        <f t="shared" si="124"/>
        <v>4</v>
      </c>
      <c r="T203" s="48">
        <f t="shared" si="120"/>
        <v>0.5714285714285714</v>
      </c>
      <c r="U203" s="49">
        <f t="shared" si="121"/>
        <v>7727.1428571428569</v>
      </c>
      <c r="W203" s="47"/>
      <c r="X203" s="90"/>
      <c r="Y203" s="90"/>
      <c r="Z203" s="80">
        <f>$B$1/(Data_nieuwveer!E203+Data_nieuwveer!U203)</f>
        <v>2.8222194010779522E-2</v>
      </c>
      <c r="AA203" s="42"/>
      <c r="AB203" s="42"/>
      <c r="AC203" s="42"/>
      <c r="AD203" s="42"/>
      <c r="AF203" s="21"/>
    </row>
    <row r="204" spans="1:32" x14ac:dyDescent="0.3">
      <c r="A204" s="2">
        <f>Data_nieuwveer!A204</f>
        <v>41743</v>
      </c>
      <c r="C204">
        <f>Data_nieuwveer!P204*'Edited data A'!$B$8</f>
        <v>104.14108043217286</v>
      </c>
      <c r="D204">
        <f>Data_nieuwveer!F204/(Data_nieuwveer!E204-Data_nieuwveer!F204)</f>
        <v>1.5286629609199305</v>
      </c>
      <c r="E204" s="86">
        <f>Data_nieuwveer!AF204</f>
        <v>2232</v>
      </c>
      <c r="F204" s="46">
        <f t="shared" si="122"/>
        <v>0</v>
      </c>
      <c r="G204" s="48">
        <f>F204/(MAX(F204:F206)+1)</f>
        <v>0</v>
      </c>
      <c r="H204" s="49">
        <f>E204*(1-G204)+E207*G204</f>
        <v>2232</v>
      </c>
      <c r="I204" s="24">
        <f>E204*(1-Data_nieuwveer!AG204/100)</f>
        <v>1814.616</v>
      </c>
      <c r="J204" s="46">
        <f t="shared" si="91"/>
        <v>0</v>
      </c>
      <c r="K204" s="48">
        <f>J204/(MAX(J204:J206)+1)</f>
        <v>0</v>
      </c>
      <c r="L204" s="49">
        <f>I204*(1-K204)+I207*K204</f>
        <v>1814.616</v>
      </c>
      <c r="M204" s="24">
        <f t="shared" si="95"/>
        <v>0.81299999999999994</v>
      </c>
      <c r="N204" s="45">
        <f>Data_nieuwveer!AV204</f>
        <v>51</v>
      </c>
      <c r="O204" s="46">
        <f t="shared" si="123"/>
        <v>0</v>
      </c>
      <c r="P204" s="48">
        <f>O204/(MAX(O$204:O$209)+1)</f>
        <v>0</v>
      </c>
      <c r="Q204" s="49">
        <f>N$204*(1-P204)+N$210*P204</f>
        <v>51</v>
      </c>
      <c r="R204" s="45"/>
      <c r="S204" s="46">
        <f t="shared" si="124"/>
        <v>5</v>
      </c>
      <c r="T204" s="48">
        <f t="shared" si="120"/>
        <v>0.7142857142857143</v>
      </c>
      <c r="U204" s="49">
        <f t="shared" si="121"/>
        <v>7799.4285714285716</v>
      </c>
      <c r="V204">
        <f>(Data_nieuwveer!E204*C204)/(L204*$B$1)</f>
        <v>1.9543149014744645</v>
      </c>
      <c r="W204" s="47">
        <f>($B$1+$B$3)*H204/(Data_nieuwveer!AL204*'Edited data A'!U204+Data_nieuwveer!AQ204*'Edited data A'!Q204)</f>
        <v>2.2219430555519528</v>
      </c>
      <c r="X204" s="90">
        <f>($B$1*H204)/(Data_nieuwveer!AL204*'Edited data A'!U204+Data_nieuwveer!AQ204*'Edited data A'!N204)</f>
        <v>0.51092574038708582</v>
      </c>
      <c r="Y204" s="90">
        <f t="shared" si="96"/>
        <v>0.25546287019354291</v>
      </c>
      <c r="Z204" s="80">
        <f>$B$1/(Data_nieuwveer!E204+Data_nieuwveer!U204)</f>
        <v>2.8571533528082348E-2</v>
      </c>
      <c r="AA204" s="42">
        <f>Data_nieuwveer!E204*Data_nieuwveer!P204/1000</f>
        <v>30988.36</v>
      </c>
      <c r="AB204" s="42">
        <f>Data_nieuwveer!AQ204*Data_nieuwveer!AR204/1000</f>
        <v>15773.2315</v>
      </c>
      <c r="AC204" s="42">
        <f>Data_nieuwveer!AQ204*Data_nieuwveer!AR204/1000/B$5</f>
        <v>5691.7598952270737</v>
      </c>
      <c r="AD204" s="42">
        <f>Data_nieuwveer!AL204*Data_nieuwveer!AR204/B$5/1000</f>
        <v>54.744450666618278</v>
      </c>
      <c r="AE204">
        <f>((H204-H203)*($B$1+B$3)+Data_nieuwveer!AQ204*N204+U204*Data_nieuwveer!AL204)/(AA204*1000-(AC204+AD204)*1000)</f>
        <v>0.56774630158879791</v>
      </c>
      <c r="AF204" s="21">
        <f t="shared" si="99"/>
        <v>0.49099495746144683</v>
      </c>
    </row>
    <row r="205" spans="1:32" x14ac:dyDescent="0.3">
      <c r="A205" s="2">
        <f>Data_nieuwveer!A205</f>
        <v>41744</v>
      </c>
      <c r="D205">
        <f>Data_nieuwveer!F205/(Data_nieuwveer!E205-Data_nieuwveer!F205)</f>
        <v>1.4402880576115222</v>
      </c>
      <c r="F205" s="46">
        <f t="shared" si="122"/>
        <v>1</v>
      </c>
      <c r="G205" s="48">
        <f>F205/(MAX(F204:F206)+1)</f>
        <v>0.33333333333333331</v>
      </c>
      <c r="H205" s="49">
        <f>E204*(1-G205)+E207*G205</f>
        <v>2473.3333333333335</v>
      </c>
      <c r="J205" s="46">
        <f t="shared" si="91"/>
        <v>1</v>
      </c>
      <c r="K205" s="48">
        <f>J205/(MAX(J204:J206)+1)</f>
        <v>0.33333333333333331</v>
      </c>
      <c r="L205" s="49">
        <f>I204*(1-K205)+I207*K205</f>
        <v>2004.9079999999999</v>
      </c>
      <c r="N205" s="45"/>
      <c r="O205" s="46">
        <f t="shared" ref="O205:O210" si="125">IF(N205&gt;0,0,O204+1)</f>
        <v>1</v>
      </c>
      <c r="P205" s="48">
        <f t="shared" ref="P205:P209" si="126">O205/(MAX(O$204:O$209)+1)</f>
        <v>0.16666666666666666</v>
      </c>
      <c r="Q205" s="49">
        <f t="shared" ref="Q205:Q209" si="127">N$204*(1-P205)+N$210*P205</f>
        <v>48</v>
      </c>
      <c r="R205" s="45"/>
      <c r="S205" s="46">
        <f t="shared" si="124"/>
        <v>6</v>
      </c>
      <c r="T205" s="48">
        <f t="shared" si="120"/>
        <v>0.8571428571428571</v>
      </c>
      <c r="U205" s="49">
        <f t="shared" si="121"/>
        <v>7871.7142857142862</v>
      </c>
      <c r="W205" s="47"/>
      <c r="X205" s="90"/>
      <c r="Y205" s="90"/>
      <c r="Z205" s="80">
        <f>$B$1/(Data_nieuwveer!E205+Data_nieuwveer!U205)</f>
        <v>2.7812211944947714E-2</v>
      </c>
      <c r="AA205" s="42"/>
      <c r="AB205" s="42"/>
      <c r="AC205" s="42"/>
      <c r="AD205" s="42"/>
      <c r="AF205" s="21"/>
    </row>
    <row r="206" spans="1:32" x14ac:dyDescent="0.3">
      <c r="A206" s="2">
        <f>Data_nieuwveer!A206</f>
        <v>41745</v>
      </c>
      <c r="D206">
        <f>Data_nieuwveer!F206/(Data_nieuwveer!E206-Data_nieuwveer!F206)</f>
        <v>1.5077902496230524</v>
      </c>
      <c r="F206" s="46">
        <f t="shared" si="122"/>
        <v>2</v>
      </c>
      <c r="G206" s="48">
        <f>F206/(MAX(F204:F206)+1)</f>
        <v>0.66666666666666663</v>
      </c>
      <c r="H206" s="49">
        <f>E204*(1-G206)+E207*G206</f>
        <v>2714.6666666666665</v>
      </c>
      <c r="J206" s="46">
        <f t="shared" si="91"/>
        <v>2</v>
      </c>
      <c r="K206" s="48">
        <f>J206/(MAX(J204:J206)+1)</f>
        <v>0.66666666666666663</v>
      </c>
      <c r="L206" s="49">
        <f>I204*(1-K206)+I207*K206</f>
        <v>2195.1999999999998</v>
      </c>
      <c r="N206" s="45"/>
      <c r="O206" s="46">
        <f t="shared" si="125"/>
        <v>2</v>
      </c>
      <c r="P206" s="48">
        <f t="shared" si="126"/>
        <v>0.33333333333333331</v>
      </c>
      <c r="Q206" s="49">
        <f t="shared" si="127"/>
        <v>45.000000000000007</v>
      </c>
      <c r="R206" s="45">
        <f>Data_nieuwveer!AN206*B$4</f>
        <v>7944</v>
      </c>
      <c r="S206" s="46">
        <f t="shared" si="124"/>
        <v>0</v>
      </c>
      <c r="T206" s="48">
        <f>S206/(MAX(S$206:S$221)+1)</f>
        <v>0</v>
      </c>
      <c r="U206" s="49">
        <f>R$206*(1-T206)+R$222*T206</f>
        <v>7944</v>
      </c>
      <c r="W206" s="47"/>
      <c r="X206" s="90"/>
      <c r="Y206" s="90"/>
      <c r="Z206" s="80">
        <f>$B$1/(Data_nieuwveer!E206+Data_nieuwveer!U206)</f>
        <v>2.8267854885755464E-2</v>
      </c>
      <c r="AA206" s="42"/>
      <c r="AB206" s="42"/>
      <c r="AC206" s="42"/>
      <c r="AD206" s="42"/>
      <c r="AF206" s="21"/>
    </row>
    <row r="207" spans="1:32" x14ac:dyDescent="0.3">
      <c r="A207" s="2">
        <f>Data_nieuwveer!A207</f>
        <v>41746</v>
      </c>
      <c r="D207">
        <f>Data_nieuwveer!F207/(Data_nieuwveer!E207-Data_nieuwveer!F207)</f>
        <v>1.41387165187338</v>
      </c>
      <c r="E207" s="86">
        <f>Data_nieuwveer!AF207</f>
        <v>2956</v>
      </c>
      <c r="F207" s="46">
        <f t="shared" si="122"/>
        <v>0</v>
      </c>
      <c r="G207" s="48">
        <f>F207/(MAX(F207:F210)+1)</f>
        <v>0</v>
      </c>
      <c r="H207" s="49">
        <f>E207*(1-G207)+E211*G207</f>
        <v>2956</v>
      </c>
      <c r="I207" s="24">
        <f>E207*(1-Data_nieuwveer!AG207/100)</f>
        <v>2385.4919999999997</v>
      </c>
      <c r="J207" s="46">
        <f t="shared" si="91"/>
        <v>0</v>
      </c>
      <c r="K207" s="48">
        <f>J207/(MAX(J207:J210)+1)</f>
        <v>0</v>
      </c>
      <c r="L207" s="49">
        <f>I207*(1-K207)+I211*K207</f>
        <v>2385.4919999999997</v>
      </c>
      <c r="M207" s="24">
        <f t="shared" si="95"/>
        <v>0.80699999999999994</v>
      </c>
      <c r="N207" s="45"/>
      <c r="O207" s="46">
        <f t="shared" si="125"/>
        <v>3</v>
      </c>
      <c r="P207" s="48">
        <f t="shared" si="126"/>
        <v>0.5</v>
      </c>
      <c r="Q207" s="49">
        <f t="shared" si="127"/>
        <v>42</v>
      </c>
      <c r="R207" s="45"/>
      <c r="S207" s="46">
        <f t="shared" si="124"/>
        <v>1</v>
      </c>
      <c r="T207" s="48">
        <f t="shared" ref="T207:T221" si="128">S207/(MAX(S$206:S$221)+1)</f>
        <v>6.25E-2</v>
      </c>
      <c r="U207" s="49">
        <f t="shared" ref="U207:U219" si="129">R$206*(1-T207)+R$222*T207</f>
        <v>7944</v>
      </c>
      <c r="W207" s="47"/>
      <c r="X207" s="90"/>
      <c r="Y207" s="90"/>
      <c r="Z207" s="80">
        <f>$B$1/(Data_nieuwveer!E207+Data_nieuwveer!U207)</f>
        <v>2.7534141273147537E-2</v>
      </c>
      <c r="AA207" s="42"/>
      <c r="AB207" s="42"/>
      <c r="AC207" s="42"/>
      <c r="AD207" s="42"/>
      <c r="AF207" s="21"/>
    </row>
    <row r="208" spans="1:32" x14ac:dyDescent="0.3">
      <c r="A208" s="2">
        <f>Data_nieuwveer!A208</f>
        <v>41747</v>
      </c>
      <c r="D208">
        <f>Data_nieuwveer!F208/(Data_nieuwveer!E208-Data_nieuwveer!F208)</f>
        <v>1.4584937001174898</v>
      </c>
      <c r="F208" s="46">
        <f t="shared" si="122"/>
        <v>1</v>
      </c>
      <c r="G208" s="48">
        <f>F208/(MAX(F207:F210)+1)</f>
        <v>0.25</v>
      </c>
      <c r="H208" s="49">
        <f>E207*(1-G208)+E211*G208</f>
        <v>2687.5</v>
      </c>
      <c r="J208" s="46">
        <f t="shared" si="91"/>
        <v>1</v>
      </c>
      <c r="K208" s="48">
        <f>J208/(MAX(J207:J210)+1)</f>
        <v>0.25</v>
      </c>
      <c r="L208" s="49">
        <f>I207*(1-K208)+I211*K208</f>
        <v>2181.5159999999996</v>
      </c>
      <c r="N208" s="45"/>
      <c r="O208" s="46">
        <f t="shared" si="125"/>
        <v>4</v>
      </c>
      <c r="P208" s="48">
        <f t="shared" si="126"/>
        <v>0.66666666666666663</v>
      </c>
      <c r="Q208" s="49">
        <f t="shared" si="127"/>
        <v>39</v>
      </c>
      <c r="R208" s="45"/>
      <c r="S208" s="46">
        <f t="shared" si="124"/>
        <v>2</v>
      </c>
      <c r="T208" s="48">
        <f t="shared" si="128"/>
        <v>0.125</v>
      </c>
      <c r="U208" s="49">
        <f t="shared" si="129"/>
        <v>7944</v>
      </c>
      <c r="W208" s="47"/>
      <c r="X208" s="90"/>
      <c r="Y208" s="90"/>
      <c r="Z208" s="80">
        <f>$B$1/(Data_nieuwveer!E208+Data_nieuwveer!U208)</f>
        <v>2.7784341056565139E-2</v>
      </c>
      <c r="AA208" s="42"/>
      <c r="AB208" s="42"/>
      <c r="AC208" s="42"/>
      <c r="AD208" s="42"/>
      <c r="AF208" s="21"/>
    </row>
    <row r="209" spans="1:32" x14ac:dyDescent="0.3">
      <c r="A209" s="2">
        <f>Data_nieuwveer!A209</f>
        <v>41748</v>
      </c>
      <c r="D209">
        <f>Data_nieuwveer!F209/(Data_nieuwveer!E209-Data_nieuwveer!F209)</f>
        <v>1.484485103226604</v>
      </c>
      <c r="F209" s="46">
        <f t="shared" si="122"/>
        <v>2</v>
      </c>
      <c r="G209" s="48">
        <f>F209/(MAX(F207:F210)+1)</f>
        <v>0.5</v>
      </c>
      <c r="H209" s="49">
        <f>E207*(1-G209)+E211*G209</f>
        <v>2419</v>
      </c>
      <c r="J209" s="46">
        <f t="shared" si="91"/>
        <v>2</v>
      </c>
      <c r="K209" s="48">
        <f>J209/(MAX(J207:J210)+1)</f>
        <v>0.5</v>
      </c>
      <c r="L209" s="49">
        <f>I207*(1-K209)+I211*K209</f>
        <v>1977.54</v>
      </c>
      <c r="N209" s="45"/>
      <c r="O209" s="46">
        <f t="shared" si="125"/>
        <v>5</v>
      </c>
      <c r="P209" s="48">
        <f t="shared" si="126"/>
        <v>0.83333333333333337</v>
      </c>
      <c r="Q209" s="49">
        <f t="shared" si="127"/>
        <v>36</v>
      </c>
      <c r="R209" s="45"/>
      <c r="S209" s="46">
        <f t="shared" si="124"/>
        <v>3</v>
      </c>
      <c r="T209" s="48">
        <f t="shared" si="128"/>
        <v>0.1875</v>
      </c>
      <c r="U209" s="49">
        <f t="shared" si="129"/>
        <v>7944</v>
      </c>
      <c r="W209" s="47"/>
      <c r="X209" s="90"/>
      <c r="Y209" s="90"/>
      <c r="Z209" s="80">
        <f>$B$1/(Data_nieuwveer!E209+Data_nieuwveer!U209)</f>
        <v>2.7857636335272225E-2</v>
      </c>
      <c r="AA209" s="42"/>
      <c r="AB209" s="42"/>
      <c r="AC209" s="42"/>
      <c r="AD209" s="42"/>
      <c r="AF209" s="21"/>
    </row>
    <row r="210" spans="1:32" x14ac:dyDescent="0.3">
      <c r="A210" s="2">
        <f>Data_nieuwveer!A210</f>
        <v>41749</v>
      </c>
      <c r="C210">
        <f>Data_nieuwveer!P210*'Edited data A'!$B$8</f>
        <v>112.15193277310924</v>
      </c>
      <c r="D210">
        <f>Data_nieuwveer!F210/(Data_nieuwveer!E210-Data_nieuwveer!F210)</f>
        <v>1.5483870967741935</v>
      </c>
      <c r="F210" s="46">
        <f t="shared" si="122"/>
        <v>3</v>
      </c>
      <c r="G210" s="48">
        <f>F210/(MAX(F207:F210)+1)</f>
        <v>0.75</v>
      </c>
      <c r="H210" s="49">
        <f>E207*(1-G210)+E211*G210</f>
        <v>2150.5</v>
      </c>
      <c r="J210" s="46">
        <f t="shared" si="91"/>
        <v>3</v>
      </c>
      <c r="K210" s="48">
        <f>J210/(MAX(J207:J210)+1)</f>
        <v>0.75</v>
      </c>
      <c r="L210" s="49">
        <f>I207*(1-K210)+I211*K210</f>
        <v>1773.5639999999999</v>
      </c>
      <c r="N210" s="45">
        <f>Data_nieuwveer!AV210</f>
        <v>33</v>
      </c>
      <c r="O210" s="46">
        <f t="shared" si="125"/>
        <v>0</v>
      </c>
      <c r="P210" s="48">
        <f>O210/(MAX(O$210:O$215)+1)</f>
        <v>0</v>
      </c>
      <c r="Q210" s="49">
        <f>N$210*(1-P210)+N$216*P210</f>
        <v>33</v>
      </c>
      <c r="R210" s="45"/>
      <c r="S210" s="46">
        <f t="shared" si="124"/>
        <v>4</v>
      </c>
      <c r="T210" s="48">
        <f t="shared" si="128"/>
        <v>0.25</v>
      </c>
      <c r="U210" s="49">
        <f t="shared" si="129"/>
        <v>7944</v>
      </c>
      <c r="V210">
        <f>(Data_nieuwveer!E210*C210)/(L210*$B$1)</f>
        <v>2.1409681351244401</v>
      </c>
      <c r="W210" s="47">
        <f>($B$1+$B$3)*H210/(Data_nieuwveer!AL210*'Edited data A'!U210+Data_nieuwveer!AQ210*'Edited data A'!Q210)</f>
        <v>1.5485322868068074</v>
      </c>
      <c r="X210" s="90">
        <f>($B$1*H210)/(Data_nieuwveer!AL210*'Edited data A'!U210+Data_nieuwveer!AQ210*'Edited data A'!N210)</f>
        <v>0.35607798461492846</v>
      </c>
      <c r="Y210" s="90">
        <f t="shared" si="96"/>
        <v>0.17803899230746423</v>
      </c>
      <c r="Z210" s="80">
        <f>$B$1/(Data_nieuwveer!E210+Data_nieuwveer!U210)</f>
        <v>2.8406381696550857E-2</v>
      </c>
      <c r="AA210" s="42">
        <f>Data_nieuwveer!E210*Data_nieuwveer!P210/1000</f>
        <v>33180</v>
      </c>
      <c r="AB210" s="42">
        <f>Data_nieuwveer!AQ210*Data_nieuwveer!AR210/1000</f>
        <v>16947.525000000001</v>
      </c>
      <c r="AC210" s="42">
        <f>Data_nieuwveer!AQ210*Data_nieuwveer!AR210/1000/B$5</f>
        <v>6115.5029087323182</v>
      </c>
      <c r="AD210" s="42">
        <f>Data_nieuwveer!AL210*Data_nieuwveer!AR210/B$5/1000</f>
        <v>109.01979721441377</v>
      </c>
      <c r="AE210">
        <f>((H210-H209)*($B$1+B$3)+Data_nieuwveer!AQ210*N210+U210*Data_nieuwveer!AL210)/(AA210*1000-(AC210+AD210)*1000)</f>
        <v>0.63256484253616585</v>
      </c>
      <c r="AF210" s="21">
        <f t="shared" si="99"/>
        <v>0.48922468354430376</v>
      </c>
    </row>
    <row r="211" spans="1:32" x14ac:dyDescent="0.3">
      <c r="A211" s="2">
        <f>Data_nieuwveer!A211</f>
        <v>41750</v>
      </c>
      <c r="D211">
        <f>Data_nieuwveer!F211/(Data_nieuwveer!E211-Data_nieuwveer!F211)</f>
        <v>1.6901408450704225</v>
      </c>
      <c r="E211" s="86">
        <f>Data_nieuwveer!AF211</f>
        <v>1882</v>
      </c>
      <c r="F211" s="46">
        <f t="shared" si="122"/>
        <v>0</v>
      </c>
      <c r="G211" s="48">
        <f>F211/(MAX(F211:F220)+1)</f>
        <v>0</v>
      </c>
      <c r="H211" s="49">
        <f>E211*(1-G211)+E221*G211</f>
        <v>1882</v>
      </c>
      <c r="I211" s="24">
        <f>E211*(1-Data_nieuwveer!AG211/100)</f>
        <v>1569.588</v>
      </c>
      <c r="J211" s="46">
        <f t="shared" si="91"/>
        <v>0</v>
      </c>
      <c r="K211" s="48">
        <f>J211/(MAX(J211:J220)+1)</f>
        <v>0</v>
      </c>
      <c r="L211" s="49">
        <f>I211*(1-K211)+I221*K211</f>
        <v>1569.588</v>
      </c>
      <c r="M211" s="24">
        <f t="shared" si="95"/>
        <v>0.83399999999999996</v>
      </c>
      <c r="N211" s="45"/>
      <c r="O211" s="46">
        <f t="shared" si="123"/>
        <v>1</v>
      </c>
      <c r="P211" s="48">
        <f t="shared" ref="P211:P215" si="130">O211/(MAX(O$210:O$215)+1)</f>
        <v>0.16666666666666666</v>
      </c>
      <c r="Q211" s="49">
        <f t="shared" ref="Q211:Q215" si="131">N$210*(1-P211)+N$216*P211</f>
        <v>38.333333333333329</v>
      </c>
      <c r="R211" s="45"/>
      <c r="S211" s="46">
        <f t="shared" si="124"/>
        <v>5</v>
      </c>
      <c r="T211" s="48">
        <f t="shared" si="128"/>
        <v>0.3125</v>
      </c>
      <c r="U211" s="49">
        <f t="shared" si="129"/>
        <v>7944</v>
      </c>
      <c r="W211" s="47"/>
      <c r="X211" s="90"/>
      <c r="Y211" s="90"/>
      <c r="Z211" s="80">
        <f>$B$1/(Data_nieuwveer!E211+Data_nieuwveer!U211)</f>
        <v>2.9344076059845146E-2</v>
      </c>
      <c r="AA211" s="42"/>
      <c r="AB211" s="42"/>
      <c r="AC211" s="42"/>
      <c r="AD211" s="42"/>
      <c r="AF211" s="21"/>
    </row>
    <row r="212" spans="1:32" x14ac:dyDescent="0.3">
      <c r="A212" s="2">
        <f>Data_nieuwveer!A212</f>
        <v>41751</v>
      </c>
      <c r="D212">
        <f>Data_nieuwveer!F212/(Data_nieuwveer!E212-Data_nieuwveer!F212)</f>
        <v>1.5542699248769536</v>
      </c>
      <c r="F212" s="46">
        <f t="shared" si="122"/>
        <v>1</v>
      </c>
      <c r="G212" s="48">
        <f>F212/(MAX(F211:F220)+1)</f>
        <v>0.1</v>
      </c>
      <c r="H212" s="49">
        <f>E211*(1-G212)+E221*G212</f>
        <v>1882</v>
      </c>
      <c r="J212" s="46">
        <f t="shared" si="91"/>
        <v>1</v>
      </c>
      <c r="K212" s="48">
        <f>J212/(MAX(J211:J220)+1)</f>
        <v>0.1</v>
      </c>
      <c r="L212" s="49">
        <f>I211*(1-K212)+I221*K212</f>
        <v>1569.5880000000002</v>
      </c>
      <c r="N212" s="45"/>
      <c r="O212" s="46">
        <f t="shared" si="123"/>
        <v>2</v>
      </c>
      <c r="P212" s="48">
        <f t="shared" si="130"/>
        <v>0.33333333333333331</v>
      </c>
      <c r="Q212" s="49">
        <f t="shared" si="131"/>
        <v>43.666666666666671</v>
      </c>
      <c r="R212" s="45"/>
      <c r="S212" s="46">
        <f t="shared" si="124"/>
        <v>6</v>
      </c>
      <c r="T212" s="48">
        <f t="shared" si="128"/>
        <v>0.375</v>
      </c>
      <c r="U212" s="49">
        <f t="shared" si="129"/>
        <v>7944</v>
      </c>
      <c r="W212" s="47"/>
      <c r="X212" s="90"/>
      <c r="Y212" s="90"/>
      <c r="Z212" s="80">
        <f>$B$1/(Data_nieuwveer!E212+Data_nieuwveer!U212)</f>
        <v>2.8608912084813164E-2</v>
      </c>
      <c r="AA212" s="42"/>
      <c r="AB212" s="42"/>
      <c r="AC212" s="42"/>
      <c r="AD212" s="42"/>
      <c r="AF212" s="21"/>
    </row>
    <row r="213" spans="1:32" x14ac:dyDescent="0.3">
      <c r="A213" s="2">
        <f>Data_nieuwveer!A213</f>
        <v>41752</v>
      </c>
      <c r="D213">
        <f>Data_nieuwveer!F213/(Data_nieuwveer!E213-Data_nieuwveer!F213)</f>
        <v>1.4798980514675655</v>
      </c>
      <c r="F213" s="46">
        <f t="shared" si="122"/>
        <v>2</v>
      </c>
      <c r="G213" s="48">
        <f>F213/(MAX(F211:F220)+1)</f>
        <v>0.2</v>
      </c>
      <c r="H213" s="49">
        <f>E211*(1-G213)+E221*G213</f>
        <v>1882.0000000000002</v>
      </c>
      <c r="J213" s="46">
        <f t="shared" si="91"/>
        <v>2</v>
      </c>
      <c r="K213" s="48">
        <f>J213/(MAX(J211:J220)+1)</f>
        <v>0.2</v>
      </c>
      <c r="L213" s="49">
        <f>I211*(1-K213)+I221*K213</f>
        <v>1569.588</v>
      </c>
      <c r="N213" s="45"/>
      <c r="O213" s="46">
        <f t="shared" si="123"/>
        <v>3</v>
      </c>
      <c r="P213" s="48">
        <f t="shared" si="130"/>
        <v>0.5</v>
      </c>
      <c r="Q213" s="49">
        <f t="shared" si="131"/>
        <v>49</v>
      </c>
      <c r="R213" s="45"/>
      <c r="S213" s="46">
        <f t="shared" si="124"/>
        <v>7</v>
      </c>
      <c r="T213" s="48">
        <f t="shared" si="128"/>
        <v>0.4375</v>
      </c>
      <c r="U213" s="49">
        <f t="shared" si="129"/>
        <v>7944</v>
      </c>
      <c r="W213" s="47"/>
      <c r="X213" s="90"/>
      <c r="Y213" s="90"/>
      <c r="Z213" s="80">
        <f>$B$1/(Data_nieuwveer!E213+Data_nieuwveer!U213)</f>
        <v>2.8152496442730986E-2</v>
      </c>
      <c r="AA213" s="42"/>
      <c r="AB213" s="42"/>
      <c r="AC213" s="42"/>
      <c r="AD213" s="42"/>
      <c r="AF213" s="21"/>
    </row>
    <row r="214" spans="1:32" x14ac:dyDescent="0.3">
      <c r="A214" s="2">
        <f>Data_nieuwveer!A214</f>
        <v>41753</v>
      </c>
      <c r="D214">
        <f>Data_nieuwveer!F214/(Data_nieuwveer!E214-Data_nieuwveer!F214)</f>
        <v>1.4822744678222917</v>
      </c>
      <c r="F214" s="46">
        <f t="shared" si="122"/>
        <v>3</v>
      </c>
      <c r="G214" s="48">
        <f>F214/(MAX(F211:F220)+1)</f>
        <v>0.3</v>
      </c>
      <c r="H214" s="49">
        <f>E211*(1-G214)+E221*G214</f>
        <v>1882</v>
      </c>
      <c r="J214" s="46">
        <f t="shared" si="91"/>
        <v>3</v>
      </c>
      <c r="K214" s="48">
        <f>J214/(MAX(J211:J220)+1)</f>
        <v>0.3</v>
      </c>
      <c r="L214" s="49">
        <f>I211*(1-K214)+I221*K214</f>
        <v>1569.5879999999997</v>
      </c>
      <c r="N214" s="45"/>
      <c r="O214" s="46">
        <f t="shared" si="123"/>
        <v>4</v>
      </c>
      <c r="P214" s="48">
        <f t="shared" si="130"/>
        <v>0.66666666666666663</v>
      </c>
      <c r="Q214" s="49">
        <f t="shared" si="131"/>
        <v>54.333333333333329</v>
      </c>
      <c r="R214" s="45"/>
      <c r="S214" s="46">
        <f t="shared" si="124"/>
        <v>8</v>
      </c>
      <c r="T214" s="48">
        <f t="shared" si="128"/>
        <v>0.5</v>
      </c>
      <c r="U214" s="49">
        <f t="shared" si="129"/>
        <v>7944</v>
      </c>
      <c r="W214" s="47"/>
      <c r="X214" s="90"/>
      <c r="Y214" s="90"/>
      <c r="Z214" s="80">
        <f>$B$1/(Data_nieuwveer!E214+Data_nieuwveer!U214)</f>
        <v>2.816237297763988E-2</v>
      </c>
      <c r="AA214" s="42"/>
      <c r="AB214" s="42"/>
      <c r="AC214" s="42"/>
      <c r="AD214" s="42"/>
      <c r="AF214" s="21"/>
    </row>
    <row r="215" spans="1:32" x14ac:dyDescent="0.3">
      <c r="A215" s="2">
        <f>Data_nieuwveer!A215</f>
        <v>41754</v>
      </c>
      <c r="D215">
        <f>Data_nieuwveer!F215/(Data_nieuwveer!E215-Data_nieuwveer!F215)</f>
        <v>1.4924804242449352</v>
      </c>
      <c r="F215" s="46">
        <f t="shared" si="122"/>
        <v>4</v>
      </c>
      <c r="G215" s="48">
        <f>F215/(MAX(F211:F220)+1)</f>
        <v>0.4</v>
      </c>
      <c r="H215" s="49">
        <f>E211*(1-G215)+E221*G215</f>
        <v>1882</v>
      </c>
      <c r="J215" s="46">
        <f t="shared" si="91"/>
        <v>4</v>
      </c>
      <c r="K215" s="48">
        <f>J215/(MAX(J211:J220)+1)</f>
        <v>0.4</v>
      </c>
      <c r="L215" s="49">
        <f>I211*(1-K215)+I221*K215</f>
        <v>1569.588</v>
      </c>
      <c r="N215" s="45"/>
      <c r="O215" s="46">
        <f t="shared" si="123"/>
        <v>5</v>
      </c>
      <c r="P215" s="48">
        <f t="shared" si="130"/>
        <v>0.83333333333333337</v>
      </c>
      <c r="Q215" s="49">
        <f t="shared" si="131"/>
        <v>59.666666666666671</v>
      </c>
      <c r="R215" s="45"/>
      <c r="S215" s="46">
        <f t="shared" si="124"/>
        <v>9</v>
      </c>
      <c r="T215" s="48">
        <f t="shared" si="128"/>
        <v>0.5625</v>
      </c>
      <c r="U215" s="49">
        <f t="shared" si="129"/>
        <v>7944</v>
      </c>
      <c r="W215" s="47"/>
      <c r="X215" s="90"/>
      <c r="Y215" s="90"/>
      <c r="Z215" s="80">
        <f>$B$1/(Data_nieuwveer!E215+Data_nieuwveer!U215)</f>
        <v>2.8272558775620491E-2</v>
      </c>
      <c r="AA215" s="42"/>
      <c r="AB215" s="42"/>
      <c r="AC215" s="42"/>
      <c r="AD215" s="42"/>
      <c r="AF215" s="21"/>
    </row>
    <row r="216" spans="1:32" x14ac:dyDescent="0.3">
      <c r="A216" s="2">
        <f>Data_nieuwveer!A216</f>
        <v>41755</v>
      </c>
      <c r="C216">
        <f>Data_nieuwveer!P216*'Edited data A'!$B$8</f>
        <v>108.14650660264105</v>
      </c>
      <c r="D216">
        <f>Data_nieuwveer!F216/(Data_nieuwveer!E216-Data_nieuwveer!F216)</f>
        <v>1.5797788309636651</v>
      </c>
      <c r="F216" s="46">
        <f t="shared" si="122"/>
        <v>5</v>
      </c>
      <c r="G216" s="48">
        <f>F216/(MAX(F211:F220)+1)</f>
        <v>0.5</v>
      </c>
      <c r="H216" s="49">
        <f>E211*(1-G216)+E221*G216</f>
        <v>1882</v>
      </c>
      <c r="J216" s="46">
        <f t="shared" si="91"/>
        <v>5</v>
      </c>
      <c r="K216" s="48">
        <f>J216/(MAX(J211:J220)+1)</f>
        <v>0.5</v>
      </c>
      <c r="L216" s="49">
        <f>I211*(1-K216)+I221*K216</f>
        <v>1569.588</v>
      </c>
      <c r="N216" s="45">
        <f>Data_nieuwveer!AV216</f>
        <v>65</v>
      </c>
      <c r="O216" s="46">
        <f t="shared" si="123"/>
        <v>0</v>
      </c>
      <c r="P216" s="48">
        <f>O216/(MAX(O$216:O$221)+1)</f>
        <v>0</v>
      </c>
      <c r="Q216" s="49">
        <f>N$216*(1-P216)+N$222*P216</f>
        <v>65</v>
      </c>
      <c r="R216" s="45"/>
      <c r="S216" s="46">
        <f t="shared" si="124"/>
        <v>10</v>
      </c>
      <c r="T216" s="48">
        <f t="shared" si="128"/>
        <v>0.625</v>
      </c>
      <c r="U216" s="49">
        <f t="shared" si="129"/>
        <v>7944</v>
      </c>
      <c r="V216">
        <f>(Data_nieuwveer!E216*C216)/(L216*$B$1)</f>
        <v>2.314608066450218</v>
      </c>
      <c r="W216" s="47">
        <f>($B$1+$B$3)*H216/(Data_nieuwveer!AL216*'Edited data A'!U216+Data_nieuwveer!AQ216*'Edited data A'!Q216)</f>
        <v>1.5918486634923983</v>
      </c>
      <c r="X216" s="90">
        <f>($B$1*H216)/(Data_nieuwveer!AL216*'Edited data A'!U216+Data_nieuwveer!AQ216*'Edited data A'!N216)</f>
        <v>0.36603838921380949</v>
      </c>
      <c r="Y216" s="90">
        <f t="shared" si="96"/>
        <v>0.18301919460690474</v>
      </c>
      <c r="Z216" s="80">
        <f>$B$1/(Data_nieuwveer!E216+Data_nieuwveer!U216)</f>
        <v>2.8875159896197926E-2</v>
      </c>
      <c r="AA216" s="42">
        <f>Data_nieuwveer!E216*Data_nieuwveer!P216/1000</f>
        <v>31745.52</v>
      </c>
      <c r="AB216" s="42">
        <f>Data_nieuwveer!AQ216*Data_nieuwveer!AR216/1000</f>
        <v>19188.392</v>
      </c>
      <c r="AC216" s="42">
        <f>Data_nieuwveer!AQ216*Data_nieuwveer!AR216/1000/B$5</f>
        <v>6924.1182467585049</v>
      </c>
      <c r="AD216" s="42">
        <f>Data_nieuwveer!AL216*Data_nieuwveer!AR216/B$5/1000</f>
        <v>74.132884746885892</v>
      </c>
      <c r="AE216">
        <f>((H216-H215)*($B$1+B$3)+Data_nieuwveer!AQ216*N216+U216*Data_nieuwveer!AL216)/(AA216*1000-(AC216+AD216)*1000)</f>
        <v>0.72716631259903031</v>
      </c>
      <c r="AF216" s="21">
        <f t="shared" si="99"/>
        <v>0.39555590836124277</v>
      </c>
    </row>
    <row r="217" spans="1:32" x14ac:dyDescent="0.3">
      <c r="A217" s="2">
        <f>Data_nieuwveer!A217</f>
        <v>41756</v>
      </c>
      <c r="D217">
        <f>Data_nieuwveer!F217/(Data_nieuwveer!E217-Data_nieuwveer!F217)</f>
        <v>1.5517241379310345</v>
      </c>
      <c r="F217" s="46">
        <f t="shared" si="122"/>
        <v>6</v>
      </c>
      <c r="G217" s="48">
        <f>F217/(MAX(F211:F220)+1)</f>
        <v>0.6</v>
      </c>
      <c r="H217" s="49">
        <f>E211*(1-G217)+E221*G217</f>
        <v>1882</v>
      </c>
      <c r="J217" s="46">
        <f t="shared" si="91"/>
        <v>6</v>
      </c>
      <c r="K217" s="48">
        <f>J217/(MAX(J211:J220)+1)</f>
        <v>0.6</v>
      </c>
      <c r="L217" s="49">
        <f>I211*(1-K217)+I221*K217</f>
        <v>1569.588</v>
      </c>
      <c r="N217" s="45"/>
      <c r="O217" s="46">
        <f t="shared" si="123"/>
        <v>1</v>
      </c>
      <c r="P217" s="48">
        <f t="shared" ref="P217:P221" si="132">O217/(MAX(O$216:O$221)+1)</f>
        <v>0.16666666666666666</v>
      </c>
      <c r="Q217" s="49">
        <f t="shared" ref="Q217:Q220" si="133">N$216*(1-P217)+N$222*P217</f>
        <v>65</v>
      </c>
      <c r="R217" s="45"/>
      <c r="S217" s="46">
        <f t="shared" si="124"/>
        <v>11</v>
      </c>
      <c r="T217" s="48">
        <f t="shared" si="128"/>
        <v>0.6875</v>
      </c>
      <c r="U217" s="49">
        <f t="shared" si="129"/>
        <v>7944</v>
      </c>
      <c r="W217" s="47"/>
      <c r="X217" s="90"/>
      <c r="Y217" s="90"/>
      <c r="Z217" s="80">
        <f>$B$1/(Data_nieuwveer!E217+Data_nieuwveer!U217)</f>
        <v>2.8709374184858843E-2</v>
      </c>
      <c r="AA217" s="42"/>
      <c r="AB217" s="42"/>
      <c r="AC217" s="42"/>
      <c r="AD217" s="42"/>
      <c r="AF217" s="21"/>
    </row>
    <row r="218" spans="1:32" x14ac:dyDescent="0.3">
      <c r="A218" s="2">
        <f>Data_nieuwveer!A218</f>
        <v>41757</v>
      </c>
      <c r="D218">
        <f>Data_nieuwveer!F218/(Data_nieuwveer!E218-Data_nieuwveer!F218)</f>
        <v>1.5205913410770855</v>
      </c>
      <c r="F218" s="46">
        <f t="shared" si="122"/>
        <v>7</v>
      </c>
      <c r="G218" s="48">
        <f>F218/(MAX(F211:F220)+1)</f>
        <v>0.7</v>
      </c>
      <c r="H218" s="49">
        <f>E211*(1-G218)+E221*G218</f>
        <v>1882</v>
      </c>
      <c r="J218" s="46">
        <f t="shared" si="91"/>
        <v>7</v>
      </c>
      <c r="K218" s="48">
        <f>J218/(MAX(J211:J220)+1)</f>
        <v>0.7</v>
      </c>
      <c r="L218" s="49">
        <f>I211*(1-K218)+I221*K218</f>
        <v>1569.588</v>
      </c>
      <c r="N218" s="45"/>
      <c r="O218" s="46">
        <f t="shared" si="123"/>
        <v>2</v>
      </c>
      <c r="P218" s="48">
        <f t="shared" si="132"/>
        <v>0.33333333333333331</v>
      </c>
      <c r="Q218" s="49">
        <f t="shared" si="133"/>
        <v>65</v>
      </c>
      <c r="R218" s="45"/>
      <c r="S218" s="46">
        <f t="shared" si="124"/>
        <v>12</v>
      </c>
      <c r="T218" s="48">
        <f t="shared" si="128"/>
        <v>0.75</v>
      </c>
      <c r="U218" s="49">
        <f t="shared" si="129"/>
        <v>7944</v>
      </c>
      <c r="W218" s="47"/>
      <c r="X218" s="90"/>
      <c r="Y218" s="90"/>
      <c r="Z218" s="80">
        <f>$B$1/(Data_nieuwveer!E218+Data_nieuwveer!U218)</f>
        <v>2.8462203413675356E-2</v>
      </c>
      <c r="AA218" s="42"/>
      <c r="AB218" s="42"/>
      <c r="AC218" s="42"/>
      <c r="AD218" s="42"/>
      <c r="AF218" s="21"/>
    </row>
    <row r="219" spans="1:32" x14ac:dyDescent="0.3">
      <c r="A219" s="2">
        <f>Data_nieuwveer!A219</f>
        <v>41758</v>
      </c>
      <c r="D219">
        <f>Data_nieuwveer!F219/(Data_nieuwveer!E219-Data_nieuwveer!F219)</f>
        <v>1.3463991552270327</v>
      </c>
      <c r="F219" s="46">
        <f t="shared" si="122"/>
        <v>8</v>
      </c>
      <c r="G219" s="48">
        <f>F219/(MAX(F211:F220)+1)</f>
        <v>0.8</v>
      </c>
      <c r="H219" s="49">
        <f>E211*(1-G219)+E221*G219</f>
        <v>1882</v>
      </c>
      <c r="J219" s="46">
        <f t="shared" si="91"/>
        <v>8</v>
      </c>
      <c r="K219" s="48">
        <f>J219/(MAX(J211:J220)+1)</f>
        <v>0.8</v>
      </c>
      <c r="L219" s="49">
        <f>I211*(1-K219)+I221*K219</f>
        <v>1569.588</v>
      </c>
      <c r="N219" s="45"/>
      <c r="O219" s="46">
        <f t="shared" si="123"/>
        <v>3</v>
      </c>
      <c r="P219" s="48">
        <f t="shared" si="132"/>
        <v>0.5</v>
      </c>
      <c r="Q219" s="49">
        <f t="shared" si="133"/>
        <v>65</v>
      </c>
      <c r="R219" s="45"/>
      <c r="S219" s="46">
        <f t="shared" si="124"/>
        <v>13</v>
      </c>
      <c r="T219" s="48">
        <f t="shared" si="128"/>
        <v>0.8125</v>
      </c>
      <c r="U219" s="49">
        <f t="shared" si="129"/>
        <v>7944</v>
      </c>
      <c r="W219" s="47"/>
      <c r="X219" s="90"/>
      <c r="Y219" s="90"/>
      <c r="Z219" s="80">
        <f>$B$1/(Data_nieuwveer!E219+Data_nieuwveer!U219)</f>
        <v>3.0556810567418147E-2</v>
      </c>
      <c r="AA219" s="42"/>
      <c r="AB219" s="42"/>
      <c r="AC219" s="42"/>
      <c r="AD219" s="42"/>
      <c r="AF219" s="21"/>
    </row>
    <row r="220" spans="1:32" x14ac:dyDescent="0.3">
      <c r="A220" s="2">
        <f>Data_nieuwveer!A220</f>
        <v>41759</v>
      </c>
      <c r="D220">
        <f>Data_nieuwveer!F220/(Data_nieuwveer!E220-Data_nieuwveer!F220)</f>
        <v>0.9253499222395023</v>
      </c>
      <c r="F220" s="46">
        <f t="shared" si="122"/>
        <v>9</v>
      </c>
      <c r="G220" s="48">
        <f>F220/(MAX(F211:F220)+1)</f>
        <v>0.9</v>
      </c>
      <c r="H220" s="49">
        <f>E211*(1-G220)+E221*G220</f>
        <v>1882</v>
      </c>
      <c r="J220" s="46">
        <f t="shared" si="91"/>
        <v>9</v>
      </c>
      <c r="K220" s="48">
        <f>J220/(MAX(J211:J220)+1)</f>
        <v>0.9</v>
      </c>
      <c r="L220" s="49">
        <f>I211*(1-K220)+I221*K220</f>
        <v>1569.588</v>
      </c>
      <c r="N220" s="45"/>
      <c r="O220" s="46">
        <f t="shared" si="123"/>
        <v>4</v>
      </c>
      <c r="P220" s="48">
        <f t="shared" si="132"/>
        <v>0.66666666666666663</v>
      </c>
      <c r="Q220" s="49">
        <f t="shared" si="133"/>
        <v>65</v>
      </c>
      <c r="R220" s="45"/>
      <c r="S220" s="46">
        <f t="shared" si="124"/>
        <v>14</v>
      </c>
      <c r="T220" s="48">
        <f t="shared" si="128"/>
        <v>0.875</v>
      </c>
      <c r="U220" s="49">
        <f>R$206*(1-T220)+R$222*T220</f>
        <v>7944</v>
      </c>
      <c r="W220" s="47"/>
      <c r="X220" s="90"/>
      <c r="Y220" s="90"/>
      <c r="Z220" s="80">
        <f>$B$1/(Data_nieuwveer!E220+Data_nieuwveer!U220)</f>
        <v>2.7520147696701237E-2</v>
      </c>
      <c r="AA220" s="42"/>
      <c r="AB220" s="42"/>
      <c r="AC220" s="42"/>
      <c r="AD220" s="42"/>
      <c r="AF220" s="21"/>
    </row>
    <row r="221" spans="1:32" x14ac:dyDescent="0.3">
      <c r="A221" s="2">
        <f>Data_nieuwveer!A221</f>
        <v>41760</v>
      </c>
      <c r="E221" s="86">
        <v>1882</v>
      </c>
      <c r="H221" s="49"/>
      <c r="I221" s="58">
        <v>1569.588</v>
      </c>
      <c r="N221" s="45"/>
      <c r="O221" s="46">
        <f t="shared" si="123"/>
        <v>5</v>
      </c>
      <c r="P221" s="48">
        <f t="shared" si="132"/>
        <v>0.83333333333333337</v>
      </c>
      <c r="Q221" s="49"/>
      <c r="R221" s="45"/>
      <c r="S221" s="46">
        <f t="shared" si="124"/>
        <v>15</v>
      </c>
      <c r="T221" s="48">
        <f t="shared" si="128"/>
        <v>0.9375</v>
      </c>
      <c r="U221" s="49"/>
      <c r="W221" s="47"/>
      <c r="X221" s="90"/>
      <c r="Y221" s="90"/>
      <c r="AA221" s="42"/>
      <c r="AB221" s="42"/>
      <c r="AC221" s="42"/>
      <c r="AD221" s="42"/>
      <c r="AF221" s="21"/>
    </row>
    <row r="222" spans="1:32" x14ac:dyDescent="0.3">
      <c r="A222" s="2">
        <f>Data_nieuwveer!A222</f>
        <v>41761</v>
      </c>
      <c r="N222" s="59">
        <v>65</v>
      </c>
      <c r="R222" s="60">
        <v>7944</v>
      </c>
      <c r="S222" s="46"/>
      <c r="T222" s="48"/>
      <c r="U222" s="49"/>
      <c r="W222" s="47"/>
      <c r="X222" s="90"/>
      <c r="Y222" s="90"/>
      <c r="AA222" s="42"/>
      <c r="AB222" s="42"/>
      <c r="AC222" s="42"/>
      <c r="AD222" s="42"/>
      <c r="AF222" s="21"/>
    </row>
    <row r="223" spans="1:32" x14ac:dyDescent="0.3">
      <c r="A223" s="2">
        <f>Data_nieuwveer!A223</f>
        <v>41762</v>
      </c>
    </row>
    <row r="224" spans="1:32" x14ac:dyDescent="0.3">
      <c r="A224" s="2">
        <f>Data_nieuwveer!A224</f>
        <v>41763</v>
      </c>
    </row>
    <row r="225" spans="1:1" x14ac:dyDescent="0.3">
      <c r="A225" s="2">
        <f>Data_nieuwveer!A225</f>
        <v>41764</v>
      </c>
    </row>
    <row r="226" spans="1:1" x14ac:dyDescent="0.3">
      <c r="A226" s="2">
        <f>Data_nieuwveer!A226</f>
        <v>41765</v>
      </c>
    </row>
    <row r="227" spans="1:1" x14ac:dyDescent="0.3">
      <c r="A227" s="2">
        <f>Data_nieuwveer!A227</f>
        <v>41766</v>
      </c>
    </row>
    <row r="228" spans="1:1" x14ac:dyDescent="0.3">
      <c r="A228" s="2">
        <f>Data_nieuwveer!A228</f>
        <v>41767</v>
      </c>
    </row>
    <row r="229" spans="1:1" x14ac:dyDescent="0.3">
      <c r="A229" s="2">
        <f>Data_nieuwveer!A229</f>
        <v>41768</v>
      </c>
    </row>
    <row r="230" spans="1:1" x14ac:dyDescent="0.3">
      <c r="A230" s="2">
        <f>Data_nieuwveer!A230</f>
        <v>41769</v>
      </c>
    </row>
    <row r="231" spans="1:1" x14ac:dyDescent="0.3">
      <c r="A231" s="2">
        <f>Data_nieuwveer!A231</f>
        <v>41770</v>
      </c>
    </row>
    <row r="232" spans="1:1" x14ac:dyDescent="0.3">
      <c r="A232" s="2">
        <f>Data_nieuwveer!A232</f>
        <v>41771</v>
      </c>
    </row>
    <row r="233" spans="1:1" x14ac:dyDescent="0.3">
      <c r="A233" s="2">
        <f>Data_nieuwveer!A233</f>
        <v>41772</v>
      </c>
    </row>
    <row r="234" spans="1:1" x14ac:dyDescent="0.3">
      <c r="A234" s="2">
        <f>Data_nieuwveer!A234</f>
        <v>41773</v>
      </c>
    </row>
    <row r="235" spans="1:1" x14ac:dyDescent="0.3">
      <c r="A235" s="2">
        <f>Data_nieuwveer!A235</f>
        <v>41774</v>
      </c>
    </row>
    <row r="236" spans="1:1" x14ac:dyDescent="0.3">
      <c r="A236" s="2">
        <f>Data_nieuwveer!A236</f>
        <v>41775</v>
      </c>
    </row>
    <row r="237" spans="1:1" x14ac:dyDescent="0.3">
      <c r="A237" s="2">
        <f>Data_nieuwveer!A237</f>
        <v>41776</v>
      </c>
    </row>
    <row r="238" spans="1:1" x14ac:dyDescent="0.3">
      <c r="A238" s="2">
        <f>Data_nieuwveer!A238</f>
        <v>41777</v>
      </c>
    </row>
    <row r="239" spans="1:1" x14ac:dyDescent="0.3">
      <c r="A239" s="2">
        <f>Data_nieuwveer!A239</f>
        <v>41778</v>
      </c>
    </row>
    <row r="240" spans="1:1" x14ac:dyDescent="0.3">
      <c r="A240" s="2">
        <f>Data_nieuwveer!A240</f>
        <v>41779</v>
      </c>
    </row>
    <row r="241" spans="1:1" x14ac:dyDescent="0.3">
      <c r="A241" s="2">
        <f>Data_nieuwveer!A241</f>
        <v>41780</v>
      </c>
    </row>
    <row r="242" spans="1:1" x14ac:dyDescent="0.3">
      <c r="A242" s="2">
        <f>Data_nieuwveer!A242</f>
        <v>41781</v>
      </c>
    </row>
    <row r="243" spans="1:1" x14ac:dyDescent="0.3">
      <c r="A243" s="2">
        <f>Data_nieuwveer!A243</f>
        <v>41782</v>
      </c>
    </row>
    <row r="244" spans="1:1" x14ac:dyDescent="0.3">
      <c r="A244" s="2">
        <f>Data_nieuwveer!A244</f>
        <v>41783</v>
      </c>
    </row>
    <row r="245" spans="1:1" x14ac:dyDescent="0.3">
      <c r="A245" s="2">
        <f>Data_nieuwveer!A245</f>
        <v>41784</v>
      </c>
    </row>
    <row r="246" spans="1:1" x14ac:dyDescent="0.3">
      <c r="A246" s="2">
        <f>Data_nieuwveer!A246</f>
        <v>41785</v>
      </c>
    </row>
    <row r="247" spans="1:1" x14ac:dyDescent="0.3">
      <c r="A247" s="2">
        <f>Data_nieuwveer!A247</f>
        <v>41786</v>
      </c>
    </row>
    <row r="248" spans="1:1" x14ac:dyDescent="0.3">
      <c r="A248" s="2">
        <f>Data_nieuwveer!A248</f>
        <v>41787</v>
      </c>
    </row>
    <row r="249" spans="1:1" x14ac:dyDescent="0.3">
      <c r="A249" s="2">
        <f>Data_nieuwveer!A249</f>
        <v>41788</v>
      </c>
    </row>
    <row r="250" spans="1:1" x14ac:dyDescent="0.3">
      <c r="A250" s="2">
        <f>Data_nieuwveer!A250</f>
        <v>41789</v>
      </c>
    </row>
    <row r="251" spans="1:1" x14ac:dyDescent="0.3">
      <c r="A251" s="2">
        <f>Data_nieuwveer!A251</f>
        <v>41790</v>
      </c>
    </row>
    <row r="252" spans="1:1" x14ac:dyDescent="0.3">
      <c r="A252" s="2">
        <f>Data_nieuwveer!A252</f>
        <v>41791</v>
      </c>
    </row>
    <row r="253" spans="1:1" x14ac:dyDescent="0.3">
      <c r="A253" s="2">
        <f>Data_nieuwveer!A253</f>
        <v>41792</v>
      </c>
    </row>
    <row r="254" spans="1:1" x14ac:dyDescent="0.3">
      <c r="A254" s="2">
        <f>Data_nieuwveer!A254</f>
        <v>41793</v>
      </c>
    </row>
    <row r="255" spans="1:1" x14ac:dyDescent="0.3">
      <c r="A255" s="2">
        <f>Data_nieuwveer!A255</f>
        <v>41794</v>
      </c>
    </row>
    <row r="256" spans="1:1" x14ac:dyDescent="0.3">
      <c r="A256" s="2">
        <f>Data_nieuwveer!A256</f>
        <v>41795</v>
      </c>
    </row>
    <row r="257" spans="1:32" x14ac:dyDescent="0.3">
      <c r="A257" s="2">
        <f>Data_nieuwveer!A257</f>
        <v>41796</v>
      </c>
    </row>
    <row r="258" spans="1:32" x14ac:dyDescent="0.3">
      <c r="A258" s="2">
        <f>Data_nieuwveer!A258</f>
        <v>41797</v>
      </c>
    </row>
    <row r="259" spans="1:32" x14ac:dyDescent="0.3">
      <c r="A259" s="2">
        <f>Data_nieuwveer!A259</f>
        <v>41798</v>
      </c>
    </row>
    <row r="260" spans="1:32" x14ac:dyDescent="0.3">
      <c r="A260" s="2">
        <f>Data_nieuwveer!A260</f>
        <v>41799</v>
      </c>
    </row>
    <row r="261" spans="1:32" x14ac:dyDescent="0.3">
      <c r="A261" s="2">
        <f>Data_nieuwveer!A261</f>
        <v>41800</v>
      </c>
    </row>
    <row r="262" spans="1:32" x14ac:dyDescent="0.3">
      <c r="A262" s="2">
        <f>Data_nieuwveer!A262</f>
        <v>41801</v>
      </c>
    </row>
    <row r="263" spans="1:32" x14ac:dyDescent="0.3">
      <c r="A263" s="2">
        <f>Data_nieuwveer!A263</f>
        <v>41802</v>
      </c>
    </row>
    <row r="264" spans="1:32" x14ac:dyDescent="0.3">
      <c r="A264" s="2">
        <f>Data_nieuwveer!A264</f>
        <v>41803</v>
      </c>
    </row>
    <row r="265" spans="1:32" x14ac:dyDescent="0.3">
      <c r="A265" s="2">
        <f>Data_nieuwveer!A265</f>
        <v>41804</v>
      </c>
    </row>
    <row r="266" spans="1:32" x14ac:dyDescent="0.3">
      <c r="A266" s="2">
        <f>Data_nieuwveer!A266</f>
        <v>41805</v>
      </c>
    </row>
    <row r="267" spans="1:32" x14ac:dyDescent="0.3">
      <c r="A267" s="2">
        <f>Data_nieuwveer!A267</f>
        <v>41806</v>
      </c>
    </row>
    <row r="268" spans="1:32" x14ac:dyDescent="0.3">
      <c r="A268" s="2">
        <f>Data_nieuwveer!A268</f>
        <v>41807</v>
      </c>
    </row>
    <row r="269" spans="1:32" x14ac:dyDescent="0.3">
      <c r="A269" s="62">
        <f>Data_nieuwveer!A269</f>
        <v>41808</v>
      </c>
      <c r="B269" s="63"/>
      <c r="C269" s="63"/>
      <c r="D269" s="63"/>
      <c r="F269" s="67"/>
      <c r="G269" s="67"/>
      <c r="H269" s="67"/>
      <c r="I269" s="64"/>
      <c r="J269" s="67"/>
      <c r="K269" s="67"/>
      <c r="L269" s="67"/>
      <c r="M269" s="64"/>
      <c r="N269" s="67"/>
      <c r="O269" s="67"/>
      <c r="P269" s="67"/>
      <c r="Q269" s="67"/>
      <c r="R269" s="67"/>
      <c r="S269" s="67"/>
      <c r="T269" s="67"/>
      <c r="U269" s="67"/>
      <c r="V269" s="63"/>
      <c r="W269" s="63"/>
      <c r="AA269" s="63"/>
      <c r="AB269" s="63"/>
      <c r="AC269" s="63"/>
      <c r="AD269" s="63"/>
      <c r="AE269" s="63"/>
      <c r="AF269" s="63"/>
    </row>
    <row r="270" spans="1:32" x14ac:dyDescent="0.3">
      <c r="A270" s="2">
        <f>Data_nieuwveer!A270</f>
        <v>41809</v>
      </c>
    </row>
    <row r="271" spans="1:32" x14ac:dyDescent="0.3">
      <c r="A271" s="2">
        <f>Data_nieuwveer!A271</f>
        <v>41810</v>
      </c>
    </row>
    <row r="272" spans="1:32" x14ac:dyDescent="0.3">
      <c r="A272" s="2">
        <f>Data_nieuwveer!A272</f>
        <v>41811</v>
      </c>
    </row>
    <row r="273" spans="1:1" x14ac:dyDescent="0.3">
      <c r="A273" s="2">
        <f>Data_nieuwveer!A273</f>
        <v>41812</v>
      </c>
    </row>
    <row r="274" spans="1:1" x14ac:dyDescent="0.3">
      <c r="A274" s="2">
        <f>Data_nieuwveer!A274</f>
        <v>41813</v>
      </c>
    </row>
    <row r="275" spans="1:1" x14ac:dyDescent="0.3">
      <c r="A275" s="2">
        <f>Data_nieuwveer!A275</f>
        <v>41814</v>
      </c>
    </row>
    <row r="276" spans="1:1" x14ac:dyDescent="0.3">
      <c r="A276" s="2">
        <f>Data_nieuwveer!A276</f>
        <v>41815</v>
      </c>
    </row>
    <row r="277" spans="1:1" x14ac:dyDescent="0.3">
      <c r="A277" s="2">
        <f>Data_nieuwveer!A277</f>
        <v>41816</v>
      </c>
    </row>
    <row r="278" spans="1:1" x14ac:dyDescent="0.3">
      <c r="A278" s="2">
        <f>Data_nieuwveer!A278</f>
        <v>41817</v>
      </c>
    </row>
    <row r="279" spans="1:1" x14ac:dyDescent="0.3">
      <c r="A279" s="2">
        <f>Data_nieuwveer!A279</f>
        <v>41818</v>
      </c>
    </row>
    <row r="280" spans="1:1" x14ac:dyDescent="0.3">
      <c r="A280" s="2">
        <f>Data_nieuwveer!A280</f>
        <v>41819</v>
      </c>
    </row>
    <row r="281" spans="1:1" x14ac:dyDescent="0.3">
      <c r="A281" s="2">
        <f>Data_nieuwveer!A281</f>
        <v>41820</v>
      </c>
    </row>
    <row r="282" spans="1:1" x14ac:dyDescent="0.3">
      <c r="A282" s="2">
        <f>Data_nieuwveer!A282</f>
        <v>41821</v>
      </c>
    </row>
    <row r="283" spans="1:1" x14ac:dyDescent="0.3">
      <c r="A283" s="2">
        <f>Data_nieuwveer!A283</f>
        <v>41822</v>
      </c>
    </row>
    <row r="284" spans="1:1" x14ac:dyDescent="0.3">
      <c r="A284" s="2">
        <f>Data_nieuwveer!A284</f>
        <v>41823</v>
      </c>
    </row>
    <row r="285" spans="1:1" x14ac:dyDescent="0.3">
      <c r="A285" s="2">
        <f>Data_nieuwveer!A285</f>
        <v>41824</v>
      </c>
    </row>
    <row r="286" spans="1:1" x14ac:dyDescent="0.3">
      <c r="A286" s="2">
        <f>Data_nieuwveer!A286</f>
        <v>41825</v>
      </c>
    </row>
    <row r="287" spans="1:1" x14ac:dyDescent="0.3">
      <c r="A287" s="2">
        <f>Data_nieuwveer!A287</f>
        <v>41826</v>
      </c>
    </row>
    <row r="288" spans="1:1" x14ac:dyDescent="0.3">
      <c r="A288" s="2">
        <f>Data_nieuwveer!A288</f>
        <v>41827</v>
      </c>
    </row>
    <row r="289" spans="1:1" x14ac:dyDescent="0.3">
      <c r="A289" s="2">
        <f>Data_nieuwveer!A289</f>
        <v>41828</v>
      </c>
    </row>
    <row r="290" spans="1:1" x14ac:dyDescent="0.3">
      <c r="A290" s="2">
        <f>Data_nieuwveer!A290</f>
        <v>41829</v>
      </c>
    </row>
    <row r="291" spans="1:1" x14ac:dyDescent="0.3">
      <c r="A291" s="2">
        <f>Data_nieuwveer!A291</f>
        <v>41830</v>
      </c>
    </row>
    <row r="292" spans="1:1" x14ac:dyDescent="0.3">
      <c r="A292" s="2">
        <f>Data_nieuwveer!A292</f>
        <v>41831</v>
      </c>
    </row>
    <row r="293" spans="1:1" x14ac:dyDescent="0.3">
      <c r="A293" s="2">
        <f>Data_nieuwveer!A293</f>
        <v>41832</v>
      </c>
    </row>
    <row r="294" spans="1:1" x14ac:dyDescent="0.3">
      <c r="A294" s="2">
        <f>Data_nieuwveer!A294</f>
        <v>41833</v>
      </c>
    </row>
    <row r="295" spans="1:1" x14ac:dyDescent="0.3">
      <c r="A295" s="2">
        <f>Data_nieuwveer!A295</f>
        <v>41834</v>
      </c>
    </row>
    <row r="296" spans="1:1" x14ac:dyDescent="0.3">
      <c r="A296" s="2">
        <f>Data_nieuwveer!A296</f>
        <v>41835</v>
      </c>
    </row>
    <row r="297" spans="1:1" x14ac:dyDescent="0.3">
      <c r="A297" s="2">
        <f>Data_nieuwveer!A297</f>
        <v>41836</v>
      </c>
    </row>
    <row r="298" spans="1:1" x14ac:dyDescent="0.3">
      <c r="A298" s="2">
        <f>Data_nieuwveer!A298</f>
        <v>41837</v>
      </c>
    </row>
    <row r="299" spans="1:1" x14ac:dyDescent="0.3">
      <c r="A299" s="2">
        <f>Data_nieuwveer!A299</f>
        <v>41838</v>
      </c>
    </row>
    <row r="300" spans="1:1" x14ac:dyDescent="0.3">
      <c r="A300" s="2">
        <f>Data_nieuwveer!A300</f>
        <v>41839</v>
      </c>
    </row>
    <row r="301" spans="1:1" x14ac:dyDescent="0.3">
      <c r="A301" s="2">
        <f>Data_nieuwveer!A301</f>
        <v>41840</v>
      </c>
    </row>
    <row r="302" spans="1:1" x14ac:dyDescent="0.3">
      <c r="A302" s="2"/>
    </row>
    <row r="303" spans="1:1" x14ac:dyDescent="0.3">
      <c r="A303" s="2"/>
    </row>
    <row r="304" spans="1:1" x14ac:dyDescent="0.3">
      <c r="A304" s="2"/>
    </row>
    <row r="305" spans="1:1" x14ac:dyDescent="0.3">
      <c r="A305" s="2"/>
    </row>
    <row r="306" spans="1:1" x14ac:dyDescent="0.3">
      <c r="A306" s="2"/>
    </row>
    <row r="307" spans="1:1" x14ac:dyDescent="0.3">
      <c r="A307" s="2"/>
    </row>
    <row r="308" spans="1:1" x14ac:dyDescent="0.3">
      <c r="A308" s="2"/>
    </row>
    <row r="309" spans="1:1" x14ac:dyDescent="0.3">
      <c r="A309" s="2"/>
    </row>
    <row r="310" spans="1:1" x14ac:dyDescent="0.3">
      <c r="A310" s="2"/>
    </row>
    <row r="311" spans="1:1" x14ac:dyDescent="0.3">
      <c r="A311" s="2"/>
    </row>
    <row r="312" spans="1:1" x14ac:dyDescent="0.3">
      <c r="A312" s="2"/>
    </row>
    <row r="313" spans="1:1" x14ac:dyDescent="0.3">
      <c r="A313" s="2"/>
    </row>
    <row r="314" spans="1:1" x14ac:dyDescent="0.3">
      <c r="A314" s="2"/>
    </row>
    <row r="315" spans="1:1" x14ac:dyDescent="0.3">
      <c r="A315" s="2"/>
    </row>
    <row r="316" spans="1:1" x14ac:dyDescent="0.3">
      <c r="A316" s="2"/>
    </row>
    <row r="317" spans="1:1" x14ac:dyDescent="0.3">
      <c r="A317" s="2"/>
    </row>
    <row r="318" spans="1:1" x14ac:dyDescent="0.3">
      <c r="A318" s="2"/>
    </row>
    <row r="319" spans="1:1" x14ac:dyDescent="0.3">
      <c r="A319" s="2"/>
    </row>
    <row r="320" spans="1:1" x14ac:dyDescent="0.3">
      <c r="A320" s="2"/>
    </row>
    <row r="321" spans="1:1" x14ac:dyDescent="0.3">
      <c r="A321" s="2"/>
    </row>
    <row r="322" spans="1:1" x14ac:dyDescent="0.3">
      <c r="A322" s="2"/>
    </row>
    <row r="323" spans="1:1" x14ac:dyDescent="0.3">
      <c r="A323" s="2"/>
    </row>
    <row r="324" spans="1:1" x14ac:dyDescent="0.3">
      <c r="A324" s="2"/>
    </row>
    <row r="325" spans="1:1" x14ac:dyDescent="0.3">
      <c r="A325" s="2"/>
    </row>
    <row r="326" spans="1:1" x14ac:dyDescent="0.3">
      <c r="A326" s="2"/>
    </row>
    <row r="327" spans="1:1" x14ac:dyDescent="0.3">
      <c r="A327" s="2"/>
    </row>
    <row r="328" spans="1:1" x14ac:dyDescent="0.3">
      <c r="A328" s="2"/>
    </row>
    <row r="329" spans="1:1" x14ac:dyDescent="0.3">
      <c r="A329" s="2"/>
    </row>
    <row r="330" spans="1:1" x14ac:dyDescent="0.3">
      <c r="A330" s="2"/>
    </row>
    <row r="331" spans="1:1" x14ac:dyDescent="0.3">
      <c r="A331" s="2"/>
    </row>
    <row r="332" spans="1:1" x14ac:dyDescent="0.3">
      <c r="A332" s="2"/>
    </row>
    <row r="333" spans="1:1" x14ac:dyDescent="0.3">
      <c r="A333" s="2"/>
    </row>
    <row r="334" spans="1:1" x14ac:dyDescent="0.3">
      <c r="A334" s="2"/>
    </row>
    <row r="335" spans="1:1" x14ac:dyDescent="0.3">
      <c r="A335" s="2"/>
    </row>
    <row r="336" spans="1:1" x14ac:dyDescent="0.3">
      <c r="A336" s="2"/>
    </row>
    <row r="337" spans="1:1" x14ac:dyDescent="0.3">
      <c r="A337" s="2"/>
    </row>
    <row r="338" spans="1:1" x14ac:dyDescent="0.3">
      <c r="A338" s="2"/>
    </row>
    <row r="339" spans="1:1" x14ac:dyDescent="0.3">
      <c r="A339" s="2"/>
    </row>
    <row r="340" spans="1:1" x14ac:dyDescent="0.3">
      <c r="A340" s="2"/>
    </row>
    <row r="341" spans="1:1" x14ac:dyDescent="0.3">
      <c r="A341" s="2"/>
    </row>
    <row r="342" spans="1:1" x14ac:dyDescent="0.3">
      <c r="A342" s="2"/>
    </row>
    <row r="343" spans="1:1" x14ac:dyDescent="0.3">
      <c r="A343" s="2"/>
    </row>
    <row r="344" spans="1:1" x14ac:dyDescent="0.3">
      <c r="A344" s="2"/>
    </row>
    <row r="345" spans="1:1" x14ac:dyDescent="0.3">
      <c r="A345" s="2"/>
    </row>
    <row r="346" spans="1:1" x14ac:dyDescent="0.3">
      <c r="A346" s="2"/>
    </row>
    <row r="347" spans="1:1" x14ac:dyDescent="0.3">
      <c r="A347" s="2"/>
    </row>
    <row r="348" spans="1:1" x14ac:dyDescent="0.3">
      <c r="A348" s="2"/>
    </row>
    <row r="349" spans="1:1" x14ac:dyDescent="0.3">
      <c r="A349" s="2"/>
    </row>
    <row r="350" spans="1:1" x14ac:dyDescent="0.3">
      <c r="A350" s="2"/>
    </row>
    <row r="351" spans="1:1" x14ac:dyDescent="0.3">
      <c r="A351" s="2"/>
    </row>
    <row r="352" spans="1:1" x14ac:dyDescent="0.3">
      <c r="A352" s="2"/>
    </row>
    <row r="353" spans="1:1" x14ac:dyDescent="0.3">
      <c r="A353" s="2"/>
    </row>
    <row r="354" spans="1:1" x14ac:dyDescent="0.3">
      <c r="A354" s="2"/>
    </row>
    <row r="355" spans="1:1" x14ac:dyDescent="0.3">
      <c r="A355" s="2"/>
    </row>
    <row r="356" spans="1:1" x14ac:dyDescent="0.3">
      <c r="A356" s="2"/>
    </row>
    <row r="357" spans="1:1" x14ac:dyDescent="0.3">
      <c r="A357" s="2"/>
    </row>
    <row r="358" spans="1:1" x14ac:dyDescent="0.3">
      <c r="A358" s="2"/>
    </row>
    <row r="359" spans="1:1" x14ac:dyDescent="0.3">
      <c r="A359" s="2"/>
    </row>
    <row r="360" spans="1:1" x14ac:dyDescent="0.3">
      <c r="A360" s="2"/>
    </row>
    <row r="361" spans="1:1" x14ac:dyDescent="0.3">
      <c r="A361" s="2"/>
    </row>
    <row r="362" spans="1:1" x14ac:dyDescent="0.3">
      <c r="A362" s="2"/>
    </row>
    <row r="363" spans="1:1" x14ac:dyDescent="0.3">
      <c r="A363" s="2"/>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64"/>
  <sheetViews>
    <sheetView zoomScale="80" zoomScaleNormal="80" workbookViewId="0">
      <pane xSplit="1" ySplit="8" topLeftCell="B9" activePane="bottomRight" state="frozen"/>
      <selection pane="topRight" activeCell="B1" sqref="B1"/>
      <selection pane="bottomLeft" activeCell="A9" sqref="A9"/>
      <selection pane="bottomRight" activeCell="D1" sqref="D1"/>
    </sheetView>
  </sheetViews>
  <sheetFormatPr baseColWidth="10" defaultColWidth="8.88671875" defaultRowHeight="14.4" x14ac:dyDescent="0.3"/>
  <cols>
    <col min="1" max="1" width="12" bestFit="1" customWidth="1"/>
    <col min="2" max="2" width="12" customWidth="1"/>
    <col min="3" max="3" width="10" customWidth="1"/>
    <col min="4" max="5" width="13.5546875" bestFit="1" customWidth="1"/>
    <col min="6" max="7" width="9.33203125" bestFit="1" customWidth="1"/>
    <col min="8" max="8" width="12.109375" bestFit="1" customWidth="1"/>
    <col min="9" max="11" width="9.33203125" bestFit="1" customWidth="1"/>
    <col min="12" max="12" width="10.5546875" customWidth="1"/>
    <col min="13" max="14" width="9.33203125" bestFit="1" customWidth="1"/>
    <col min="15" max="15" width="17.6640625" bestFit="1" customWidth="1"/>
    <col min="16" max="16" width="14.88671875" bestFit="1" customWidth="1"/>
    <col min="17" max="17" width="8.5546875" customWidth="1"/>
    <col min="19" max="19" width="10.33203125" bestFit="1" customWidth="1"/>
    <col min="20" max="24" width="9.33203125" bestFit="1" customWidth="1"/>
    <col min="25" max="26" width="13.109375" bestFit="1" customWidth="1"/>
    <col min="27" max="27" width="13" customWidth="1"/>
    <col min="28" max="28" width="10.88671875" bestFit="1" customWidth="1"/>
    <col min="29" max="29" width="12.44140625" style="23" bestFit="1" customWidth="1"/>
    <col min="30" max="30" width="14.88671875" bestFit="1" customWidth="1"/>
    <col min="40" max="40" width="10.109375" bestFit="1" customWidth="1"/>
  </cols>
  <sheetData>
    <row r="1" spans="1:32" x14ac:dyDescent="0.3">
      <c r="D1" t="s">
        <v>200</v>
      </c>
      <c r="G1" t="s">
        <v>199</v>
      </c>
      <c r="J1" t="s">
        <v>176</v>
      </c>
      <c r="M1" t="s">
        <v>177</v>
      </c>
      <c r="P1" t="s">
        <v>179</v>
      </c>
    </row>
    <row r="2" spans="1:32" ht="16.5" customHeight="1" x14ac:dyDescent="0.3">
      <c r="D2">
        <v>16299</v>
      </c>
      <c r="E2" s="7" t="s">
        <v>196</v>
      </c>
      <c r="F2" t="s">
        <v>119</v>
      </c>
      <c r="G2" t="s">
        <v>180</v>
      </c>
      <c r="H2">
        <v>18144</v>
      </c>
      <c r="I2" t="s">
        <v>119</v>
      </c>
      <c r="J2">
        <f>0.6</f>
        <v>0.6</v>
      </c>
      <c r="M2" t="s">
        <v>178</v>
      </c>
      <c r="N2">
        <v>0.56000000000000005</v>
      </c>
      <c r="P2">
        <v>1.1736973675747053</v>
      </c>
      <c r="Q2" t="s">
        <v>182</v>
      </c>
    </row>
    <row r="3" spans="1:32" ht="16.5" customHeight="1" x14ac:dyDescent="0.3">
      <c r="D3">
        <v>11972</v>
      </c>
      <c r="E3" s="7" t="s">
        <v>197</v>
      </c>
      <c r="G3" t="s">
        <v>183</v>
      </c>
      <c r="H3">
        <v>12986</v>
      </c>
      <c r="M3" t="s">
        <v>181</v>
      </c>
      <c r="N3">
        <v>0.44</v>
      </c>
      <c r="P3" t="s">
        <v>201</v>
      </c>
    </row>
    <row r="4" spans="1:32" ht="16.5" customHeight="1" x14ac:dyDescent="0.3">
      <c r="D4" s="1">
        <f>SUM(D2:D3)</f>
        <v>28271</v>
      </c>
      <c r="E4" s="7" t="s">
        <v>198</v>
      </c>
      <c r="G4" t="s">
        <v>124</v>
      </c>
      <c r="H4" s="1">
        <f>SUM(H2:H3)</f>
        <v>31130</v>
      </c>
      <c r="M4" t="s">
        <v>202</v>
      </c>
    </row>
    <row r="5" spans="1:32" ht="16.5" customHeight="1" x14ac:dyDescent="0.3">
      <c r="D5" s="22" t="s">
        <v>184</v>
      </c>
    </row>
    <row r="6" spans="1:32" ht="16.5" customHeight="1" x14ac:dyDescent="0.3">
      <c r="B6" t="s">
        <v>213</v>
      </c>
      <c r="C6" t="s">
        <v>214</v>
      </c>
      <c r="D6" t="s">
        <v>203</v>
      </c>
      <c r="E6" t="s">
        <v>204</v>
      </c>
      <c r="F6" t="s">
        <v>185</v>
      </c>
      <c r="G6" t="s">
        <v>210</v>
      </c>
      <c r="H6" t="s">
        <v>211</v>
      </c>
      <c r="I6" t="s">
        <v>186</v>
      </c>
      <c r="J6" t="s">
        <v>205</v>
      </c>
      <c r="K6" t="s">
        <v>206</v>
      </c>
      <c r="L6" t="s">
        <v>207</v>
      </c>
      <c r="M6" t="s">
        <v>208</v>
      </c>
      <c r="N6" t="s">
        <v>209</v>
      </c>
      <c r="O6" t="s">
        <v>187</v>
      </c>
      <c r="P6" s="51" t="s">
        <v>188</v>
      </c>
      <c r="Q6" s="25" t="s">
        <v>190</v>
      </c>
      <c r="R6" s="23" t="s">
        <v>215</v>
      </c>
      <c r="S6" s="25" t="s">
        <v>216</v>
      </c>
      <c r="T6" s="25" t="s">
        <v>217</v>
      </c>
      <c r="U6" s="25" t="s">
        <v>218</v>
      </c>
      <c r="V6" s="25" t="s">
        <v>219</v>
      </c>
      <c r="W6" s="25" t="s">
        <v>220</v>
      </c>
      <c r="X6" s="25" t="s">
        <v>191</v>
      </c>
      <c r="Y6" s="25" t="s">
        <v>192</v>
      </c>
      <c r="Z6" s="25" t="s">
        <v>193</v>
      </c>
      <c r="AA6" s="51" t="s">
        <v>221</v>
      </c>
      <c r="AB6" s="25" t="s">
        <v>227</v>
      </c>
      <c r="AC6" s="51" t="s">
        <v>228</v>
      </c>
      <c r="AD6" s="25" t="s">
        <v>233</v>
      </c>
      <c r="AE6" s="25" t="s">
        <v>234</v>
      </c>
      <c r="AF6" s="25" t="s">
        <v>229</v>
      </c>
    </row>
    <row r="7" spans="1:32" ht="16.5" customHeight="1" x14ac:dyDescent="0.3">
      <c r="A7" t="s">
        <v>110</v>
      </c>
      <c r="C7" t="s">
        <v>15</v>
      </c>
      <c r="D7" t="s">
        <v>33</v>
      </c>
      <c r="E7" t="s">
        <v>33</v>
      </c>
      <c r="F7" t="s">
        <v>124</v>
      </c>
      <c r="G7" t="s">
        <v>33</v>
      </c>
      <c r="H7" t="s">
        <v>33</v>
      </c>
      <c r="I7" t="s">
        <v>124</v>
      </c>
      <c r="O7" t="s">
        <v>189</v>
      </c>
      <c r="P7" s="23" t="s">
        <v>124</v>
      </c>
      <c r="Q7" s="25" t="s">
        <v>212</v>
      </c>
      <c r="R7" s="51" t="s">
        <v>195</v>
      </c>
      <c r="S7" s="25" t="s">
        <v>112</v>
      </c>
      <c r="T7" s="25" t="s">
        <v>112</v>
      </c>
      <c r="U7" s="25" t="s">
        <v>112</v>
      </c>
      <c r="V7" s="25" t="s">
        <v>112</v>
      </c>
      <c r="W7" s="25" t="s">
        <v>112</v>
      </c>
      <c r="X7" s="25" t="s">
        <v>112</v>
      </c>
      <c r="Y7" s="25" t="s">
        <v>112</v>
      </c>
      <c r="Z7" s="25" t="s">
        <v>112</v>
      </c>
      <c r="AA7" s="51" t="s">
        <v>112</v>
      </c>
      <c r="AB7" s="25" t="s">
        <v>112</v>
      </c>
      <c r="AC7" s="51" t="s">
        <v>112</v>
      </c>
      <c r="AD7" s="25" t="s">
        <v>263</v>
      </c>
      <c r="AE7" s="25" t="s">
        <v>263</v>
      </c>
      <c r="AF7" s="25" t="s">
        <v>230</v>
      </c>
    </row>
    <row r="8" spans="1:32" ht="16.5" customHeight="1" x14ac:dyDescent="0.3">
      <c r="B8" s="1">
        <f>AVERAGE(B9:B220)</f>
        <v>0.36932287061597407</v>
      </c>
      <c r="M8" s="1">
        <f>AVERAGE(M9:M220)</f>
        <v>0.77352941176470591</v>
      </c>
      <c r="N8" s="1">
        <f>AVERAGE(N9:N220)</f>
        <v>0.78088235294117669</v>
      </c>
      <c r="O8" t="s">
        <v>33</v>
      </c>
      <c r="P8" s="23" t="s">
        <v>33</v>
      </c>
      <c r="Q8" s="24"/>
      <c r="R8" s="23"/>
      <c r="S8" s="24"/>
      <c r="T8" s="24"/>
      <c r="U8" s="24"/>
      <c r="V8" s="24"/>
      <c r="W8" s="24"/>
      <c r="X8" s="24"/>
      <c r="Y8" s="24"/>
      <c r="Z8" s="24"/>
      <c r="AA8" s="24"/>
    </row>
    <row r="9" spans="1:32" x14ac:dyDescent="0.3">
      <c r="A9" s="2">
        <f>Data_nieuwveer!A9</f>
        <v>41548</v>
      </c>
      <c r="B9" s="52"/>
      <c r="C9" s="21"/>
      <c r="D9" s="21">
        <f>AVERAGE(Data_nieuwveer!AX9,Data_nieuwveer!BB9,Data_nieuwveer!BF9)</f>
        <v>2.6456666666666666</v>
      </c>
      <c r="E9">
        <f>Data_nieuwveer!BJ9</f>
        <v>3.4159999999999999</v>
      </c>
      <c r="F9">
        <f t="shared" ref="F9:F40" si="0">(D9*$D$2+E9*$D$3)/$D$4</f>
        <v>2.9718818931060098</v>
      </c>
      <c r="G9" s="21"/>
      <c r="O9">
        <f>M$8*E9</f>
        <v>2.6423764705882355</v>
      </c>
      <c r="P9" s="23">
        <f>N$8*F9</f>
        <v>2.3206901253518994</v>
      </c>
      <c r="Q9" s="24"/>
      <c r="R9" s="23"/>
      <c r="S9" s="24"/>
      <c r="T9" s="24"/>
      <c r="U9" s="24"/>
      <c r="V9" s="24"/>
      <c r="W9" s="24"/>
      <c r="Z9" s="24"/>
      <c r="AA9" s="23"/>
      <c r="AB9" s="41">
        <f>D$3/(Data_nieuwveer!AQ9*N$3)</f>
        <v>0.11794573755217315</v>
      </c>
      <c r="AC9" s="53">
        <f>(D$2+D$3)/(Data_nieuwveer!AQ9)</f>
        <v>0.12254889211397381</v>
      </c>
    </row>
    <row r="10" spans="1:32" x14ac:dyDescent="0.3">
      <c r="A10" s="2">
        <f>Data_nieuwveer!A10</f>
        <v>41549</v>
      </c>
      <c r="B10" s="52"/>
      <c r="C10" s="21"/>
      <c r="D10" s="21">
        <f>AVERAGE(Data_nieuwveer!AX10,Data_nieuwveer!BB10,Data_nieuwveer!BF10)</f>
        <v>2.6466666666666665</v>
      </c>
      <c r="E10">
        <f>Data_nieuwveer!BJ10</f>
        <v>3.4390000000000001</v>
      </c>
      <c r="F10">
        <f t="shared" si="0"/>
        <v>2.9821982950726893</v>
      </c>
      <c r="G10" s="21"/>
      <c r="O10">
        <f t="shared" ref="O10:O73" si="1">M$8*E10</f>
        <v>2.6601676470588238</v>
      </c>
      <c r="P10" s="23">
        <f t="shared" ref="P10:P41" si="2">N$8*F10</f>
        <v>2.3287460215935272</v>
      </c>
      <c r="Q10" s="24"/>
      <c r="R10" s="23"/>
      <c r="S10" s="24"/>
      <c r="T10" s="24"/>
      <c r="U10" s="24"/>
      <c r="V10" s="24"/>
      <c r="W10" s="24"/>
      <c r="Z10" s="24"/>
      <c r="AA10" s="23"/>
      <c r="AB10" s="41">
        <f>D$3/(Data_nieuwveer!AQ10*N$3)</f>
        <v>0.11921171700221765</v>
      </c>
      <c r="AC10" s="53">
        <f>(D$2+D$3)/(Data_nieuwveer!AQ10)</f>
        <v>0.12386427986991863</v>
      </c>
    </row>
    <row r="11" spans="1:32" x14ac:dyDescent="0.3">
      <c r="A11" s="2">
        <f>Data_nieuwveer!A11</f>
        <v>41550</v>
      </c>
      <c r="B11" s="52"/>
      <c r="C11" s="21"/>
      <c r="D11" s="21">
        <f>AVERAGE(Data_nieuwveer!AX11,Data_nieuwveer!BB11,Data_nieuwveer!BF11)</f>
        <v>3.0766666666666667</v>
      </c>
      <c r="E11">
        <f>Data_nieuwveer!BJ11</f>
        <v>3.24</v>
      </c>
      <c r="F11">
        <f t="shared" si="0"/>
        <v>3.1458338933889851</v>
      </c>
      <c r="G11" s="21"/>
      <c r="O11">
        <f t="shared" si="1"/>
        <v>2.5062352941176473</v>
      </c>
      <c r="P11" s="23">
        <f t="shared" si="2"/>
        <v>2.4565261726316936</v>
      </c>
      <c r="Q11" s="24"/>
      <c r="R11" s="23"/>
      <c r="S11" s="24"/>
      <c r="T11" s="24"/>
      <c r="U11" s="24"/>
      <c r="V11" s="24"/>
      <c r="W11" s="24"/>
      <c r="Z11" s="24"/>
      <c r="AA11" s="23"/>
      <c r="AB11" s="41">
        <f>D$3/(Data_nieuwveer!AQ11*N$3)</f>
        <v>0.11839878722298598</v>
      </c>
      <c r="AC11" s="53">
        <f>(D$2+D$3)/(Data_nieuwveer!AQ11)</f>
        <v>0.12301962328563783</v>
      </c>
    </row>
    <row r="12" spans="1:32" x14ac:dyDescent="0.3">
      <c r="A12" s="2">
        <f>Data_nieuwveer!A12</f>
        <v>41551</v>
      </c>
      <c r="B12" s="52"/>
      <c r="C12" s="21"/>
      <c r="D12" s="21">
        <f>AVERAGE(Data_nieuwveer!AX12,Data_nieuwveer!BB12,Data_nieuwveer!BF12)</f>
        <v>2.8089999999999997</v>
      </c>
      <c r="E12">
        <f>Data_nieuwveer!BJ12</f>
        <v>3.2759999999999998</v>
      </c>
      <c r="F12">
        <f t="shared" si="0"/>
        <v>3.0067618053836087</v>
      </c>
      <c r="G12" s="21">
        <f>IF(ISBLANK(Data_nieuwveer!AY12),0,AVERAGE(Data_nieuwveer!AX12*(1-Data_nieuwveer!AY12/100),Data_nieuwveer!BB12*(1-Data_nieuwveer!BC12/100),Data_nieuwveer!BF12*(1-Data_nieuwveer!BG12/100)))</f>
        <v>2.1152000000000002</v>
      </c>
      <c r="H12">
        <f>IF(ISBLANK(Data_nieuwveer!BK12),0,Data_nieuwveer!BJ12*(1-Data_nieuwveer!BK12/100))</f>
        <v>2.3914799999999996</v>
      </c>
      <c r="I12" s="50">
        <f>(M12*$D$2+N12*$D$3)/$D$4</f>
        <v>0.7374107742916769</v>
      </c>
      <c r="J12">
        <f>(Data_nieuwveer!AX12*(1-Data_nieuwveer!AY12/100)/Data_nieuwveer!AX12)</f>
        <v>0.74</v>
      </c>
      <c r="K12">
        <f>(Data_nieuwveer!BB12*(1-Data_nieuwveer!BC12/100)/Data_nieuwveer!BB12)</f>
        <v>0.76</v>
      </c>
      <c r="L12">
        <f>(Data_nieuwveer!BF12*(1-Data_nieuwveer!BG12/100)/Data_nieuwveer!BF12)</f>
        <v>0.76</v>
      </c>
      <c r="M12">
        <f>(Data_nieuwveer!BJ12*(1-Data_nieuwveer!BK12/100)/Data_nieuwveer!BJ12)</f>
        <v>0.72999999999999987</v>
      </c>
      <c r="N12">
        <f>AVERAGE(J12:M12)</f>
        <v>0.74749999999999994</v>
      </c>
      <c r="O12">
        <f t="shared" si="1"/>
        <v>2.5340823529411765</v>
      </c>
      <c r="P12" s="23">
        <f t="shared" si="2"/>
        <v>2.3479272333216126</v>
      </c>
      <c r="Q12" s="24"/>
      <c r="R12" s="23"/>
      <c r="S12" s="24"/>
      <c r="T12" s="24"/>
      <c r="U12" s="24"/>
      <c r="V12" s="24"/>
      <c r="W12" s="24"/>
      <c r="Z12" s="24"/>
      <c r="AA12" s="23"/>
      <c r="AB12" s="41">
        <f>D$3/(Data_nieuwveer!AQ12*N$3)</f>
        <v>0.1142459841009746</v>
      </c>
      <c r="AC12" s="53">
        <f>(D$2+D$3)/(Data_nieuwveer!AQ12)</f>
        <v>0.1187047456789348</v>
      </c>
    </row>
    <row r="13" spans="1:32" x14ac:dyDescent="0.3">
      <c r="A13" s="2">
        <f>Data_nieuwveer!A13</f>
        <v>41552</v>
      </c>
      <c r="B13" s="52"/>
      <c r="C13" s="21">
        <f>Data_nieuwveer!AR13*B$8</f>
        <v>36.932287061597407</v>
      </c>
      <c r="D13" s="21">
        <f>AVERAGE(Data_nieuwveer!AX13,Data_nieuwveer!BB13,Data_nieuwveer!BF13)</f>
        <v>2.8069999999999999</v>
      </c>
      <c r="E13">
        <f>Data_nieuwveer!BJ13</f>
        <v>3.28</v>
      </c>
      <c r="F13">
        <f t="shared" si="0"/>
        <v>3.0073026422836118</v>
      </c>
      <c r="G13" s="21"/>
      <c r="O13">
        <f t="shared" si="1"/>
        <v>2.5371764705882351</v>
      </c>
      <c r="P13" s="23">
        <f t="shared" si="2"/>
        <v>2.3483495633126448</v>
      </c>
      <c r="Q13" s="24">
        <f>'Edited data B'!C13*Data_nieuwveer!AQ13*$N$3/($D$3*O13*1000)</f>
        <v>0.12566174695977664</v>
      </c>
      <c r="R13" s="23">
        <f>'Edited data B'!C13*Data_nieuwveer!AQ13/($D$4*P13*1000)</f>
        <v>0.13066638767435307</v>
      </c>
      <c r="S13" s="54">
        <f>IF(ISBLANK(Data_nieuwveer!BZ13),0,Data_nieuwveer!AX13*(D$2/3+H$2/3)/(Data_nieuwveer!AZ13*Data_nieuwveer!BA13+(Data_nieuwveer!F13+Data_nieuwveer!BP13)*N$2/3*Data_nieuwveer!BZ13/1000))</f>
        <v>35.188661663798996</v>
      </c>
      <c r="T13" s="54">
        <f>IF(ISBLANK(Data_nieuwveer!BZ13),0,Data_nieuwveer!BB13*(D$2/3+H$2/3)/(Data_nieuwveer!BD13*Data_nieuwveer!BE13+(Data_nieuwveer!F13+Data_nieuwveer!BP13)*N$2/3*Data_nieuwveer!BZ13/1000))</f>
        <v>23.110142257857259</v>
      </c>
      <c r="U13" s="54">
        <f>IF(ISBLANK(Data_nieuwveer!BZ13),0,Data_nieuwveer!BF13*(D$2/3+H$2/3)/(Data_nieuwveer!BH13*Data_nieuwveer!BI13+(Data_nieuwveer!F13+Data_nieuwveer!BP13)*N$2/3*Data_nieuwveer!BZ13/1000))</f>
        <v>53.81525764957199</v>
      </c>
      <c r="V13" s="54">
        <f>AVERAGE(S13:U13)</f>
        <v>37.37135385707608</v>
      </c>
      <c r="W13" s="54">
        <f>V13*D$2/(D$2+H$2)</f>
        <v>17.684745710782543</v>
      </c>
      <c r="X13" s="50">
        <f>IF(ISBLANK(Data_nieuwveer!BZ13),0,Data_nieuwveer!BJ13*(D$3+H$3)/(Data_nieuwveer!BM13*Data_nieuwveer!BN13+(Data_nieuwveer!F13+Data_nieuwveer!BP13)*N$3*Data_nieuwveer!BZ13/1000))</f>
        <v>32.583620113884315</v>
      </c>
      <c r="Y13" s="50">
        <f>X13*D$3/(D$3+H$3)</f>
        <v>15.629902235893221</v>
      </c>
      <c r="Z13" s="54">
        <f>Y13*$J$2</f>
        <v>9.3779413415359318</v>
      </c>
      <c r="AA13" s="55">
        <f>IF(ISBLANK(Data_nieuwveer!BZ13),0,'Edited data B'!P13*(D$2+H$2+D$3+H$3)/((Data_nieuwveer!AZ13*Data_nieuwveer!BA13+Data_nieuwveer!BD13*Data_nieuwveer!BE13+Data_nieuwveer!BH13*Data_nieuwveer!BI13+Data_nieuwveer!BM13*Data_nieuwveer!BN13)+(Data_nieuwveer!F13+Data_nieuwveer!BP13)*Data_nieuwveer!BZ13/1000))</f>
        <v>26.617733050017467</v>
      </c>
      <c r="AB13" s="41">
        <f>D$3/(Data_nieuwveer!AQ13*N$3)</f>
        <v>0.11583836907874281</v>
      </c>
      <c r="AC13" s="53">
        <f>(D$2+D$3)/(Data_nieuwveer!AQ13)</f>
        <v>0.12035927782985806</v>
      </c>
      <c r="AD13">
        <f>((E13-E12)*($D$3+H$3)+(Data_nieuwveer!F13+Data_nieuwveer!BP13)*N$3*Data_nieuwveer!BZ13/1000+Data_nieuwveer!BM13*Data_nieuwveer!BN13)/(Data_nieuwveer!AQ13*N$3*Data_nieuwveer!AR13/1000-((Data_nieuwveer!F13+Data_nieuwveer!BP13)*N$3+Data_nieuwveer!BM13)*Data_nieuwveer!BR13/1000/$P$2)</f>
        <v>0.3680338632016818</v>
      </c>
      <c r="AE13">
        <f>((F13-F12)*(D$2+H$2+$D$3+H$3)+(Data_nieuwveer!F13+Data_nieuwveer!BP13)*Data_nieuwveer!BZ13/1000+(Data_nieuwveer!AZ13*Data_nieuwveer!BA13+Data_nieuwveer!BD13*Data_nieuwveer!BE13+Data_nieuwveer!BH13*Data_nieuwveer!BI13+Data_nieuwveer!BM13*Data_nieuwveer!BN13))/(Data_nieuwveer!AQ13*Data_nieuwveer!AR13/1000-((Data_nieuwveer!F13+Data_nieuwveer!BP13)+Data_nieuwveer!AZ13+Data_nieuwveer!BD13+Data_nieuwveer!BH13+Data_nieuwveer!BM13)*Data_nieuwveer!BR13/1000/$P$2)</f>
        <v>0.32680644386445307</v>
      </c>
      <c r="AF13">
        <f>(Data_nieuwveer!AQ13*Data_nieuwveer!AR13-(Data_nieuwveer!BP13+Data_nieuwveer!F13)*Data_nieuwveer!BR13)/(Data_nieuwveer!AQ13*Data_nieuwveer!AR13)</f>
        <v>0.63336846561802551</v>
      </c>
    </row>
    <row r="14" spans="1:32" x14ac:dyDescent="0.3">
      <c r="A14" s="2">
        <f>Data_nieuwveer!A14</f>
        <v>41553</v>
      </c>
      <c r="B14" s="52"/>
      <c r="C14" s="21"/>
      <c r="D14" s="21">
        <f>AVERAGE(Data_nieuwveer!AX14,Data_nieuwveer!BB14,Data_nieuwveer!BF14)</f>
        <v>2.8130000000000002</v>
      </c>
      <c r="E14">
        <f>Data_nieuwveer!BJ14</f>
        <v>3.3460000000000001</v>
      </c>
      <c r="F14">
        <f t="shared" si="0"/>
        <v>3.0387110112836475</v>
      </c>
      <c r="G14" s="21"/>
      <c r="O14">
        <f t="shared" si="1"/>
        <v>2.588229411764706</v>
      </c>
      <c r="P14" s="23">
        <f t="shared" si="2"/>
        <v>2.3728758043994373</v>
      </c>
      <c r="Q14" s="24"/>
      <c r="R14" s="23"/>
      <c r="S14" s="54"/>
      <c r="T14" s="54"/>
      <c r="U14" s="54"/>
      <c r="V14" s="54"/>
      <c r="W14" s="54"/>
      <c r="X14" s="50"/>
      <c r="Y14" s="50"/>
      <c r="Z14" s="54"/>
      <c r="AA14" s="55"/>
      <c r="AB14" s="41">
        <f>D$3/(Data_nieuwveer!AQ14*N$3)</f>
        <v>0.11913807057084898</v>
      </c>
      <c r="AC14" s="53">
        <f>(D$2+D$3)/(Data_nieuwveer!AQ14)</f>
        <v>0.12378775918540991</v>
      </c>
    </row>
    <row r="15" spans="1:32" x14ac:dyDescent="0.3">
      <c r="A15" s="2">
        <f>Data_nieuwveer!A15</f>
        <v>41554</v>
      </c>
      <c r="B15" s="52"/>
      <c r="C15" s="21"/>
      <c r="D15" s="21">
        <f>AVERAGE(Data_nieuwveer!AX15,Data_nieuwveer!BB15,Data_nieuwveer!BF15)</f>
        <v>2.8666666666666667</v>
      </c>
      <c r="E15">
        <f>Data_nieuwveer!BJ15</f>
        <v>3.32</v>
      </c>
      <c r="F15">
        <f t="shared" si="0"/>
        <v>3.0586410102224892</v>
      </c>
      <c r="G15" s="21"/>
      <c r="O15">
        <f t="shared" si="1"/>
        <v>2.5681176470588234</v>
      </c>
      <c r="P15" s="23">
        <f t="shared" si="2"/>
        <v>2.388438788864915</v>
      </c>
      <c r="Q15" s="24"/>
      <c r="R15" s="23"/>
      <c r="S15" s="54"/>
      <c r="T15" s="54"/>
      <c r="U15" s="54"/>
      <c r="V15" s="54"/>
      <c r="W15" s="54"/>
      <c r="X15" s="50"/>
      <c r="Y15" s="50"/>
      <c r="Z15" s="54"/>
      <c r="AA15" s="55"/>
      <c r="AB15" s="41">
        <f>D$3/(Data_nieuwveer!AQ15*N$3)</f>
        <v>0.1196945768718724</v>
      </c>
      <c r="AC15" s="53">
        <f>(D$2+D$3)/(Data_nieuwveer!AQ15)</f>
        <v>0.12436598466485718</v>
      </c>
    </row>
    <row r="16" spans="1:32" x14ac:dyDescent="0.3">
      <c r="A16" s="2">
        <f>Data_nieuwveer!A16</f>
        <v>41555</v>
      </c>
      <c r="B16" s="52"/>
      <c r="C16" s="21"/>
      <c r="D16" s="21">
        <f>AVERAGE(Data_nieuwveer!AX16,Data_nieuwveer!BB16,Data_nieuwveer!BF16)</f>
        <v>2.8223333333333329</v>
      </c>
      <c r="E16">
        <f>Data_nieuwveer!BJ16</f>
        <v>3.278</v>
      </c>
      <c r="F16">
        <f t="shared" si="0"/>
        <v>3.0152957801280462</v>
      </c>
      <c r="G16" s="21"/>
      <c r="O16">
        <f t="shared" si="1"/>
        <v>2.535629411764706</v>
      </c>
      <c r="P16" s="23">
        <f t="shared" si="2"/>
        <v>2.3545912635999895</v>
      </c>
      <c r="Q16" s="24"/>
      <c r="R16" s="23"/>
      <c r="S16" s="54"/>
      <c r="T16" s="54"/>
      <c r="U16" s="54"/>
      <c r="V16" s="54"/>
      <c r="W16" s="54"/>
      <c r="X16" s="50"/>
      <c r="Y16" s="50"/>
      <c r="Z16" s="54"/>
      <c r="AA16" s="55"/>
      <c r="AB16" s="41">
        <f>D$3/(Data_nieuwveer!AQ16*N$3)</f>
        <v>0.11827098177797046</v>
      </c>
      <c r="AC16" s="53">
        <f>(D$2+D$3)/(Data_nieuwveer!AQ16)</f>
        <v>0.12288682988404623</v>
      </c>
    </row>
    <row r="17" spans="1:32" x14ac:dyDescent="0.3">
      <c r="A17" s="2">
        <f>Data_nieuwveer!A17</f>
        <v>41556</v>
      </c>
      <c r="B17" s="52"/>
      <c r="C17" s="21"/>
      <c r="D17" s="21">
        <f>AVERAGE(Data_nieuwveer!AX17,Data_nieuwveer!BB17,Data_nieuwveer!BF17)</f>
        <v>2.8089999999999997</v>
      </c>
      <c r="E17">
        <f>Data_nieuwveer!BJ17</f>
        <v>3.3260000000000001</v>
      </c>
      <c r="F17">
        <f t="shared" si="0"/>
        <v>3.0279354462169716</v>
      </c>
      <c r="G17" s="21"/>
      <c r="O17">
        <f t="shared" si="1"/>
        <v>2.5727588235294121</v>
      </c>
      <c r="P17" s="23">
        <f t="shared" si="2"/>
        <v>2.3644613557959007</v>
      </c>
      <c r="Q17" s="24"/>
      <c r="R17" s="23"/>
      <c r="S17" s="54"/>
      <c r="T17" s="54"/>
      <c r="U17" s="54"/>
      <c r="V17" s="54"/>
      <c r="W17" s="54"/>
      <c r="X17" s="50"/>
      <c r="Y17" s="50"/>
      <c r="Z17" s="54"/>
      <c r="AA17" s="55"/>
      <c r="AB17" s="41">
        <f>D$3/(Data_nieuwveer!AQ17*N$3)</f>
        <v>0.12277262845573365</v>
      </c>
      <c r="AC17" s="53">
        <f>(D$2+D$3)/(Data_nieuwveer!AQ17)</f>
        <v>0.12756416561908621</v>
      </c>
    </row>
    <row r="18" spans="1:32" x14ac:dyDescent="0.3">
      <c r="A18" s="2">
        <f>Data_nieuwveer!A18</f>
        <v>41557</v>
      </c>
      <c r="B18" s="52"/>
      <c r="C18" s="21"/>
      <c r="D18" s="21">
        <f>AVERAGE(Data_nieuwveer!AX18,Data_nieuwveer!BB18,Data_nieuwveer!BF18)</f>
        <v>2.6733333333333333</v>
      </c>
      <c r="E18">
        <f>Data_nieuwveer!BJ18</f>
        <v>3.15</v>
      </c>
      <c r="F18">
        <f t="shared" si="0"/>
        <v>2.8751887092780586</v>
      </c>
      <c r="G18" s="21"/>
      <c r="O18">
        <f t="shared" si="1"/>
        <v>2.4366176470588234</v>
      </c>
      <c r="P18" s="23">
        <f t="shared" si="2"/>
        <v>2.2451841244509554</v>
      </c>
      <c r="Q18" s="24"/>
      <c r="R18" s="23"/>
      <c r="S18" s="54"/>
      <c r="T18" s="54"/>
      <c r="U18" s="54"/>
      <c r="V18" s="54"/>
      <c r="W18" s="54"/>
      <c r="X18" s="50"/>
      <c r="Y18" s="50"/>
      <c r="Z18" s="54"/>
      <c r="AA18" s="55"/>
      <c r="AB18" s="41">
        <f>D$3/(Data_nieuwveer!AQ18*N$3)</f>
        <v>0.11390141132620527</v>
      </c>
      <c r="AC18" s="53">
        <f>(D$2+D$3)/(Data_nieuwveer!AQ18)</f>
        <v>0.11834672501047322</v>
      </c>
    </row>
    <row r="19" spans="1:32" x14ac:dyDescent="0.3">
      <c r="A19" s="2">
        <f>Data_nieuwveer!A19</f>
        <v>41558</v>
      </c>
      <c r="B19" s="52"/>
      <c r="C19" s="21">
        <f>Data_nieuwveer!AR19*B$8</f>
        <v>34.347026967285586</v>
      </c>
      <c r="D19" s="21">
        <f>AVERAGE(Data_nieuwveer!AX19,Data_nieuwveer!BB19,Data_nieuwveer!BF19)</f>
        <v>2.8056666666666668</v>
      </c>
      <c r="E19">
        <f>Data_nieuwveer!BJ19</f>
        <v>3.2090000000000001</v>
      </c>
      <c r="F19">
        <f t="shared" si="0"/>
        <v>2.9764673693891268</v>
      </c>
      <c r="G19" s="21"/>
      <c r="O19">
        <f t="shared" si="1"/>
        <v>2.4822558823529413</v>
      </c>
      <c r="P19" s="23">
        <f t="shared" si="2"/>
        <v>2.3242708428612158</v>
      </c>
      <c r="Q19" s="24">
        <f>'Edited data B'!C19*Data_nieuwveer!AQ19*$N$3/($D$3*O19*1000)</f>
        <v>0.11933083847867118</v>
      </c>
      <c r="R19" s="23">
        <f>'Edited data B'!C19*Data_nieuwveer!AQ19/($D$4*P19*1000)</f>
        <v>0.12265503130638747</v>
      </c>
      <c r="S19" s="54">
        <f>IF(ISBLANK(Data_nieuwveer!BZ19),0,Data_nieuwveer!AX19*(D$2/3+H$2/3)/(Data_nieuwveer!AZ19*Data_nieuwveer!BA19+(Data_nieuwveer!F19+Data_nieuwveer!BP19)*N$2/3*Data_nieuwveer!BZ19/1000))</f>
        <v>43.621497124687416</v>
      </c>
      <c r="T19" s="54">
        <f>IF(ISBLANK(Data_nieuwveer!BZ19),0,Data_nieuwveer!BB19*(D$2/3+H$2/3)/(Data_nieuwveer!BD19*Data_nieuwveer!BE19+(Data_nieuwveer!F19+Data_nieuwveer!BP19)*N$2/3*Data_nieuwveer!BZ19/1000))</f>
        <v>59.175809167360619</v>
      </c>
      <c r="U19" s="54">
        <f>IF(ISBLANK(Data_nieuwveer!BZ19),0,Data_nieuwveer!BF19*(D$2/3+H$2/3)/(Data_nieuwveer!BH19*Data_nieuwveer!BI19+(Data_nieuwveer!F19+Data_nieuwveer!BP19)*N$2/3*Data_nieuwveer!BZ19/1000))</f>
        <v>41.474748491042106</v>
      </c>
      <c r="V19" s="54">
        <f>AVERAGE(S19:U19)</f>
        <v>48.090684927696714</v>
      </c>
      <c r="W19" s="54">
        <f>V19*D$2/(D$2+H$2)</f>
        <v>22.757311315405996</v>
      </c>
      <c r="X19" s="50">
        <f>IF(ISBLANK(Data_nieuwveer!BZ19),0,Data_nieuwveer!BJ19*(D$3+H$3)/(Data_nieuwveer!BM19*Data_nieuwveer!BN19+(Data_nieuwveer!F19+Data_nieuwveer!BP19)*N$3*Data_nieuwveer!BZ19/1000))</f>
        <v>30.851383339220593</v>
      </c>
      <c r="Y19" s="50">
        <f>X19*D$3/(D$3+H$3)</f>
        <v>14.798972727668442</v>
      </c>
      <c r="Z19" s="54">
        <f>Y19*$J$2</f>
        <v>8.8793836366010641</v>
      </c>
      <c r="AA19" s="55">
        <f>IF(ISBLANK(Data_nieuwveer!BZ19),0,'Edited data B'!P19*(D$2+H$2+D$3+H$3)/((Data_nieuwveer!AZ19*Data_nieuwveer!BA19+Data_nieuwveer!BD19*Data_nieuwveer!BE19+Data_nieuwveer!BH19*Data_nieuwveer!BI19+Data_nieuwveer!BM19*Data_nieuwveer!BN19)+(Data_nieuwveer!F19+Data_nieuwveer!BP19)*Data_nieuwveer!BZ19/1000))</f>
        <v>29.41502661480785</v>
      </c>
      <c r="AB19" s="41">
        <f>D$3/(Data_nieuwveer!AQ19*N$3)</f>
        <v>0.11595511483270768</v>
      </c>
      <c r="AC19" s="53">
        <f>(D$2+D$3)/(Data_nieuwveer!AQ19)</f>
        <v>0.12048057990574763</v>
      </c>
      <c r="AD19">
        <f>((E19-E18)*($D$3+H$3)+(Data_nieuwveer!F19+Data_nieuwveer!BP19)*N$3*Data_nieuwveer!BZ19/1000+Data_nieuwveer!BM19*Data_nieuwveer!BN19)/(Data_nieuwveer!AQ19*N$3*Data_nieuwveer!AR19/1000-((Data_nieuwveer!F19+Data_nieuwveer!BP19)*N$3+Data_nieuwveer!BM19)*Data_nieuwveer!BR19/1000/$P$2)</f>
        <v>0.63121005020590937</v>
      </c>
      <c r="AE19">
        <f>((F19-F18)*(D$2+H$2+$D$3+H$3)+(Data_nieuwveer!F19+Data_nieuwveer!BP19)*Data_nieuwveer!BZ19/1000+(Data_nieuwveer!AZ19*Data_nieuwveer!BA19+Data_nieuwveer!BD19*Data_nieuwveer!BE19+Data_nieuwveer!BH19*Data_nieuwveer!BI19+Data_nieuwveer!BM19*Data_nieuwveer!BN19))/(Data_nieuwveer!AQ19*Data_nieuwveer!AR19/1000-((Data_nieuwveer!F19+Data_nieuwveer!BP19)+Data_nieuwveer!AZ19+Data_nieuwveer!BD19+Data_nieuwveer!BH19+Data_nieuwveer!BM19)*Data_nieuwveer!BR19/1000/$P$2)</f>
        <v>0.73074448546971271</v>
      </c>
      <c r="AF19">
        <f>(Data_nieuwveer!AQ19*Data_nieuwveer!AR19-(Data_nieuwveer!BP19+Data_nieuwveer!F19)*Data_nieuwveer!BR19)/(Data_nieuwveer!AQ19*Data_nieuwveer!AR19)</f>
        <v>0.61550462181309062</v>
      </c>
    </row>
    <row r="20" spans="1:32" x14ac:dyDescent="0.3">
      <c r="A20" s="2">
        <f>Data_nieuwveer!A20</f>
        <v>41559</v>
      </c>
      <c r="B20" s="52"/>
      <c r="C20" s="21"/>
      <c r="D20" s="21">
        <f>AVERAGE(Data_nieuwveer!AX20,Data_nieuwveer!BB20,Data_nieuwveer!BF20)</f>
        <v>2.8343333333333334</v>
      </c>
      <c r="E20">
        <f>Data_nieuwveer!BJ20</f>
        <v>3.2269999999999999</v>
      </c>
      <c r="F20">
        <f t="shared" si="0"/>
        <v>3.0006169926780091</v>
      </c>
      <c r="G20" s="21"/>
      <c r="O20">
        <f t="shared" si="1"/>
        <v>2.496179411764706</v>
      </c>
      <c r="P20" s="23">
        <f t="shared" si="2"/>
        <v>2.3431288575176814</v>
      </c>
      <c r="Q20" s="24"/>
      <c r="R20" s="23"/>
      <c r="S20" s="54"/>
      <c r="T20" s="54"/>
      <c r="U20" s="54"/>
      <c r="V20" s="54"/>
      <c r="W20" s="54"/>
      <c r="X20" s="50"/>
      <c r="Y20" s="50"/>
      <c r="Z20" s="54"/>
      <c r="AA20" s="55"/>
      <c r="AB20" s="41">
        <f>D$3/(Data_nieuwveer!AQ20*N$3)</f>
        <v>0.11341071685424968</v>
      </c>
      <c r="AC20" s="53">
        <f>(D$2+D$3)/(Data_nieuwveer!AQ20)</f>
        <v>0.11783687984647986</v>
      </c>
    </row>
    <row r="21" spans="1:32" x14ac:dyDescent="0.3">
      <c r="A21" s="2">
        <f>Data_nieuwveer!A21</f>
        <v>41560</v>
      </c>
      <c r="B21" s="52"/>
      <c r="C21" s="21"/>
      <c r="D21" s="21">
        <f>AVERAGE(Data_nieuwveer!AX21,Data_nieuwveer!BB21,Data_nieuwveer!BF21)</f>
        <v>2.8390000000000004</v>
      </c>
      <c r="E21">
        <f>Data_nieuwveer!BJ21</f>
        <v>3.2309999999999999</v>
      </c>
      <c r="F21">
        <f t="shared" si="0"/>
        <v>3.0050013441335648</v>
      </c>
      <c r="G21" s="21"/>
      <c r="O21">
        <f t="shared" si="1"/>
        <v>2.4992735294117647</v>
      </c>
      <c r="P21" s="23">
        <f t="shared" si="2"/>
        <v>2.3465525201984168</v>
      </c>
      <c r="Q21" s="24"/>
      <c r="R21" s="23"/>
      <c r="S21" s="54"/>
      <c r="T21" s="54"/>
      <c r="U21" s="54"/>
      <c r="V21" s="54"/>
      <c r="W21" s="54"/>
      <c r="X21" s="50"/>
      <c r="Y21" s="50"/>
      <c r="Z21" s="54"/>
      <c r="AA21" s="55"/>
      <c r="AB21" s="41">
        <f>D$3/(Data_nieuwveer!AQ21*N$3)</f>
        <v>0.11378498648351833</v>
      </c>
      <c r="AC21" s="53">
        <f>(D$2+D$3)/(Data_nieuwveer!AQ21)</f>
        <v>0.11822575637030075</v>
      </c>
    </row>
    <row r="22" spans="1:32" x14ac:dyDescent="0.3">
      <c r="A22" s="2">
        <f>Data_nieuwveer!A22</f>
        <v>41561</v>
      </c>
      <c r="B22" s="52"/>
      <c r="C22" s="21"/>
      <c r="D22" s="21">
        <f>AVERAGE(Data_nieuwveer!AX22,Data_nieuwveer!BB22,Data_nieuwveer!BF22)</f>
        <v>2.8733333333333335</v>
      </c>
      <c r="E22">
        <f>Data_nieuwveer!BJ22</f>
        <v>2.85</v>
      </c>
      <c r="F22">
        <f t="shared" si="0"/>
        <v>2.8634523009444308</v>
      </c>
      <c r="G22" s="21"/>
      <c r="O22">
        <f t="shared" si="1"/>
        <v>2.2045588235294118</v>
      </c>
      <c r="P22" s="23">
        <f t="shared" si="2"/>
        <v>2.2360193702963134</v>
      </c>
      <c r="Q22" s="24"/>
      <c r="R22" s="23"/>
      <c r="S22" s="54"/>
      <c r="T22" s="54"/>
      <c r="U22" s="54"/>
      <c r="V22" s="54"/>
      <c r="W22" s="54"/>
      <c r="X22" s="50"/>
      <c r="Y22" s="50"/>
      <c r="Z22" s="54"/>
      <c r="AA22" s="55"/>
      <c r="AB22" s="41">
        <f>D$3/(Data_nieuwveer!AQ22*N$3)</f>
        <v>9.5815801117257682E-2</v>
      </c>
      <c r="AC22" s="53">
        <f>(D$2+D$3)/(Data_nieuwveer!AQ22)</f>
        <v>9.9555274464570381E-2</v>
      </c>
    </row>
    <row r="23" spans="1:32" x14ac:dyDescent="0.3">
      <c r="A23" s="2">
        <f>Data_nieuwveer!A23</f>
        <v>41562</v>
      </c>
      <c r="B23" s="52"/>
      <c r="C23" s="21"/>
      <c r="D23" s="21">
        <f>AVERAGE(Data_nieuwveer!AX23,Data_nieuwveer!BB23,Data_nieuwveer!BF23)</f>
        <v>2.9123333333333332</v>
      </c>
      <c r="E23">
        <f>Data_nieuwveer!BJ23</f>
        <v>3.4079999999999999</v>
      </c>
      <c r="F23">
        <f t="shared" si="0"/>
        <v>3.1222346927947369</v>
      </c>
      <c r="G23" s="21"/>
      <c r="O23">
        <f t="shared" si="1"/>
        <v>2.6361882352941177</v>
      </c>
      <c r="P23" s="23">
        <f t="shared" si="2"/>
        <v>2.4380979733441261</v>
      </c>
      <c r="Q23" s="24"/>
      <c r="R23" s="23"/>
      <c r="S23" s="54"/>
      <c r="T23" s="54"/>
      <c r="U23" s="54"/>
      <c r="V23" s="54"/>
      <c r="W23" s="54"/>
      <c r="X23" s="50"/>
      <c r="Y23" s="50"/>
      <c r="Z23" s="54"/>
      <c r="AA23" s="55"/>
      <c r="AB23" s="41">
        <f>D$3/(Data_nieuwveer!AQ23*N$3)</f>
        <v>0.11269903749524465</v>
      </c>
      <c r="AC23" s="53">
        <f>(D$2+D$3)/(Data_nieuwveer!AQ23)</f>
        <v>0.11709742525662772</v>
      </c>
    </row>
    <row r="24" spans="1:32" x14ac:dyDescent="0.3">
      <c r="A24" s="16">
        <f>Data_nieuwveer!A24</f>
        <v>41563</v>
      </c>
      <c r="B24" s="52"/>
      <c r="C24" s="21"/>
      <c r="D24" s="21">
        <f>AVERAGE(Data_nieuwveer!AX24,Data_nieuwveer!BB24,Data_nieuwveer!BF24)</f>
        <v>3.1076666666666668</v>
      </c>
      <c r="E24">
        <f>Data_nieuwveer!BJ24</f>
        <v>3.7719999999999998</v>
      </c>
      <c r="F24">
        <f t="shared" si="0"/>
        <v>3.3889937745392804</v>
      </c>
      <c r="G24" s="21"/>
      <c r="O24">
        <f t="shared" si="1"/>
        <v>2.9177529411764707</v>
      </c>
      <c r="P24" s="23">
        <f t="shared" si="2"/>
        <v>2.6464054327652331</v>
      </c>
      <c r="Q24" s="24"/>
      <c r="R24" s="23"/>
      <c r="S24" s="54"/>
      <c r="T24" s="54"/>
      <c r="U24" s="54"/>
      <c r="V24" s="54"/>
      <c r="W24" s="54"/>
      <c r="X24" s="50"/>
      <c r="Y24" s="50"/>
      <c r="Z24" s="54"/>
      <c r="AA24" s="55"/>
      <c r="AB24" s="41">
        <f>D$3/(Data_nieuwveer!AQ24*N$3)</f>
        <v>0.12626071327478033</v>
      </c>
      <c r="AC24" s="53">
        <f>(D$2+D$3)/(Data_nieuwveer!AQ24)</f>
        <v>0.13118838247545761</v>
      </c>
    </row>
    <row r="25" spans="1:32" x14ac:dyDescent="0.3">
      <c r="A25" s="2">
        <f>Data_nieuwveer!A25</f>
        <v>41564</v>
      </c>
      <c r="B25" s="52"/>
      <c r="C25" s="21">
        <f>Data_nieuwveer!AR25*B$8</f>
        <v>25.483278072502213</v>
      </c>
      <c r="D25" s="21">
        <f>AVERAGE(Data_nieuwveer!AX25,Data_nieuwveer!BB25,Data_nieuwveer!BF25)</f>
        <v>3.2766666666666668</v>
      </c>
      <c r="E25">
        <f>Data_nieuwveer!BJ25</f>
        <v>3.77</v>
      </c>
      <c r="F25">
        <f t="shared" si="0"/>
        <v>3.4855799228891797</v>
      </c>
      <c r="G25" s="21">
        <f>IF(ISBLANK(Data_nieuwveer!AY25),0,AVERAGE(Data_nieuwveer!AX25*(1-Data_nieuwveer!AY25/100),Data_nieuwveer!BB25*(1-Data_nieuwveer!BC25/100),Data_nieuwveer!BF25*(1-Data_nieuwveer!BG25/100)))</f>
        <v>2.5925333333333334</v>
      </c>
      <c r="H25">
        <f>IF(ISBLANK(Data_nieuwveer!BK25),0,Data_nieuwveer!BJ25*(1-Data_nieuwveer!BK25/100))</f>
        <v>2.9029000000000003</v>
      </c>
      <c r="I25">
        <f>(M25*$D$2+N25*$D$3)/$D$4</f>
        <v>0.7763520922500089</v>
      </c>
      <c r="J25">
        <f>(Data_nieuwveer!AX25*(1-Data_nieuwveer!AY25/100)/Data_nieuwveer!AX25)</f>
        <v>0.77</v>
      </c>
      <c r="K25">
        <f>(Data_nieuwveer!BB25*(1-Data_nieuwveer!BC25/100)/Data_nieuwveer!BB25)</f>
        <v>0.8</v>
      </c>
      <c r="L25">
        <f>(Data_nieuwveer!BF25*(1-Data_nieuwveer!BG25/100)/Data_nieuwveer!BF25)</f>
        <v>0.8</v>
      </c>
      <c r="M25">
        <f>(Data_nieuwveer!BJ25*(1-Data_nieuwveer!BK25/100)/Data_nieuwveer!BJ25)</f>
        <v>0.77</v>
      </c>
      <c r="N25">
        <f>AVERAGE(J25:M25)</f>
        <v>0.78500000000000003</v>
      </c>
      <c r="O25">
        <f t="shared" si="1"/>
        <v>2.9162058823529411</v>
      </c>
      <c r="P25" s="23">
        <f t="shared" si="2"/>
        <v>2.7218278515502279</v>
      </c>
      <c r="Q25" s="24">
        <f>'Edited data B'!C25*Data_nieuwveer!AQ25*$N$3/($D$3*O25*1000)</f>
        <v>7.2893653796664848E-2</v>
      </c>
      <c r="R25" s="23">
        <f>'Edited data B'!C25*Data_nieuwveer!AQ25/($D$4*P25*1000)</f>
        <v>7.5165769660612988E-2</v>
      </c>
      <c r="S25" s="54">
        <f>IF(ISBLANK(Data_nieuwveer!BZ25),0,Data_nieuwveer!AX25*(D$2/3+H$2/3)/(Data_nieuwveer!AZ25*Data_nieuwveer!BA25+(Data_nieuwveer!F25+Data_nieuwveer!BP25)*N$2/3*Data_nieuwveer!BZ25/1000))</f>
        <v>110.37212281147141</v>
      </c>
      <c r="T25" s="54">
        <f>IF(ISBLANK(Data_nieuwveer!BZ25),0,Data_nieuwveer!BB25*(D$2/3+H$2/3)/(Data_nieuwveer!BD25*Data_nieuwveer!BE25+(Data_nieuwveer!F25+Data_nieuwveer!BP25)*N$2/3*Data_nieuwveer!BZ25/1000))</f>
        <v>19.244343299433094</v>
      </c>
      <c r="U25" s="54">
        <f>IF(ISBLANK(Data_nieuwveer!BZ25),0,Data_nieuwveer!BF25*(D$2/3+H$2/3)/(Data_nieuwveer!BH25*Data_nieuwveer!BI25+(Data_nieuwveer!F25+Data_nieuwveer!BP25)*N$2/3*Data_nieuwveer!BZ25/1000))</f>
        <v>47.634062856550145</v>
      </c>
      <c r="V25" s="54">
        <f>AVERAGE(S25:U25)</f>
        <v>59.083509655818212</v>
      </c>
      <c r="W25" s="54">
        <f>V25*D$2/(D$2+H$2)</f>
        <v>27.959298663884709</v>
      </c>
      <c r="X25" s="50">
        <f>IF(ISBLANK(Data_nieuwveer!BZ25),0,Data_nieuwveer!BJ25*(D$3+H$3)/(Data_nieuwveer!BM25*Data_nieuwveer!BN25+(Data_nieuwveer!F25+Data_nieuwveer!BP25)*N$3*Data_nieuwveer!BZ25/1000))</f>
        <v>31.413016624667648</v>
      </c>
      <c r="Y25" s="50">
        <f>X25*D$3/(D$3+H$3)</f>
        <v>15.068380280091397</v>
      </c>
      <c r="Z25" s="54">
        <f>Y25*$J$2</f>
        <v>9.0410281680548383</v>
      </c>
      <c r="AA25" s="55">
        <f>IF(ISBLANK(Data_nieuwveer!BZ25),0,'Edited data B'!P25*(D$2+H$2+D$3+H$3)/((Data_nieuwveer!AZ25*Data_nieuwveer!BA25+Data_nieuwveer!BD25*Data_nieuwveer!BE25+Data_nieuwveer!BH25*Data_nieuwveer!BI25+Data_nieuwveer!BM25*Data_nieuwveer!BN25)+(Data_nieuwveer!F25+Data_nieuwveer!BP25)*Data_nieuwveer!BZ25/1000))</f>
        <v>26.735444480692742</v>
      </c>
      <c r="AB25" s="41">
        <f>D$3/(Data_nieuwveer!AQ25*N$3)</f>
        <v>0.11988018150091789</v>
      </c>
      <c r="AC25" s="53">
        <f>(D$2+D$3)/(Data_nieuwveer!AQ25)</f>
        <v>0.12455883302150668</v>
      </c>
      <c r="AD25">
        <f>((E25-E24)*($D$3+H$3)+(Data_nieuwveer!F25+Data_nieuwveer!BP25)*N$3*Data_nieuwveer!BZ25/1000+Data_nieuwveer!BM25*Data_nieuwveer!BN25)/(Data_nieuwveer!AQ25*N$3*Data_nieuwveer!AR25/1000-((Data_nieuwveer!F25+Data_nieuwveer!BP25)*N$3+Data_nieuwveer!BM25)*Data_nieuwveer!BR25/1000/$P$2)</f>
        <v>0.63925133531823042</v>
      </c>
      <c r="AE25">
        <f>((F25-F24)*(D$2+H$2+$D$3+H$3)+(Data_nieuwveer!F25+Data_nieuwveer!BP25)*Data_nieuwveer!BZ25/1000+(Data_nieuwveer!AZ25*Data_nieuwveer!BA25+Data_nieuwveer!BD25*Data_nieuwveer!BE25+Data_nieuwveer!BH25*Data_nieuwveer!BI25+Data_nieuwveer!BM25*Data_nieuwveer!BN25))/(Data_nieuwveer!AQ25*Data_nieuwveer!AR25/1000-((Data_nieuwveer!F25+Data_nieuwveer!BP25)+Data_nieuwveer!AZ25+Data_nieuwveer!BD25+Data_nieuwveer!BH25+Data_nieuwveer!BM25)*Data_nieuwveer!BR25/1000/$P$2)</f>
        <v>1.1249193444306336</v>
      </c>
      <c r="AF25">
        <f>(Data_nieuwveer!AQ25*Data_nieuwveer!AR25-(Data_nieuwveer!BP25+Data_nieuwveer!F25)*Data_nieuwveer!BR25)/(Data_nieuwveer!AQ25*Data_nieuwveer!AR25)</f>
        <v>0.61260759140278487</v>
      </c>
    </row>
    <row r="26" spans="1:32" x14ac:dyDescent="0.3">
      <c r="A26" s="2">
        <f>Data_nieuwveer!A26</f>
        <v>41565</v>
      </c>
      <c r="B26" s="52"/>
      <c r="C26" s="21"/>
      <c r="D26" s="21">
        <f>AVERAGE(Data_nieuwveer!AX26,Data_nieuwveer!BB26,Data_nieuwveer!BF26)</f>
        <v>3</v>
      </c>
      <c r="E26">
        <f>Data_nieuwveer!BJ26</f>
        <v>3.6419999999999999</v>
      </c>
      <c r="F26">
        <f t="shared" si="0"/>
        <v>3.2718695483003786</v>
      </c>
      <c r="G26" s="21"/>
      <c r="O26">
        <f>M$8*E26</f>
        <v>2.817194117647059</v>
      </c>
      <c r="P26" s="23">
        <f t="shared" si="2"/>
        <v>2.5549451913933847</v>
      </c>
      <c r="Q26" s="24"/>
      <c r="R26" s="23"/>
      <c r="S26" s="54"/>
      <c r="T26" s="54"/>
      <c r="U26" s="54"/>
      <c r="V26" s="54"/>
      <c r="W26" s="54"/>
      <c r="X26" s="50"/>
      <c r="Y26" s="50"/>
      <c r="Z26" s="54"/>
      <c r="AA26" s="55"/>
      <c r="AB26" s="41">
        <f>D$3/(Data_nieuwveer!AQ26*N$3)</f>
        <v>0.11758468793571869</v>
      </c>
      <c r="AC26" s="53">
        <f>(D$2+D$3)/(Data_nieuwveer!AQ26)</f>
        <v>0.12217375155007595</v>
      </c>
    </row>
    <row r="27" spans="1:32" x14ac:dyDescent="0.3">
      <c r="A27" s="2">
        <f>Data_nieuwveer!A27</f>
        <v>41566</v>
      </c>
      <c r="B27" s="52"/>
      <c r="C27" s="21"/>
      <c r="D27" s="21">
        <f>AVERAGE(Data_nieuwveer!AX27,Data_nieuwveer!BB27,Data_nieuwveer!BF27)</f>
        <v>2.8886666666666669</v>
      </c>
      <c r="E27">
        <f>Data_nieuwveer!BJ27</f>
        <v>3.6440000000000001</v>
      </c>
      <c r="F27">
        <f t="shared" si="0"/>
        <v>3.208529800856001</v>
      </c>
      <c r="G27" s="21"/>
      <c r="O27">
        <f t="shared" si="1"/>
        <v>2.8187411764705885</v>
      </c>
      <c r="P27" s="23">
        <f t="shared" si="2"/>
        <v>2.5054843003743192</v>
      </c>
      <c r="Q27" s="24"/>
      <c r="R27" s="23"/>
      <c r="S27" s="54"/>
      <c r="T27" s="54"/>
      <c r="U27" s="54"/>
      <c r="V27" s="54"/>
      <c r="W27" s="54"/>
      <c r="X27" s="50"/>
      <c r="Y27" s="50"/>
      <c r="Z27" s="54"/>
      <c r="AA27" s="55"/>
      <c r="AB27" s="41">
        <f>D$3/(Data_nieuwveer!AQ27*N$3)</f>
        <v>0.116073945579896</v>
      </c>
      <c r="AC27" s="53">
        <f>(D$2+D$3)/(Data_nieuwveer!AQ27)</f>
        <v>0.1206040483474161</v>
      </c>
    </row>
    <row r="28" spans="1:32" x14ac:dyDescent="0.3">
      <c r="A28" s="2">
        <f>Data_nieuwveer!A28</f>
        <v>41567</v>
      </c>
      <c r="B28" s="52"/>
      <c r="C28" s="21"/>
      <c r="D28" s="21">
        <f>AVERAGE(Data_nieuwveer!AX28,Data_nieuwveer!BB28,Data_nieuwveer!BF28)</f>
        <v>2.9139999999999997</v>
      </c>
      <c r="E28">
        <f>Data_nieuwveer!BJ28</f>
        <v>3.6739999999999999</v>
      </c>
      <c r="F28">
        <f t="shared" si="0"/>
        <v>3.2358393406671144</v>
      </c>
      <c r="G28" s="21"/>
      <c r="O28">
        <f t="shared" si="1"/>
        <v>2.8419470588235294</v>
      </c>
      <c r="P28" s="23">
        <f t="shared" si="2"/>
        <v>2.5268098380797621</v>
      </c>
      <c r="Q28" s="24"/>
      <c r="R28" s="23"/>
      <c r="S28" s="54"/>
      <c r="T28" s="54"/>
      <c r="U28" s="54"/>
      <c r="V28" s="54"/>
      <c r="W28" s="54"/>
      <c r="X28" s="50"/>
      <c r="Y28" s="50"/>
      <c r="Z28" s="54"/>
      <c r="AA28" s="55"/>
      <c r="AB28" s="41">
        <f>D$3/(Data_nieuwveer!AQ28*N$3)</f>
        <v>0.11459694582866829</v>
      </c>
      <c r="AC28" s="53">
        <f>(D$2+D$3)/(Data_nieuwveer!AQ28)</f>
        <v>0.11906940464665919</v>
      </c>
    </row>
    <row r="29" spans="1:32" x14ac:dyDescent="0.3">
      <c r="A29" s="2">
        <f>Data_nieuwveer!A29</f>
        <v>41568</v>
      </c>
      <c r="B29" s="52"/>
      <c r="C29" s="21"/>
      <c r="D29" s="21">
        <f>AVERAGE(Data_nieuwveer!AX29,Data_nieuwveer!BB29,Data_nieuwveer!BF29)</f>
        <v>2.7899999999999996</v>
      </c>
      <c r="E29">
        <f>Data_nieuwveer!BJ29</f>
        <v>3.67</v>
      </c>
      <c r="F29">
        <f t="shared" si="0"/>
        <v>3.1626560786671849</v>
      </c>
      <c r="G29" s="21"/>
      <c r="O29">
        <f t="shared" si="1"/>
        <v>2.8388529411764707</v>
      </c>
      <c r="P29" s="23">
        <f t="shared" si="2"/>
        <v>2.4696623202533465</v>
      </c>
      <c r="Q29" s="24"/>
      <c r="R29" s="23"/>
      <c r="S29" s="54"/>
      <c r="T29" s="54"/>
      <c r="U29" s="54"/>
      <c r="V29" s="54"/>
      <c r="W29" s="54"/>
      <c r="X29" s="50"/>
      <c r="Y29" s="50"/>
      <c r="Z29" s="54"/>
      <c r="AA29" s="55"/>
      <c r="AB29" s="41">
        <f>D$3/(Data_nieuwveer!AQ29*N$3)</f>
        <v>0.11063131242798267</v>
      </c>
      <c r="AC29" s="53">
        <f>(D$2+D$3)/(Data_nieuwveer!AQ29)</f>
        <v>0.11494900157088701</v>
      </c>
    </row>
    <row r="30" spans="1:32" x14ac:dyDescent="0.3">
      <c r="A30" s="2">
        <f>Data_nieuwveer!A30</f>
        <v>41569</v>
      </c>
      <c r="B30" s="52"/>
      <c r="C30" s="21"/>
      <c r="D30" s="21">
        <f>AVERAGE(Data_nieuwveer!AX30,Data_nieuwveer!BB30,Data_nieuwveer!BF30)</f>
        <v>2.8906666666666667</v>
      </c>
      <c r="E30">
        <f>Data_nieuwveer!BJ30</f>
        <v>3.6269999999999998</v>
      </c>
      <c r="F30">
        <f t="shared" si="0"/>
        <v>3.2024838173393229</v>
      </c>
      <c r="G30" s="21"/>
      <c r="O30">
        <f t="shared" si="1"/>
        <v>2.8055911764705881</v>
      </c>
      <c r="P30" s="23">
        <f t="shared" si="2"/>
        <v>2.5007630985399718</v>
      </c>
      <c r="Q30" s="24"/>
      <c r="R30" s="23"/>
      <c r="S30" s="54"/>
      <c r="T30" s="54"/>
      <c r="U30" s="54"/>
      <c r="V30" s="54"/>
      <c r="W30" s="54"/>
      <c r="X30" s="50"/>
      <c r="Y30" s="50"/>
      <c r="Z30" s="54"/>
      <c r="AA30" s="55"/>
      <c r="AB30" s="41">
        <f>D$3/(Data_nieuwveer!AQ30*N$3)</f>
        <v>0.11601359083905832</v>
      </c>
      <c r="AC30" s="53">
        <f>(D$2+D$3)/(Data_nieuwveer!AQ30)</f>
        <v>0.1205413380979659</v>
      </c>
    </row>
    <row r="31" spans="1:32" x14ac:dyDescent="0.3">
      <c r="A31" s="16">
        <f>Data_nieuwveer!A31</f>
        <v>41570</v>
      </c>
      <c r="B31" s="52"/>
      <c r="C31" s="21">
        <f>Data_nieuwveer!AR31*B$8</f>
        <v>35.454995579133509</v>
      </c>
      <c r="D31" s="21">
        <f>AVERAGE(Data_nieuwveer!AX31,Data_nieuwveer!BB31,Data_nieuwveer!BF31)</f>
        <v>2.7526666666666664</v>
      </c>
      <c r="E31">
        <f>Data_nieuwveer!BJ31</f>
        <v>3.633</v>
      </c>
      <c r="F31">
        <f t="shared" si="0"/>
        <v>3.1254639029394076</v>
      </c>
      <c r="G31" s="21"/>
      <c r="O31">
        <f t="shared" si="1"/>
        <v>2.8102323529411768</v>
      </c>
      <c r="P31" s="23">
        <f t="shared" si="2"/>
        <v>2.4406196065600381</v>
      </c>
      <c r="Q31" s="24">
        <f>'Edited data B'!C31*Data_nieuwveer!AQ31*$N$3/($D$3*O31*1000)</f>
        <v>0.11351226481460334</v>
      </c>
      <c r="R31" s="23">
        <f>'Edited data B'!C31*Data_nieuwveer!AQ31/($D$4*P31*1000)</f>
        <v>0.12579337910313051</v>
      </c>
      <c r="S31" s="54">
        <f>IF(ISBLANK(Data_nieuwveer!BZ31),0,Data_nieuwveer!AX31*(D$2/3+H$2/3)/(Data_nieuwveer!AZ31*Data_nieuwveer!BA31+(Data_nieuwveer!F31+Data_nieuwveer!BP31)*N$2/3*Data_nieuwveer!BZ31/1000))</f>
        <v>13.303850775171192</v>
      </c>
      <c r="T31" s="54">
        <f>IF(ISBLANK(Data_nieuwveer!BZ31),0,Data_nieuwveer!BB31*(D$2/3+H$2/3)/(Data_nieuwveer!BD31*Data_nieuwveer!BE31+(Data_nieuwveer!F31+Data_nieuwveer!BP31)*N$2/3*Data_nieuwveer!BZ31/1000))</f>
        <v>13.188212325806576</v>
      </c>
      <c r="U31" s="54">
        <f>IF(ISBLANK(Data_nieuwveer!BZ31),0,Data_nieuwveer!BF31*(D$2/3+H$2/3)/(Data_nieuwveer!BH31*Data_nieuwveer!BI31+(Data_nieuwveer!F31+Data_nieuwveer!BP31)*N$2/3*Data_nieuwveer!BZ31/1000))</f>
        <v>11.999034864502338</v>
      </c>
      <c r="V31" s="54">
        <f>AVERAGE(S31:U31)</f>
        <v>12.830365988493369</v>
      </c>
      <c r="W31" s="54">
        <f>V31*D$2/(D$2+H$2)</f>
        <v>6.0715424105465097</v>
      </c>
      <c r="X31" s="50">
        <f>IF(ISBLANK(Data_nieuwveer!BZ31),0,Data_nieuwveer!BJ31*(D$3+H$3)/(Data_nieuwveer!BM31*Data_nieuwveer!BN31+(Data_nieuwveer!F31+Data_nieuwveer!BP31)*N$3*Data_nieuwveer!BZ31/1000))</f>
        <v>12.851704743806877</v>
      </c>
      <c r="Y31" s="50">
        <f>X31*D$3/(D$3+H$3)</f>
        <v>6.1647812001304567</v>
      </c>
      <c r="Z31" s="54">
        <f>Y31*$J$2</f>
        <v>3.6988687200782739</v>
      </c>
      <c r="AA31" s="55">
        <f>IF(ISBLANK(Data_nieuwveer!BZ31),0,'Edited data B'!P31*(D$2+H$2+D$3+H$3)/((Data_nieuwveer!AZ31*Data_nieuwveer!BA31+Data_nieuwveer!BD31*Data_nieuwveer!BE31+Data_nieuwveer!BH31*Data_nieuwveer!BI31+Data_nieuwveer!BM31*Data_nieuwveer!BN31)+(Data_nieuwveer!F31+Data_nieuwveer!BP31)*Data_nieuwveer!BZ31/1000))</f>
        <v>10.012955194960512</v>
      </c>
      <c r="AB31" s="41">
        <f>D$3/(Data_nieuwveer!AQ31*N$3)</f>
        <v>0.11114563652647419</v>
      </c>
      <c r="AC31" s="53">
        <f>(D$2+D$3)/(Data_nieuwveer!AQ31)</f>
        <v>0.11548339857213322</v>
      </c>
      <c r="AD31">
        <f>((E31-E30)*($D$3+H$3)+(Data_nieuwveer!F31+Data_nieuwveer!BP31)*N$3*Data_nieuwveer!BZ31/1000+Data_nieuwveer!BM31*Data_nieuwveer!BN31)/(Data_nieuwveer!AQ31*N$3*Data_nieuwveer!AR31/1000-((Data_nieuwveer!F31+Data_nieuwveer!BP31)*N$3+Data_nieuwveer!BM31)*Data_nieuwveer!BR31/1000/$P$2)</f>
        <v>1.2676921598818973</v>
      </c>
      <c r="AE31">
        <f>((F31-F30)*(D$2+H$2+$D$3+H$3)+(Data_nieuwveer!F31+Data_nieuwveer!BP31)*Data_nieuwveer!BZ31/1000+(Data_nieuwveer!AZ31*Data_nieuwveer!BA31+Data_nieuwveer!BD31*Data_nieuwveer!BE31+Data_nieuwveer!BH31*Data_nieuwveer!BI31+Data_nieuwveer!BM31*Data_nieuwveer!BN31))/(Data_nieuwveer!AQ31*Data_nieuwveer!AR31/1000-((Data_nieuwveer!F31+Data_nieuwveer!BP31)+Data_nieuwveer!AZ31+Data_nieuwveer!BD31+Data_nieuwveer!BH31+Data_nieuwveer!BM31)*Data_nieuwveer!BR31/1000/$P$2)</f>
        <v>0.7661496912843988</v>
      </c>
      <c r="AF31">
        <f>(Data_nieuwveer!AQ31*Data_nieuwveer!AR31-(Data_nieuwveer!BP31+Data_nieuwveer!F31)*Data_nieuwveer!BR31)/(Data_nieuwveer!AQ31*Data_nieuwveer!AR31)</f>
        <v>0.47364517581796994</v>
      </c>
    </row>
    <row r="32" spans="1:32" x14ac:dyDescent="0.3">
      <c r="A32" s="2">
        <f>Data_nieuwveer!A32</f>
        <v>41571</v>
      </c>
      <c r="B32" s="52"/>
      <c r="C32" s="21"/>
      <c r="D32" s="21">
        <f>AVERAGE(Data_nieuwveer!AX32,Data_nieuwveer!BB32,Data_nieuwveer!BF32)</f>
        <v>3.0366666666666666</v>
      </c>
      <c r="E32">
        <f>Data_nieuwveer!BJ32</f>
        <v>3.8</v>
      </c>
      <c r="F32">
        <f t="shared" si="0"/>
        <v>3.3599175833893389</v>
      </c>
      <c r="G32" s="21"/>
      <c r="O32">
        <f t="shared" si="1"/>
        <v>2.9394117647058824</v>
      </c>
      <c r="P32" s="23">
        <f t="shared" si="2"/>
        <v>2.623700348205499</v>
      </c>
      <c r="Q32" s="24"/>
      <c r="R32" s="23"/>
      <c r="S32" s="54"/>
      <c r="T32" s="54"/>
      <c r="U32" s="54"/>
      <c r="V32" s="54"/>
      <c r="W32" s="54"/>
      <c r="X32" s="50"/>
      <c r="Y32" s="50"/>
      <c r="Z32" s="54"/>
      <c r="AA32" s="55"/>
      <c r="AB32" s="41">
        <f>D$3/(Data_nieuwveer!AQ32*N$3)</f>
        <v>0.11549992384259949</v>
      </c>
      <c r="AC32" s="53">
        <f>(D$2+D$3)/(Data_nieuwveer!AQ32)</f>
        <v>0.120007623843954</v>
      </c>
    </row>
    <row r="33" spans="1:32" x14ac:dyDescent="0.3">
      <c r="A33" s="2">
        <f>Data_nieuwveer!A33</f>
        <v>41572</v>
      </c>
      <c r="B33" s="52"/>
      <c r="C33" s="21"/>
      <c r="D33" s="21">
        <f>AVERAGE(Data_nieuwveer!AX33,Data_nieuwveer!BB33,Data_nieuwveer!BF33)</f>
        <v>3.1110000000000002</v>
      </c>
      <c r="E33">
        <f>Data_nieuwveer!BJ33</f>
        <v>3.6259999999999999</v>
      </c>
      <c r="F33">
        <f t="shared" si="0"/>
        <v>3.3290885005836373</v>
      </c>
      <c r="G33" s="21"/>
      <c r="O33">
        <f t="shared" si="1"/>
        <v>2.8048176470588237</v>
      </c>
      <c r="P33" s="23">
        <f t="shared" si="2"/>
        <v>2.5996264614851645</v>
      </c>
      <c r="Q33" s="24"/>
      <c r="R33" s="23"/>
      <c r="S33" s="54"/>
      <c r="T33" s="54"/>
      <c r="U33" s="54"/>
      <c r="V33" s="54"/>
      <c r="W33" s="54"/>
      <c r="X33" s="50"/>
      <c r="Y33" s="50"/>
      <c r="Z33" s="54"/>
      <c r="AA33" s="55"/>
      <c r="AB33" s="41">
        <f>D$3/(Data_nieuwveer!AQ33*N$3)</f>
        <v>0.11725635486936493</v>
      </c>
      <c r="AC33" s="53">
        <f>(D$2+D$3)/(Data_nieuwveer!AQ33)</f>
        <v>0.12183260438900761</v>
      </c>
    </row>
    <row r="34" spans="1:32" x14ac:dyDescent="0.3">
      <c r="A34" s="2">
        <f>Data_nieuwveer!A34</f>
        <v>41573</v>
      </c>
      <c r="B34" s="52"/>
      <c r="C34" s="21"/>
      <c r="D34" s="21">
        <f>AVERAGE(Data_nieuwveer!AX34,Data_nieuwveer!BB34,Data_nieuwveer!BF34)</f>
        <v>3.1790000000000003</v>
      </c>
      <c r="E34">
        <f>Data_nieuwveer!BJ34</f>
        <v>3.5139999999999998</v>
      </c>
      <c r="F34">
        <f t="shared" si="0"/>
        <v>3.3208633935835312</v>
      </c>
      <c r="G34" s="21"/>
      <c r="O34">
        <f t="shared" si="1"/>
        <v>2.7181823529411764</v>
      </c>
      <c r="P34" s="23">
        <f t="shared" si="2"/>
        <v>2.5932036205777287</v>
      </c>
      <c r="Q34" s="24"/>
      <c r="R34" s="23"/>
      <c r="S34" s="54"/>
      <c r="T34" s="54"/>
      <c r="U34" s="54"/>
      <c r="V34" s="54"/>
      <c r="W34" s="54"/>
      <c r="X34" s="50"/>
      <c r="Y34" s="50"/>
      <c r="Z34" s="54"/>
      <c r="AA34" s="55"/>
      <c r="AB34" s="41">
        <f>D$3/(Data_nieuwveer!AQ34*N$3)</f>
        <v>0.11719829813034646</v>
      </c>
      <c r="AC34" s="53">
        <f>(D$2+D$3)/(Data_nieuwveer!AQ34)</f>
        <v>0.12177228182717433</v>
      </c>
    </row>
    <row r="35" spans="1:32" x14ac:dyDescent="0.3">
      <c r="A35" s="2">
        <f>Data_nieuwveer!A35</f>
        <v>41574</v>
      </c>
      <c r="B35" s="52"/>
      <c r="C35" s="21"/>
      <c r="D35" s="21">
        <f>AVERAGE(Data_nieuwveer!AX35,Data_nieuwveer!BB35,Data_nieuwveer!BF35)</f>
        <v>3.1430000000000002</v>
      </c>
      <c r="E35">
        <f>Data_nieuwveer!BJ35</f>
        <v>3.524</v>
      </c>
      <c r="F35">
        <f t="shared" si="0"/>
        <v>3.3043431431502248</v>
      </c>
      <c r="G35" s="21"/>
      <c r="O35">
        <f t="shared" si="1"/>
        <v>2.7259176470588238</v>
      </c>
      <c r="P35" s="23">
        <f t="shared" si="2"/>
        <v>2.5803032485481912</v>
      </c>
      <c r="Q35" s="24"/>
      <c r="R35" s="23"/>
      <c r="S35" s="54"/>
      <c r="T35" s="54"/>
      <c r="U35" s="54"/>
      <c r="V35" s="54"/>
      <c r="W35" s="54"/>
      <c r="X35" s="50"/>
      <c r="Y35" s="50"/>
      <c r="Z35" s="54"/>
      <c r="AA35" s="55"/>
      <c r="AB35" s="41">
        <f>D$3/(Data_nieuwveer!AQ35*N$3)</f>
        <v>0.11333339560043515</v>
      </c>
      <c r="AC35" s="53">
        <f>(D$2+D$3)/(Data_nieuwveer!AQ35)</f>
        <v>0.117756540919542</v>
      </c>
    </row>
    <row r="36" spans="1:32" x14ac:dyDescent="0.3">
      <c r="A36" s="2">
        <f>Data_nieuwveer!A36</f>
        <v>41575</v>
      </c>
      <c r="B36" s="52"/>
      <c r="C36" s="21"/>
      <c r="D36" s="21">
        <f>AVERAGE(Data_nieuwveer!AX36,Data_nieuwveer!BB36,Data_nieuwveer!BF36)</f>
        <v>2.97</v>
      </c>
      <c r="E36">
        <f>Data_nieuwveer!BJ36</f>
        <v>3.33</v>
      </c>
      <c r="F36">
        <f t="shared" si="0"/>
        <v>3.1224502140002124</v>
      </c>
      <c r="G36" s="21"/>
      <c r="O36">
        <f t="shared" si="1"/>
        <v>2.5758529411764708</v>
      </c>
      <c r="P36" s="23">
        <f t="shared" si="2"/>
        <v>2.4382662700501667</v>
      </c>
      <c r="Q36" s="24"/>
      <c r="R36" s="23"/>
      <c r="S36" s="54"/>
      <c r="T36" s="54"/>
      <c r="U36" s="54"/>
      <c r="V36" s="54"/>
      <c r="W36" s="54"/>
      <c r="X36" s="50"/>
      <c r="Y36" s="50"/>
      <c r="Z36" s="54"/>
      <c r="AA36" s="55"/>
      <c r="AB36" s="41">
        <f>D$3/(Data_nieuwveer!AQ36*N$3)</f>
        <v>0.11173163510585697</v>
      </c>
      <c r="AC36" s="53">
        <f>(D$2+D$3)/(Data_nieuwveer!AQ36)</f>
        <v>0.11609226734665722</v>
      </c>
    </row>
    <row r="37" spans="1:32" x14ac:dyDescent="0.3">
      <c r="A37" s="2">
        <f>Data_nieuwveer!A37</f>
        <v>41576</v>
      </c>
      <c r="B37" s="52"/>
      <c r="C37" s="21">
        <f>Data_nieuwveer!AR37*B$8</f>
        <v>28.068538166814029</v>
      </c>
      <c r="D37" s="21">
        <f>AVERAGE(Data_nieuwveer!AX37,Data_nieuwveer!BB37,Data_nieuwveer!BF37)</f>
        <v>3.0226666666666673</v>
      </c>
      <c r="E37">
        <f>Data_nieuwveer!BJ37</f>
        <v>3.3780000000000001</v>
      </c>
      <c r="F37">
        <f t="shared" si="0"/>
        <v>3.1731406741890988</v>
      </c>
      <c r="G37" s="21"/>
      <c r="O37">
        <f t="shared" si="1"/>
        <v>2.6129823529411769</v>
      </c>
      <c r="P37" s="23">
        <f t="shared" si="2"/>
        <v>2.4778495558741351</v>
      </c>
      <c r="Q37" s="24">
        <f>'Edited data B'!C37*Data_nieuwveer!AQ37*$N$3/($D$3*O37*1000)</f>
        <v>9.4095778357373663E-2</v>
      </c>
      <c r="R37" s="23">
        <f>'Edited data B'!C37*Data_nieuwveer!AQ37/($D$4*P37*1000)</f>
        <v>9.5500257471327316E-2</v>
      </c>
      <c r="S37" s="54">
        <f>IF(ISBLANK(Data_nieuwveer!BZ37),0,Data_nieuwveer!AX37*(D$2/3+H$2/3)/(Data_nieuwveer!AZ37*Data_nieuwveer!BA37+(Data_nieuwveer!F37+Data_nieuwveer!BP37)*N$2/3*Data_nieuwveer!BZ37/1000))</f>
        <v>27.186864228714235</v>
      </c>
      <c r="T37" s="54">
        <f>IF(ISBLANK(Data_nieuwveer!BZ37),0,Data_nieuwveer!BB37*(D$2/3+H$2/3)/(Data_nieuwveer!BD37*Data_nieuwveer!BE37+(Data_nieuwveer!F37+Data_nieuwveer!BP37)*N$2/3*Data_nieuwveer!BZ37/1000))</f>
        <v>24.480379636547312</v>
      </c>
      <c r="U37" s="54">
        <f>IF(ISBLANK(Data_nieuwveer!BZ37),0,Data_nieuwveer!BF37*(D$2/3+H$2/3)/(Data_nieuwveer!BH37*Data_nieuwveer!BI37+(Data_nieuwveer!F37+Data_nieuwveer!BP37)*N$2/3*Data_nieuwveer!BZ37/1000))</f>
        <v>31.849176242378789</v>
      </c>
      <c r="V37" s="54">
        <f>AVERAGE(S37:U37)</f>
        <v>27.838806702546776</v>
      </c>
      <c r="W37" s="54">
        <f>V37*D$2/(D$2+H$2)</f>
        <v>13.173785978132274</v>
      </c>
      <c r="X37" s="50">
        <f>IF(ISBLANK(Data_nieuwveer!BZ37),0,Data_nieuwveer!BJ37*(D$3+H$3)/(Data_nieuwveer!BM37*Data_nieuwveer!BN37+(Data_nieuwveer!F37+Data_nieuwveer!BP37)*N$3*Data_nieuwveer!BZ37/1000))</f>
        <v>22.298498130597892</v>
      </c>
      <c r="Y37" s="50">
        <f>X37*D$3/(D$3+H$3)</f>
        <v>10.696274525984371</v>
      </c>
      <c r="Z37" s="54">
        <f>Y37*$J$2</f>
        <v>6.4177647155906223</v>
      </c>
      <c r="AA37" s="55">
        <f>IF(ISBLANK(Data_nieuwveer!BZ37),0,'Edited data B'!P37*(D$2+H$2+D$3+H$3)/((Data_nieuwveer!AZ37*Data_nieuwveer!BA37+Data_nieuwveer!BD37*Data_nieuwveer!BE37+Data_nieuwveer!BH37*Data_nieuwveer!BI37+Data_nieuwveer!BM37*Data_nieuwveer!BN37)+(Data_nieuwveer!F37+Data_nieuwveer!BP37)*Data_nieuwveer!BZ37/1000))</f>
        <v>19.524539770725447</v>
      </c>
      <c r="AB37" s="41">
        <f>D$3/(Data_nieuwveer!AQ37*N$3)</f>
        <v>0.11415979468629828</v>
      </c>
      <c r="AC37" s="53">
        <f>(D$2+D$3)/(Data_nieuwveer!AQ37)</f>
        <v>0.11861519248693528</v>
      </c>
      <c r="AD37">
        <f>((E37-E36)*($D$3+H$3)+(Data_nieuwveer!F37+Data_nieuwveer!BP37)*N$3*Data_nieuwveer!BZ37/1000+Data_nieuwveer!BM37*Data_nieuwveer!BN37)/(Data_nieuwveer!AQ37*N$3*Data_nieuwveer!AR37/1000-((Data_nieuwveer!F37+Data_nieuwveer!BP37)*N$3+Data_nieuwveer!BM37)*Data_nieuwveer!BR37/1000/$P$2)</f>
        <v>0.89371906409476909</v>
      </c>
      <c r="AE37">
        <f>((F37-F36)*(D$2+H$2+$D$3+H$3)+(Data_nieuwveer!F37+Data_nieuwveer!BP37)*Data_nieuwveer!BZ37/1000+(Data_nieuwveer!AZ37*Data_nieuwveer!BA37+Data_nieuwveer!BD37*Data_nieuwveer!BE37+Data_nieuwveer!BH37*Data_nieuwveer!BI37+Data_nieuwveer!BM37*Data_nieuwveer!BN37))/(Data_nieuwveer!AQ37*Data_nieuwveer!AR37/1000-((Data_nieuwveer!F37+Data_nieuwveer!BP37)+Data_nieuwveer!AZ37+Data_nieuwveer!BD37+Data_nieuwveer!BH37+Data_nieuwveer!BM37)*Data_nieuwveer!BR37/1000/$P$2)</f>
        <v>0.83284787675524929</v>
      </c>
      <c r="AF37">
        <f>(Data_nieuwveer!AQ37*Data_nieuwveer!AR37-(Data_nieuwveer!BP37+Data_nieuwveer!F37)*Data_nieuwveer!BR37)/(Data_nieuwveer!AQ37*Data_nieuwveer!AR37)</f>
        <v>0.64822795605746653</v>
      </c>
    </row>
    <row r="38" spans="1:32" x14ac:dyDescent="0.3">
      <c r="A38" s="2">
        <f>Data_nieuwveer!A38</f>
        <v>41577</v>
      </c>
      <c r="B38" s="52"/>
      <c r="C38" s="21"/>
      <c r="D38" s="21">
        <f>AVERAGE(Data_nieuwveer!AX38,Data_nieuwveer!BB38,Data_nieuwveer!BF38)</f>
        <v>2.9919999999999995</v>
      </c>
      <c r="E38">
        <f>Data_nieuwveer!BJ38</f>
        <v>3.194</v>
      </c>
      <c r="F38">
        <f t="shared" si="0"/>
        <v>3.0775415089667857</v>
      </c>
      <c r="G38" s="21"/>
      <c r="O38">
        <f t="shared" si="1"/>
        <v>2.4706529411764708</v>
      </c>
      <c r="P38" s="23">
        <f t="shared" si="2"/>
        <v>2.4031978547961232</v>
      </c>
      <c r="Q38" s="24"/>
      <c r="R38" s="23"/>
      <c r="S38" s="54"/>
      <c r="T38" s="54"/>
      <c r="U38" s="54"/>
      <c r="V38" s="54"/>
      <c r="W38" s="54"/>
      <c r="X38" s="50"/>
      <c r="Y38" s="50"/>
      <c r="Z38" s="54"/>
      <c r="AA38" s="55"/>
      <c r="AB38" s="41">
        <f>D$3/(Data_nieuwveer!AQ38*N$3)</f>
        <v>0.11354910572017372</v>
      </c>
      <c r="AC38" s="53">
        <f>(D$2+D$3)/(Data_nieuwveer!AQ38)</f>
        <v>0.11798066971588822</v>
      </c>
    </row>
    <row r="39" spans="1:32" x14ac:dyDescent="0.3">
      <c r="A39" s="2">
        <f>Data_nieuwveer!A39</f>
        <v>41578</v>
      </c>
      <c r="B39" s="52"/>
      <c r="C39" s="21"/>
      <c r="D39" s="21">
        <f>AVERAGE(Data_nieuwveer!AX39,Data_nieuwveer!BB39,Data_nieuwveer!BF39)</f>
        <v>3.0833333333333335</v>
      </c>
      <c r="E39">
        <f>Data_nieuwveer!BJ39</f>
        <v>3.38</v>
      </c>
      <c r="F39">
        <f t="shared" si="0"/>
        <v>3.2089636022779526</v>
      </c>
      <c r="G39" s="21"/>
      <c r="O39">
        <f t="shared" si="1"/>
        <v>2.614529411764706</v>
      </c>
      <c r="P39" s="23">
        <f t="shared" si="2"/>
        <v>2.5058230482494022</v>
      </c>
      <c r="Q39" s="24"/>
      <c r="R39" s="23"/>
      <c r="S39" s="54"/>
      <c r="T39" s="54"/>
      <c r="U39" s="54"/>
      <c r="V39" s="54"/>
      <c r="W39" s="54"/>
      <c r="X39" s="50"/>
      <c r="Y39" s="50"/>
      <c r="Z39" s="54"/>
      <c r="AA39" s="55"/>
      <c r="AB39" s="41">
        <f>D$3/(Data_nieuwveer!AQ39*N$3)</f>
        <v>0.11726423825084227</v>
      </c>
      <c r="AC39" s="53">
        <f>(D$2+D$3)/(Data_nieuwveer!AQ39)</f>
        <v>0.12184079544097956</v>
      </c>
    </row>
    <row r="40" spans="1:32" x14ac:dyDescent="0.3">
      <c r="A40" s="2">
        <f>Data_nieuwveer!A40</f>
        <v>41579</v>
      </c>
      <c r="B40" s="52"/>
      <c r="C40" s="21"/>
      <c r="D40" s="21">
        <f>AVERAGE(Data_nieuwveer!AX40,Data_nieuwveer!BB40,Data_nieuwveer!BF40)</f>
        <v>2.8813333333333335</v>
      </c>
      <c r="E40">
        <f>Data_nieuwveer!BJ40</f>
        <v>3.331</v>
      </c>
      <c r="F40">
        <f t="shared" si="0"/>
        <v>3.0717549432280431</v>
      </c>
      <c r="G40" s="21"/>
      <c r="O40">
        <f t="shared" si="1"/>
        <v>2.5766264705882356</v>
      </c>
      <c r="P40" s="23">
        <f t="shared" si="2"/>
        <v>2.3986792277266051</v>
      </c>
      <c r="Q40" s="24"/>
      <c r="R40" s="23"/>
      <c r="S40" s="54"/>
      <c r="T40" s="54"/>
      <c r="U40" s="54"/>
      <c r="V40" s="54"/>
      <c r="W40" s="54"/>
      <c r="X40" s="50"/>
      <c r="Y40" s="50"/>
      <c r="Z40" s="54"/>
      <c r="AA40" s="55"/>
      <c r="AB40" s="41">
        <f>D$3/(Data_nieuwveer!AQ40*N$3)</f>
        <v>0.11839343705582064</v>
      </c>
      <c r="AC40" s="53">
        <f>(D$2+D$3)/(Data_nieuwveer!AQ40)</f>
        <v>0.12301406431358557</v>
      </c>
    </row>
    <row r="41" spans="1:32" x14ac:dyDescent="0.3">
      <c r="A41" s="2">
        <f>Data_nieuwveer!A41</f>
        <v>41580</v>
      </c>
      <c r="B41" s="52"/>
      <c r="C41" s="21"/>
      <c r="D41" s="21">
        <f>AVERAGE(Data_nieuwveer!AX41,Data_nieuwveer!BB41,Data_nieuwveer!BF41)</f>
        <v>2.8663333333333334</v>
      </c>
      <c r="E41">
        <f>Data_nieuwveer!BJ41</f>
        <v>3.2709999999999999</v>
      </c>
      <c r="F41">
        <f t="shared" ref="F41:F72" si="3">(D41*$D$2+E41*$D$3)/$D$4</f>
        <v>3.0376986664780161</v>
      </c>
      <c r="G41" s="21"/>
      <c r="O41">
        <f t="shared" si="1"/>
        <v>2.530214705882353</v>
      </c>
      <c r="P41" s="23">
        <f t="shared" si="2"/>
        <v>2.372085282205628</v>
      </c>
      <c r="Q41" s="24"/>
      <c r="R41" s="23"/>
      <c r="S41" s="54"/>
      <c r="T41" s="54"/>
      <c r="U41" s="54"/>
      <c r="V41" s="54"/>
      <c r="W41" s="54"/>
      <c r="X41" s="50"/>
      <c r="Y41" s="50"/>
      <c r="Z41" s="54"/>
      <c r="AA41" s="55"/>
      <c r="AB41" s="41">
        <f>D$3/(Data_nieuwveer!AQ41*N$3)</f>
        <v>0.11116130227341205</v>
      </c>
      <c r="AC41" s="53">
        <f>(D$2+D$3)/(Data_nieuwveer!AQ41)</f>
        <v>0.11549967571763432</v>
      </c>
    </row>
    <row r="42" spans="1:32" x14ac:dyDescent="0.3">
      <c r="A42" s="2">
        <f>Data_nieuwveer!A42</f>
        <v>41581</v>
      </c>
      <c r="B42" s="52"/>
      <c r="C42" s="21"/>
      <c r="D42" s="21">
        <f>AVERAGE(Data_nieuwveer!AX42,Data_nieuwveer!BB42,Data_nieuwveer!BF42)</f>
        <v>2.6910000000000003</v>
      </c>
      <c r="E42">
        <f>Data_nieuwveer!BJ42</f>
        <v>3.2789999999999999</v>
      </c>
      <c r="F42">
        <f t="shared" si="3"/>
        <v>2.9400020162003471</v>
      </c>
      <c r="G42" s="21"/>
      <c r="O42">
        <f t="shared" si="1"/>
        <v>2.5364029411764708</v>
      </c>
      <c r="P42" s="23">
        <f t="shared" ref="P42:P73" si="4">N$8*F42</f>
        <v>2.2957956920623306</v>
      </c>
      <c r="Q42" s="24"/>
      <c r="R42" s="23"/>
      <c r="S42" s="54"/>
      <c r="T42" s="54"/>
      <c r="U42" s="54"/>
      <c r="V42" s="54"/>
      <c r="W42" s="54"/>
      <c r="X42" s="50"/>
      <c r="Y42" s="50"/>
      <c r="Z42" s="54"/>
      <c r="AA42" s="55"/>
      <c r="AB42" s="41">
        <f>D$3/(Data_nieuwveer!AQ42*N$3)</f>
        <v>0.1141144059638865</v>
      </c>
      <c r="AC42" s="53">
        <f>(D$2+D$3)/(Data_nieuwveer!AQ42)</f>
        <v>0.11856803234565783</v>
      </c>
    </row>
    <row r="43" spans="1:32" x14ac:dyDescent="0.3">
      <c r="A43" s="2">
        <f>Data_nieuwveer!A43</f>
        <v>41582</v>
      </c>
      <c r="B43" s="52"/>
      <c r="C43" s="21">
        <f>Data_nieuwveer!AR43*B$8</f>
        <v>33.608381226053638</v>
      </c>
      <c r="D43" s="21">
        <f>AVERAGE(Data_nieuwveer!AX43,Data_nieuwveer!BB43,Data_nieuwveer!BF43)</f>
        <v>1.853</v>
      </c>
      <c r="E43">
        <f>Data_nieuwveer!BJ43</f>
        <v>2.8</v>
      </c>
      <c r="F43">
        <f t="shared" si="3"/>
        <v>2.2540287573838915</v>
      </c>
      <c r="G43" s="21"/>
      <c r="O43">
        <f t="shared" si="1"/>
        <v>2.1658823529411766</v>
      </c>
      <c r="P43" s="23">
        <f t="shared" si="4"/>
        <v>1.76013127966301</v>
      </c>
      <c r="Q43" s="24">
        <f>'Edited data B'!C43*Data_nieuwveer!AQ43*$N$3/($D$3*O43*1000)</f>
        <v>0.14173080027318671</v>
      </c>
      <c r="R43" s="23">
        <f>'Edited data B'!C43*Data_nieuwveer!AQ43/($D$4*P43*1000)</f>
        <v>0.16785214761349826</v>
      </c>
      <c r="S43" s="54">
        <f>IF(ISBLANK(Data_nieuwveer!BZ43),0,Data_nieuwveer!AX43*(D$2/3+H$2/3)/(Data_nieuwveer!AZ43*Data_nieuwveer!BA43+(Data_nieuwveer!F43+Data_nieuwveer!BP43)*N$2/3*Data_nieuwveer!BZ43/1000))</f>
        <v>17.431802242771727</v>
      </c>
      <c r="T43" s="54">
        <f>IF(ISBLANK(Data_nieuwveer!BZ43),0,Data_nieuwveer!BB43*(D$2/3+H$2/3)/(Data_nieuwveer!BD43*Data_nieuwveer!BE43+(Data_nieuwveer!F43+Data_nieuwveer!BP43)*N$2/3*Data_nieuwveer!BZ43/1000))</f>
        <v>12.399583344025681</v>
      </c>
      <c r="U43" s="54">
        <f>IF(ISBLANK(Data_nieuwveer!BZ43),0,Data_nieuwveer!BF43*(D$2/3+H$2/3)/(Data_nieuwveer!BH43*Data_nieuwveer!BI43+(Data_nieuwveer!F43+Data_nieuwveer!BP43)*N$2/3*Data_nieuwveer!BZ43/1000))</f>
        <v>14.198335884299619</v>
      </c>
      <c r="V43" s="54">
        <f>AVERAGE(S43:U43)</f>
        <v>14.676573823699009</v>
      </c>
      <c r="W43" s="54">
        <f>V43*D$2/(D$2+H$2)</f>
        <v>6.9451986398533849</v>
      </c>
      <c r="X43" s="50">
        <f>IF(ISBLANK(Data_nieuwveer!BZ43),0,Data_nieuwveer!BJ43*(D$3+H$3)/(Data_nieuwveer!BM43*Data_nieuwveer!BN43+(Data_nieuwveer!F43+Data_nieuwveer!BP43)*N$3*Data_nieuwveer!BZ43/1000))</f>
        <v>13.452026514866233</v>
      </c>
      <c r="Y43" s="50">
        <f>X43*D$3/(D$3+H$3)</f>
        <v>6.4527470725209772</v>
      </c>
      <c r="Z43" s="54">
        <f>Y43*$J$2</f>
        <v>3.8716482435125861</v>
      </c>
      <c r="AA43" s="55">
        <f>IF(ISBLANK(Data_nieuwveer!BZ43),0,'Edited data B'!P43*(D$2+H$2+D$3+H$3)/((Data_nieuwveer!AZ43*Data_nieuwveer!BA43+Data_nieuwveer!BD43*Data_nieuwveer!BE43+Data_nieuwveer!BH43*Data_nieuwveer!BI43+Data_nieuwveer!BM43*Data_nieuwveer!BN43)+(Data_nieuwveer!F43+Data_nieuwveer!BP43)*Data_nieuwveer!BZ43/1000))</f>
        <v>10.96444399466483</v>
      </c>
      <c r="AB43" s="41">
        <f>D$3/(Data_nieuwveer!AQ43*N$3)</f>
        <v>0.10948345464670754</v>
      </c>
      <c r="AC43" s="53">
        <f>(D$2+D$3)/(Data_nieuwveer!AQ43)</f>
        <v>0.11375634550446961</v>
      </c>
      <c r="AD43">
        <f>((E43-E42)*($D$3+H$3)+(Data_nieuwveer!F43+Data_nieuwveer!BP43)*N$3*Data_nieuwveer!BZ43/1000+Data_nieuwveer!BM43*Data_nieuwveer!BN43)/(Data_nieuwveer!AQ43*N$3*Data_nieuwveer!AR43/1000-((Data_nieuwveer!F43+Data_nieuwveer!BP43)*N$3+Data_nieuwveer!BM43)*Data_nieuwveer!BR43/1000/$P$2)</f>
        <v>-1.0674507537462941</v>
      </c>
      <c r="AE43">
        <f>((F43-F42)*(D$2+H$2+$D$3+H$3)+(Data_nieuwveer!F43+Data_nieuwveer!BP43)*Data_nieuwveer!BZ43/1000+(Data_nieuwveer!AZ43*Data_nieuwveer!BA43+Data_nieuwveer!BD43*Data_nieuwveer!BE43+Data_nieuwveer!BH43*Data_nieuwveer!BI43+Data_nieuwveer!BM43*Data_nieuwveer!BN43))/(Data_nieuwveer!AQ43*Data_nieuwveer!AR43/1000-((Data_nieuwveer!F43+Data_nieuwveer!BP43)+Data_nieuwveer!AZ43+Data_nieuwveer!BD43+Data_nieuwveer!BH43+Data_nieuwveer!BM43)*Data_nieuwveer!BR43/1000/$P$2)</f>
        <v>-2.1667326944038576</v>
      </c>
      <c r="AF43">
        <f>(Data_nieuwveer!AQ43*Data_nieuwveer!AR43-(Data_nieuwveer!BP43+Data_nieuwveer!F43)*Data_nieuwveer!BR43)/(Data_nieuwveer!AQ43*Data_nieuwveer!AR43)</f>
        <v>0.57521793953841927</v>
      </c>
    </row>
    <row r="44" spans="1:32" x14ac:dyDescent="0.3">
      <c r="A44" s="2">
        <f>Data_nieuwveer!A44</f>
        <v>41583</v>
      </c>
      <c r="B44" s="52"/>
      <c r="C44" s="21"/>
      <c r="D44" s="21">
        <f>AVERAGE(Data_nieuwveer!AX44,Data_nieuwveer!BB44,Data_nieuwveer!BF44)</f>
        <v>2.4556666666666671</v>
      </c>
      <c r="E44">
        <f>Data_nieuwveer!BJ44</f>
        <v>3.0750000000000002</v>
      </c>
      <c r="F44">
        <f t="shared" si="3"/>
        <v>2.7179374977892548</v>
      </c>
      <c r="G44" s="21"/>
      <c r="O44">
        <f t="shared" si="1"/>
        <v>2.3786029411764709</v>
      </c>
      <c r="P44" s="23">
        <f t="shared" si="4"/>
        <v>2.1223894284207274</v>
      </c>
      <c r="Q44" s="24"/>
      <c r="R44" s="23"/>
      <c r="S44" s="54"/>
      <c r="T44" s="54"/>
      <c r="U44" s="54"/>
      <c r="V44" s="54"/>
      <c r="W44" s="54"/>
      <c r="X44" s="50"/>
      <c r="Y44" s="50"/>
      <c r="Z44" s="54"/>
      <c r="AA44" s="55"/>
      <c r="AB44" s="41">
        <f>D$3/(Data_nieuwveer!AQ44*N$3)</f>
        <v>9.5755779443566461E-2</v>
      </c>
      <c r="AC44" s="53">
        <f>(D$2+D$3)/(Data_nieuwveer!AQ44)</f>
        <v>9.9492910281121755E-2</v>
      </c>
    </row>
    <row r="45" spans="1:32" x14ac:dyDescent="0.3">
      <c r="A45" s="16">
        <f>Data_nieuwveer!A45</f>
        <v>41584</v>
      </c>
      <c r="B45" s="52"/>
      <c r="C45" s="21"/>
      <c r="D45" s="21">
        <f>AVERAGE(Data_nieuwveer!AX45,Data_nieuwveer!BB45,Data_nieuwveer!BF45)</f>
        <v>2.9906666666666664</v>
      </c>
      <c r="E45">
        <f>Data_nieuwveer!BJ45</f>
        <v>3.5790000000000002</v>
      </c>
      <c r="F45">
        <f t="shared" si="3"/>
        <v>3.2398098404725686</v>
      </c>
      <c r="G45" s="21"/>
      <c r="O45">
        <f t="shared" si="1"/>
        <v>2.7684617647058825</v>
      </c>
      <c r="P45" s="23">
        <f t="shared" si="4"/>
        <v>2.5299103313101976</v>
      </c>
      <c r="Q45" s="24"/>
      <c r="R45" s="23"/>
      <c r="S45" s="54"/>
      <c r="T45" s="54"/>
      <c r="U45" s="54"/>
      <c r="V45" s="54"/>
      <c r="W45" s="54"/>
      <c r="X45" s="50"/>
      <c r="Y45" s="50"/>
      <c r="Z45" s="54"/>
      <c r="AA45" s="55"/>
      <c r="AB45" s="41">
        <f>D$3/(Data_nieuwveer!AQ45*N$3)</f>
        <v>0.11104980841774616</v>
      </c>
      <c r="AC45" s="53">
        <f>(D$2+D$3)/(Data_nieuwveer!AQ45)</f>
        <v>0.11538383050971973</v>
      </c>
    </row>
    <row r="46" spans="1:32" x14ac:dyDescent="0.3">
      <c r="A46" s="2">
        <f>Data_nieuwveer!A46</f>
        <v>41585</v>
      </c>
      <c r="B46" s="52"/>
      <c r="C46" s="21"/>
      <c r="D46" s="21">
        <f>AVERAGE(Data_nieuwveer!AX46,Data_nieuwveer!BB46,Data_nieuwveer!BF46)</f>
        <v>3.2833333333333332</v>
      </c>
      <c r="E46">
        <f>Data_nieuwveer!BJ46</f>
        <v>3.51</v>
      </c>
      <c r="F46">
        <f t="shared" si="3"/>
        <v>3.3793205051112443</v>
      </c>
      <c r="G46" s="21"/>
      <c r="O46">
        <f t="shared" si="1"/>
        <v>2.7150882352941177</v>
      </c>
      <c r="P46" s="23">
        <f t="shared" si="4"/>
        <v>2.6388517473736339</v>
      </c>
      <c r="Q46" s="24"/>
      <c r="R46" s="23"/>
      <c r="S46" s="54"/>
      <c r="T46" s="54"/>
      <c r="U46" s="54"/>
      <c r="V46" s="54"/>
      <c r="W46" s="54"/>
      <c r="X46" s="50"/>
      <c r="Y46" s="50"/>
      <c r="Z46" s="54"/>
      <c r="AA46" s="55"/>
      <c r="AB46" s="41">
        <f>D$3/(Data_nieuwveer!AQ46*N$3)</f>
        <v>0.11222423369277459</v>
      </c>
      <c r="AC46" s="53">
        <f>(D$2+D$3)/(Data_nieuwveer!AQ46)</f>
        <v>0.11660409093889988</v>
      </c>
    </row>
    <row r="47" spans="1:32" x14ac:dyDescent="0.3">
      <c r="A47" s="2">
        <f>Data_nieuwveer!A47</f>
        <v>41586</v>
      </c>
      <c r="B47" s="52"/>
      <c r="C47" s="21"/>
      <c r="D47" s="21">
        <f>AVERAGE(Data_nieuwveer!AX47,Data_nieuwveer!BB47,Data_nieuwveer!BF47)</f>
        <v>3.1476666666666664</v>
      </c>
      <c r="E47">
        <f>Data_nieuwveer!BJ47</f>
        <v>3.7879999999999998</v>
      </c>
      <c r="F47">
        <f t="shared" si="3"/>
        <v>3.418830426939266</v>
      </c>
      <c r="G47" s="21">
        <f>IF(ISBLANK(Data_nieuwveer!AY47),0,AVERAGE(Data_nieuwveer!AX47*(1-Data_nieuwveer!AY47/100),Data_nieuwveer!BB47*(1-Data_nieuwveer!BC47/100),Data_nieuwveer!BF47*(1-Data_nieuwveer!BG47/100)))</f>
        <v>2.42388</v>
      </c>
      <c r="H47">
        <f>IF(ISBLANK(Data_nieuwveer!BK47),0,Data_nieuwveer!BJ47*(1-Data_nieuwveer!BK47/100))</f>
        <v>2.8409999999999997</v>
      </c>
      <c r="I47">
        <f>(M47*$D$2+N47*$D$3)/$D$4</f>
        <v>0.75635209225000888</v>
      </c>
      <c r="J47">
        <f>(Data_nieuwveer!AX47*(1-Data_nieuwveer!AY47/100)/Data_nieuwveer!AX47)</f>
        <v>0.75000000000000011</v>
      </c>
      <c r="K47">
        <f>(Data_nieuwveer!BB47*(1-Data_nieuwveer!BC47/100)/Data_nieuwveer!BB47)</f>
        <v>0.78</v>
      </c>
      <c r="L47">
        <f>(Data_nieuwveer!BF47*(1-Data_nieuwveer!BG47/100)/Data_nieuwveer!BF47)</f>
        <v>0.78</v>
      </c>
      <c r="M47">
        <f>(Data_nieuwveer!BJ47*(1-Data_nieuwveer!BK47/100)/Data_nieuwveer!BJ47)</f>
        <v>0.75</v>
      </c>
      <c r="N47">
        <f>AVERAGE(J47:M47)</f>
        <v>0.76500000000000012</v>
      </c>
      <c r="O47">
        <f t="shared" si="1"/>
        <v>2.9301294117647059</v>
      </c>
      <c r="P47" s="23">
        <f t="shared" si="4"/>
        <v>2.6697043480952218</v>
      </c>
      <c r="Q47" s="24"/>
      <c r="R47" s="23"/>
      <c r="S47" s="54"/>
      <c r="T47" s="54"/>
      <c r="U47" s="54"/>
      <c r="V47" s="54"/>
      <c r="W47" s="54"/>
      <c r="X47" s="50"/>
      <c r="Y47" s="50"/>
      <c r="Z47" s="54"/>
      <c r="AA47" s="55"/>
      <c r="AB47" s="41">
        <f>D$3/(Data_nieuwveer!AQ47*N$3)</f>
        <v>0.11007537202386426</v>
      </c>
      <c r="AC47" s="53">
        <f>(D$2+D$3)/(Data_nieuwveer!AQ47)</f>
        <v>0.11437136407401714</v>
      </c>
    </row>
    <row r="48" spans="1:32" x14ac:dyDescent="0.3">
      <c r="A48" s="2">
        <f>Data_nieuwveer!A48</f>
        <v>41587</v>
      </c>
      <c r="B48" s="52"/>
      <c r="C48" s="21"/>
      <c r="D48" s="21">
        <f>AVERAGE(Data_nieuwveer!AX48,Data_nieuwveer!BB48,Data_nieuwveer!BF48)</f>
        <v>3.044</v>
      </c>
      <c r="E48">
        <f>Data_nieuwveer!BJ48</f>
        <v>3.8050000000000002</v>
      </c>
      <c r="F48">
        <f t="shared" si="3"/>
        <v>3.3662628134837824</v>
      </c>
      <c r="G48" s="21"/>
      <c r="O48">
        <f t="shared" si="1"/>
        <v>2.9432794117647063</v>
      </c>
      <c r="P48" s="23">
        <f t="shared" si="4"/>
        <v>2.6286552264116017</v>
      </c>
      <c r="Q48" s="24"/>
      <c r="R48" s="23"/>
      <c r="S48" s="54"/>
      <c r="T48" s="54"/>
      <c r="U48" s="54"/>
      <c r="V48" s="54"/>
      <c r="W48" s="54"/>
      <c r="X48" s="50"/>
      <c r="Y48" s="50"/>
      <c r="Z48" s="54"/>
      <c r="AA48" s="55"/>
      <c r="AB48" s="41">
        <f>D$3/(Data_nieuwveer!AQ48*N$3)</f>
        <v>0.10775429500591426</v>
      </c>
      <c r="AC48" s="53">
        <f>(D$2+D$3)/(Data_nieuwveer!AQ48)</f>
        <v>0.11195970068571406</v>
      </c>
    </row>
    <row r="49" spans="1:32" x14ac:dyDescent="0.3">
      <c r="A49" s="2">
        <f>Data_nieuwveer!A49</f>
        <v>41588</v>
      </c>
      <c r="B49" s="52">
        <f>Data_nieuwveer!AS49/Data_nieuwveer!AR49</f>
        <v>0.35632183908045978</v>
      </c>
      <c r="C49" s="21">
        <f>Data_nieuwveer!AR49*B$8</f>
        <v>32.131089743589747</v>
      </c>
      <c r="D49" s="21">
        <f>AVERAGE(Data_nieuwveer!AX49,Data_nieuwveer!BB49,Data_nieuwveer!BF49)</f>
        <v>3.0553333333333335</v>
      </c>
      <c r="E49">
        <f>Data_nieuwveer!BJ49</f>
        <v>3.8479999999999999</v>
      </c>
      <c r="F49">
        <f t="shared" si="3"/>
        <v>3.3910061193449121</v>
      </c>
      <c r="G49" s="21"/>
      <c r="O49">
        <f t="shared" si="1"/>
        <v>2.976541176470588</v>
      </c>
      <c r="P49" s="23">
        <f t="shared" si="4"/>
        <v>2.6479768373119836</v>
      </c>
      <c r="Q49" s="24">
        <f>'Edited data B'!C49*Data_nieuwveer!AQ49*$N$3/($D$3*O49*1000)</f>
        <v>9.3515761419324661E-2</v>
      </c>
      <c r="R49" s="23">
        <f>'Edited data B'!C49*Data_nieuwveer!AQ49/($D$4*P49*1000)</f>
        <v>0.10117084756194633</v>
      </c>
      <c r="S49" s="54">
        <f>IF(ISBLANK(Data_nieuwveer!BZ49),0,Data_nieuwveer!AX49*(D$2/3+H$2/3)/(Data_nieuwveer!AZ49*Data_nieuwveer!BA49+(Data_nieuwveer!F49+Data_nieuwveer!BP49)*N$2/3*Data_nieuwveer!BZ49/1000))</f>
        <v>20.797057487038618</v>
      </c>
      <c r="T49" s="54">
        <f>IF(ISBLANK(Data_nieuwveer!BZ49),0,Data_nieuwveer!BB49*(D$2/3+H$2/3)/(Data_nieuwveer!BD49*Data_nieuwveer!BE49+(Data_nieuwveer!F49+Data_nieuwveer!BP49)*N$2/3*Data_nieuwveer!BZ49/1000))</f>
        <v>16.761957994236511</v>
      </c>
      <c r="U49" s="54">
        <f>IF(ISBLANK(Data_nieuwveer!BZ49),0,Data_nieuwveer!BF49*(D$2/3+H$2/3)/(Data_nieuwveer!BH49*Data_nieuwveer!BI49+(Data_nieuwveer!F49+Data_nieuwveer!BP49)*N$2/3*Data_nieuwveer!BZ49/1000))</f>
        <v>24.706212405030005</v>
      </c>
      <c r="V49" s="54">
        <f>AVERAGE(S49:U49)</f>
        <v>20.75507596210171</v>
      </c>
      <c r="W49" s="54">
        <f>V49*D$2/(D$2+H$2)</f>
        <v>9.8216468689224445</v>
      </c>
      <c r="X49" s="50">
        <f>IF(ISBLANK(Data_nieuwveer!BZ49),0,Data_nieuwveer!BJ49*(D$3+H$3)/(Data_nieuwveer!BM49*Data_nieuwveer!BN49+(Data_nieuwveer!F49+Data_nieuwveer!BP49)*N$3*Data_nieuwveer!BZ49/1000))</f>
        <v>19.686078428655538</v>
      </c>
      <c r="Y49" s="50">
        <f>X49*D$3/(D$3+H$3)</f>
        <v>9.4431337025348228</v>
      </c>
      <c r="Z49" s="54">
        <f>Y49*$J$2</f>
        <v>5.6658802215208937</v>
      </c>
      <c r="AA49" s="55">
        <f>IF(ISBLANK(Data_nieuwveer!BZ49),0,'Edited data B'!P49*(D$2+H$2+D$3+H$3)/((Data_nieuwveer!AZ49*Data_nieuwveer!BA49+Data_nieuwveer!BD49*Data_nieuwveer!BE49+Data_nieuwveer!BH49*Data_nieuwveer!BI49+Data_nieuwveer!BM49*Data_nieuwveer!BN49)+(Data_nieuwveer!F49+Data_nieuwveer!BP49)*Data_nieuwveer!BZ49/1000))</f>
        <v>15.547985248134333</v>
      </c>
      <c r="AB49" s="41">
        <f>D$3/(Data_nieuwveer!AQ49*N$3)</f>
        <v>0.11543267129115993</v>
      </c>
      <c r="AC49" s="53">
        <f>(D$2+D$3)/(Data_nieuwveer!AQ49)</f>
        <v>0.1199377465780027</v>
      </c>
      <c r="AD49">
        <f>((E49-E48)*($D$3+H$3)+(Data_nieuwveer!F49+Data_nieuwveer!BP49)*N$3*Data_nieuwveer!BZ49/1000+Data_nieuwveer!BM49*Data_nieuwveer!BN49)/(Data_nieuwveer!AQ49*N$3*Data_nieuwveer!AR49/1000-((Data_nieuwveer!F49+Data_nieuwveer!BP49)*N$3+Data_nieuwveer!BM49)*Data_nieuwveer!BR49/1000/$P$2)</f>
        <v>0.9076902678723493</v>
      </c>
      <c r="AE49">
        <f>((F49-F48)*(D$2+H$2+$D$3+H$3)+(Data_nieuwveer!F49+Data_nieuwveer!BP49)*Data_nieuwveer!BZ49/1000+(Data_nieuwveer!AZ49*Data_nieuwveer!BA49+Data_nieuwveer!BD49*Data_nieuwveer!BE49+Data_nieuwveer!BH49*Data_nieuwveer!BI49+Data_nieuwveer!BM49*Data_nieuwveer!BN49))/(Data_nieuwveer!AQ49*Data_nieuwveer!AR49/1000-((Data_nieuwveer!F49+Data_nieuwveer!BP49)+Data_nieuwveer!AZ49+Data_nieuwveer!BD49+Data_nieuwveer!BH49+Data_nieuwveer!BM49)*Data_nieuwveer!BR49/1000/$P$2)</f>
        <v>0.77724048788780942</v>
      </c>
      <c r="AF49">
        <f>(Data_nieuwveer!AQ49*Data_nieuwveer!AR49-(Data_nieuwveer!BP49+Data_nieuwveer!F49)*Data_nieuwveer!BR49)/(Data_nieuwveer!AQ49*Data_nieuwveer!AR49)</f>
        <v>0.68108003341562406</v>
      </c>
    </row>
    <row r="50" spans="1:32" x14ac:dyDescent="0.3">
      <c r="A50" s="2">
        <f>Data_nieuwveer!A50</f>
        <v>41589</v>
      </c>
      <c r="B50" s="52"/>
      <c r="C50" s="21"/>
      <c r="D50" s="21">
        <f>AVERAGE(Data_nieuwveer!AX50,Data_nieuwveer!BB50,Data_nieuwveer!BF50)</f>
        <v>3.063333333333333</v>
      </c>
      <c r="E50">
        <f>Data_nieuwveer!BJ50</f>
        <v>4.45</v>
      </c>
      <c r="F50">
        <f t="shared" si="3"/>
        <v>3.6505489724452618</v>
      </c>
      <c r="G50" s="21"/>
      <c r="O50">
        <f t="shared" si="1"/>
        <v>3.4422058823529413</v>
      </c>
      <c r="P50" s="23">
        <f t="shared" si="4"/>
        <v>2.8506492711300506</v>
      </c>
      <c r="Q50" s="24"/>
      <c r="R50" s="23"/>
      <c r="S50" s="54"/>
      <c r="T50" s="54"/>
      <c r="U50" s="54"/>
      <c r="V50" s="54"/>
      <c r="W50" s="54"/>
      <c r="X50" s="50"/>
      <c r="Y50" s="50"/>
      <c r="Z50" s="54"/>
      <c r="AA50" s="55"/>
      <c r="AB50" s="41">
        <f>D$3/(Data_nieuwveer!AQ50*N$3)</f>
        <v>0.12647996454673202</v>
      </c>
      <c r="AC50" s="53">
        <f>(D$2+D$3)/(Data_nieuwveer!AQ50)</f>
        <v>0.13141619062715426</v>
      </c>
    </row>
    <row r="51" spans="1:32" x14ac:dyDescent="0.3">
      <c r="A51" s="2">
        <f>Data_nieuwveer!A51</f>
        <v>41590</v>
      </c>
      <c r="B51" s="52"/>
      <c r="C51" s="21"/>
      <c r="D51" s="21">
        <f>AVERAGE(Data_nieuwveer!AX51,Data_nieuwveer!BB51,Data_nieuwveer!BF51)</f>
        <v>3.0056666666666665</v>
      </c>
      <c r="E51">
        <f>Data_nieuwveer!BJ51</f>
        <v>3.9790000000000001</v>
      </c>
      <c r="F51">
        <f t="shared" si="3"/>
        <v>3.4178468748894626</v>
      </c>
      <c r="G51" s="21"/>
      <c r="O51">
        <f t="shared" si="1"/>
        <v>3.077873529411765</v>
      </c>
      <c r="P51" s="23">
        <f t="shared" si="4"/>
        <v>2.6689363096563312</v>
      </c>
      <c r="Q51" s="24"/>
      <c r="R51" s="23"/>
      <c r="S51" s="54"/>
      <c r="T51" s="54"/>
      <c r="U51" s="54"/>
      <c r="V51" s="54"/>
      <c r="W51" s="54"/>
      <c r="X51" s="50"/>
      <c r="Y51" s="50"/>
      <c r="Z51" s="54"/>
      <c r="AA51" s="55"/>
      <c r="AB51" s="41">
        <f>D$3/(Data_nieuwveer!AQ51*N$3)</f>
        <v>0.12778687625365256</v>
      </c>
      <c r="AC51" s="53">
        <f>(D$2+D$3)/(Data_nieuwveer!AQ51)</f>
        <v>0.13277410813310098</v>
      </c>
    </row>
    <row r="52" spans="1:32" x14ac:dyDescent="0.3">
      <c r="A52" s="16">
        <f>Data_nieuwveer!A52</f>
        <v>41591</v>
      </c>
      <c r="B52" s="52"/>
      <c r="C52" s="21"/>
      <c r="D52" s="21">
        <f>AVERAGE(Data_nieuwveer!AX52,Data_nieuwveer!BB52,Data_nieuwveer!BF52)</f>
        <v>3.2159999999999997</v>
      </c>
      <c r="E52">
        <f>Data_nieuwveer!BJ52</f>
        <v>4.101</v>
      </c>
      <c r="F52">
        <f t="shared" si="3"/>
        <v>3.5907734427505216</v>
      </c>
      <c r="G52" s="21"/>
      <c r="O52">
        <f t="shared" si="1"/>
        <v>3.1722441176470588</v>
      </c>
      <c r="P52" s="23">
        <f t="shared" si="4"/>
        <v>2.803971614853717</v>
      </c>
      <c r="Q52" s="24"/>
      <c r="R52" s="23"/>
      <c r="S52" s="54"/>
      <c r="T52" s="54"/>
      <c r="U52" s="54"/>
      <c r="V52" s="54"/>
      <c r="W52" s="54"/>
      <c r="X52" s="50"/>
      <c r="Y52" s="50"/>
      <c r="Z52" s="54"/>
      <c r="AA52" s="55"/>
      <c r="AB52" s="41">
        <f>D$3/(Data_nieuwveer!AQ52*N$3)</f>
        <v>0.14051343034691041</v>
      </c>
      <c r="AC52" s="53">
        <f>(D$2+D$3)/(Data_nieuwveer!AQ52)</f>
        <v>0.14599735076081707</v>
      </c>
    </row>
    <row r="53" spans="1:32" x14ac:dyDescent="0.3">
      <c r="A53" s="2">
        <f>Data_nieuwveer!A53</f>
        <v>41592</v>
      </c>
      <c r="B53" s="52"/>
      <c r="C53" s="21"/>
      <c r="D53" s="21">
        <f>AVERAGE(Data_nieuwveer!AX53,Data_nieuwveer!BB53,Data_nieuwveer!BF53)</f>
        <v>2.99</v>
      </c>
      <c r="E53">
        <f>Data_nieuwveer!BJ53</f>
        <v>4.07</v>
      </c>
      <c r="F53">
        <f t="shared" si="3"/>
        <v>3.4473506420006368</v>
      </c>
      <c r="G53" s="21"/>
      <c r="O53">
        <f t="shared" si="1"/>
        <v>3.1482647058823532</v>
      </c>
      <c r="P53" s="23">
        <f t="shared" si="4"/>
        <v>2.6919752807387334</v>
      </c>
      <c r="Q53" s="24"/>
      <c r="R53" s="23"/>
      <c r="S53" s="54"/>
      <c r="T53" s="54"/>
      <c r="U53" s="54"/>
      <c r="V53" s="54"/>
      <c r="W53" s="54"/>
      <c r="X53" s="50"/>
      <c r="Y53" s="50"/>
      <c r="Z53" s="54"/>
      <c r="AA53" s="55"/>
      <c r="AB53" s="41">
        <f>D$3/(Data_nieuwveer!AQ53*N$3)</f>
        <v>0.14096148638306391</v>
      </c>
      <c r="AC53" s="53">
        <f>(D$2+D$3)/(Data_nieuwveer!AQ53)</f>
        <v>0.14646289340758969</v>
      </c>
    </row>
    <row r="54" spans="1:32" x14ac:dyDescent="0.3">
      <c r="A54" s="2">
        <f>Data_nieuwveer!A54</f>
        <v>41593</v>
      </c>
      <c r="B54" s="52"/>
      <c r="C54" s="21"/>
      <c r="D54" s="21">
        <f>AVERAGE(Data_nieuwveer!AX54,Data_nieuwveer!BB54,Data_nieuwveer!BF54)</f>
        <v>3.0513333333333335</v>
      </c>
      <c r="E54">
        <f>Data_nieuwveer!BJ54</f>
        <v>3.512</v>
      </c>
      <c r="F54">
        <f t="shared" si="3"/>
        <v>3.2464131442113824</v>
      </c>
      <c r="G54" s="21"/>
      <c r="O54">
        <f t="shared" si="1"/>
        <v>2.7166352941176473</v>
      </c>
      <c r="P54" s="23">
        <f t="shared" si="4"/>
        <v>2.5350667346709477</v>
      </c>
      <c r="Q54" s="24"/>
      <c r="R54" s="23"/>
      <c r="S54" s="54"/>
      <c r="T54" s="54"/>
      <c r="U54" s="54"/>
      <c r="V54" s="54"/>
      <c r="W54" s="54"/>
      <c r="X54" s="50"/>
      <c r="Y54" s="50"/>
      <c r="Z54" s="54"/>
      <c r="AA54" s="55"/>
      <c r="AB54" s="41">
        <f>D$3/(Data_nieuwveer!AQ54*N$3)</f>
        <v>0.12295526786296021</v>
      </c>
      <c r="AC54" s="53">
        <f>(D$2+D$3)/(Data_nieuwveer!AQ54)</f>
        <v>0.12775393302803617</v>
      </c>
    </row>
    <row r="55" spans="1:32" x14ac:dyDescent="0.3">
      <c r="A55" s="2">
        <f>Data_nieuwveer!A55</f>
        <v>41594</v>
      </c>
      <c r="B55" s="52"/>
      <c r="C55" s="21">
        <f>Data_nieuwveer!AR55*B$8</f>
        <v>24.005986590038315</v>
      </c>
      <c r="D55" s="21">
        <f>AVERAGE(Data_nieuwveer!AX55,Data_nieuwveer!BB55,Data_nieuwveer!BF55)</f>
        <v>2.9993333333333339</v>
      </c>
      <c r="E55">
        <f>Data_nieuwveer!BJ55</f>
        <v>3.5720000000000001</v>
      </c>
      <c r="F55">
        <f t="shared" si="3"/>
        <v>3.2418420996781161</v>
      </c>
      <c r="G55" s="21"/>
      <c r="O55">
        <f t="shared" si="1"/>
        <v>2.7630470588235294</v>
      </c>
      <c r="P55" s="23">
        <f t="shared" si="4"/>
        <v>2.5314972866604122</v>
      </c>
      <c r="Q55" s="24">
        <f>'Edited data B'!C55*Data_nieuwveer!AQ55*$N$3/($D$3*O55*1000)</f>
        <v>6.1700048654120987E-2</v>
      </c>
      <c r="R55" s="23">
        <f>'Edited data B'!C55*Data_nieuwveer!AQ55/($D$4*P55*1000)</f>
        <v>6.4814053461428101E-2</v>
      </c>
      <c r="S55" s="54">
        <f>IF(ISBLANK(Data_nieuwveer!BZ55),0,Data_nieuwveer!AX55*(D$2/3+H$2/3)/(Data_nieuwveer!AZ55*Data_nieuwveer!BA55+(Data_nieuwveer!F55+Data_nieuwveer!BP55)*N$2/3*Data_nieuwveer!BZ55/1000))</f>
        <v>17.949120469507804</v>
      </c>
      <c r="T55" s="54">
        <f>IF(ISBLANK(Data_nieuwveer!BZ55),0,Data_nieuwveer!BB55*(D$2/3+H$2/3)/(Data_nieuwveer!BD55*Data_nieuwveer!BE55+(Data_nieuwveer!F55+Data_nieuwveer!BP55)*N$2/3*Data_nieuwveer!BZ55/1000))</f>
        <v>17.780376138451114</v>
      </c>
      <c r="U55" s="54">
        <f>IF(ISBLANK(Data_nieuwveer!BZ55),0,Data_nieuwveer!BF55*(D$2/3+H$2/3)/(Data_nieuwveer!BH55*Data_nieuwveer!BI55+(Data_nieuwveer!F55+Data_nieuwveer!BP55)*N$2/3*Data_nieuwveer!BZ55/1000))</f>
        <v>37.218690860549458</v>
      </c>
      <c r="V55" s="54">
        <f>AVERAGE(S55:U55)</f>
        <v>24.316062489502794</v>
      </c>
      <c r="W55" s="54">
        <f>V55*D$2/(D$2+H$2)</f>
        <v>11.5067648728742</v>
      </c>
      <c r="X55" s="50">
        <f>IF(ISBLANK(Data_nieuwveer!BZ55),0,Data_nieuwveer!BJ55*(D$3+H$3)/(Data_nieuwveer!BM55*Data_nieuwveer!BN55+(Data_nieuwveer!F55+Data_nieuwveer!BP55)*N$3*Data_nieuwveer!BZ55/1000))</f>
        <v>19.609933656420072</v>
      </c>
      <c r="Y55" s="50">
        <f>X55*D$3/(D$3+H$3)</f>
        <v>9.4066081310466014</v>
      </c>
      <c r="Z55" s="54">
        <f>Y55*$J$2</f>
        <v>5.643964878627961</v>
      </c>
      <c r="AA55" s="55">
        <f>IF(ISBLANK(Data_nieuwveer!BZ55),0,'Edited data B'!P55*(D$2+H$2+D$3+H$3)/((Data_nieuwveer!AZ55*Data_nieuwveer!BA55+Data_nieuwveer!BD55*Data_nieuwveer!BE55+Data_nieuwveer!BH55*Data_nieuwveer!BI55+Data_nieuwveer!BM55*Data_nieuwveer!BN55)+(Data_nieuwveer!F55+Data_nieuwveer!BP55)*Data_nieuwveer!BZ55/1000))</f>
        <v>16.104062684701368</v>
      </c>
      <c r="AB55" s="41">
        <f>D$3/(Data_nieuwveer!AQ55*N$3)</f>
        <v>0.14081397913487803</v>
      </c>
      <c r="AC55" s="53">
        <f>(D$2+D$3)/(Data_nieuwveer!AQ55)</f>
        <v>0.14630962928614605</v>
      </c>
      <c r="AD55">
        <f>((E55-E54)*($D$3+H$3)+(Data_nieuwveer!F55+Data_nieuwveer!BP55)*N$3*Data_nieuwveer!BZ55/1000+Data_nieuwveer!BM55*Data_nieuwveer!BN55)/(Data_nieuwveer!AQ55*N$3*Data_nieuwveer!AR55/1000-((Data_nieuwveer!F55+Data_nieuwveer!BP55)*N$3+Data_nieuwveer!BM55)*Data_nieuwveer!BR55/1000/$P$2)</f>
        <v>1.7579490314233921</v>
      </c>
      <c r="AE55">
        <f>((F55-F54)*(D$2+H$2+$D$3+H$3)+(Data_nieuwveer!F55+Data_nieuwveer!BP55)*Data_nieuwveer!BZ55/1000+(Data_nieuwveer!AZ55*Data_nieuwveer!BA55+Data_nieuwveer!BD55*Data_nieuwveer!BE55+Data_nieuwveer!BH55*Data_nieuwveer!BI55+Data_nieuwveer!BM55*Data_nieuwveer!BN55))/(Data_nieuwveer!AQ55*Data_nieuwveer!AR55/1000-((Data_nieuwveer!F55+Data_nieuwveer!BP55)+Data_nieuwveer!AZ55+Data_nieuwveer!BD55+Data_nieuwveer!BH55+Data_nieuwveer!BM55)*Data_nieuwveer!BR55/1000/$P$2)</f>
        <v>1.1591657785467613</v>
      </c>
      <c r="AF55">
        <f>(Data_nieuwveer!AQ55*Data_nieuwveer!AR55-(Data_nieuwveer!BP55+Data_nieuwveer!F55)*Data_nieuwveer!BR55)/(Data_nieuwveer!AQ55*Data_nieuwveer!AR55)</f>
        <v>0.56041329744307378</v>
      </c>
    </row>
    <row r="56" spans="1:32" x14ac:dyDescent="0.3">
      <c r="A56" s="2">
        <f>Data_nieuwveer!A56</f>
        <v>41595</v>
      </c>
      <c r="B56" s="52"/>
      <c r="C56" s="21"/>
      <c r="D56" s="21">
        <f>AVERAGE(Data_nieuwveer!AX56,Data_nieuwveer!BB56,Data_nieuwveer!BF56)</f>
        <v>3.0283333333333338</v>
      </c>
      <c r="E56">
        <f>Data_nieuwveer!BJ56</f>
        <v>3.5720000000000001</v>
      </c>
      <c r="F56">
        <f t="shared" si="3"/>
        <v>3.2585613879947655</v>
      </c>
      <c r="G56" s="21"/>
      <c r="O56">
        <f t="shared" si="1"/>
        <v>2.7630470588235294</v>
      </c>
      <c r="P56" s="23">
        <f t="shared" si="4"/>
        <v>2.544553083860619</v>
      </c>
      <c r="Q56" s="24"/>
      <c r="R56" s="23"/>
      <c r="S56" s="54"/>
      <c r="T56" s="54"/>
      <c r="U56" s="54"/>
      <c r="V56" s="54"/>
      <c r="W56" s="54"/>
      <c r="X56" s="50"/>
      <c r="Y56" s="50"/>
      <c r="Z56" s="54"/>
      <c r="AA56" s="55"/>
      <c r="AB56" s="41">
        <f>D$3/(Data_nieuwveer!AQ56*N$3)</f>
        <v>0.14786235521512575</v>
      </c>
      <c r="AC56" s="53">
        <f>(D$2+D$3)/(Data_nieuwveer!AQ56)</f>
        <v>0.15363308749467097</v>
      </c>
    </row>
    <row r="57" spans="1:32" x14ac:dyDescent="0.3">
      <c r="A57" s="2">
        <f>Data_nieuwveer!A57</f>
        <v>41596</v>
      </c>
      <c r="B57" s="52"/>
      <c r="C57" s="21"/>
      <c r="D57" s="21">
        <f>AVERAGE(Data_nieuwveer!AX57,Data_nieuwveer!BB57,Data_nieuwveer!BF57)</f>
        <v>2.8200000000000003</v>
      </c>
      <c r="E57">
        <f>Data_nieuwveer!BJ57</f>
        <v>3.51</v>
      </c>
      <c r="F57">
        <f t="shared" si="3"/>
        <v>3.1121962435004065</v>
      </c>
      <c r="G57" s="21"/>
      <c r="O57">
        <f t="shared" si="1"/>
        <v>2.7150882352941177</v>
      </c>
      <c r="P57" s="23">
        <f t="shared" si="4"/>
        <v>2.4302591254392887</v>
      </c>
      <c r="Q57" s="24"/>
      <c r="R57" s="23"/>
      <c r="S57" s="54"/>
      <c r="T57" s="54"/>
      <c r="U57" s="54"/>
      <c r="V57" s="54"/>
      <c r="W57" s="54"/>
      <c r="X57" s="50"/>
      <c r="Y57" s="50"/>
      <c r="Z57" s="54"/>
      <c r="AA57" s="55"/>
      <c r="AB57" s="41">
        <f>D$3/(Data_nieuwveer!AQ57*N$3)</f>
        <v>0.14936590604669917</v>
      </c>
      <c r="AC57" s="53">
        <f>(D$2+D$3)/(Data_nieuwveer!AQ57)</f>
        <v>0.15519531850420501</v>
      </c>
    </row>
    <row r="58" spans="1:32" x14ac:dyDescent="0.3">
      <c r="A58" s="2">
        <f>Data_nieuwveer!A58</f>
        <v>41597</v>
      </c>
      <c r="B58" s="52"/>
      <c r="C58" s="21"/>
      <c r="D58" s="21">
        <f>AVERAGE(Data_nieuwveer!AX58,Data_nieuwveer!BB58,Data_nieuwveer!BF58)</f>
        <v>2.7330000000000001</v>
      </c>
      <c r="E58">
        <f>Data_nieuwveer!BJ58</f>
        <v>3.355</v>
      </c>
      <c r="F58">
        <f t="shared" si="3"/>
        <v>2.9964000919670335</v>
      </c>
      <c r="G58" s="21"/>
      <c r="O58">
        <f t="shared" si="1"/>
        <v>2.5951911764705882</v>
      </c>
      <c r="P58" s="23">
        <f t="shared" si="4"/>
        <v>2.3398359541683753</v>
      </c>
      <c r="Q58" s="24"/>
      <c r="R58" s="23"/>
      <c r="S58" s="54"/>
      <c r="T58" s="54"/>
      <c r="U58" s="54"/>
      <c r="V58" s="54"/>
      <c r="W58" s="54"/>
      <c r="X58" s="50"/>
      <c r="Y58" s="50"/>
      <c r="Z58" s="54"/>
      <c r="AA58" s="55"/>
      <c r="AB58" s="41">
        <f>D$3/(Data_nieuwveer!AQ58*N$3)</f>
        <v>0.1385717915195962</v>
      </c>
      <c r="AC58" s="53">
        <f>(D$2+D$3)/(Data_nieuwveer!AQ58)</f>
        <v>0.14397993417492663</v>
      </c>
    </row>
    <row r="59" spans="1:32" x14ac:dyDescent="0.3">
      <c r="A59" s="2">
        <f>Data_nieuwveer!A59</f>
        <v>41598</v>
      </c>
      <c r="B59" s="52"/>
      <c r="C59" s="21"/>
      <c r="D59" s="21">
        <f>AVERAGE(Data_nieuwveer!AX59,Data_nieuwveer!BB59,Data_nieuwveer!BF59)</f>
        <v>2.8140000000000001</v>
      </c>
      <c r="E59">
        <f>Data_nieuwveer!BJ59</f>
        <v>3.258</v>
      </c>
      <c r="F59">
        <f t="shared" si="3"/>
        <v>3.0020219306002618</v>
      </c>
      <c r="G59" s="21"/>
      <c r="O59">
        <f t="shared" si="1"/>
        <v>2.5201588235294117</v>
      </c>
      <c r="P59" s="23">
        <f t="shared" si="4"/>
        <v>2.3442259487481465</v>
      </c>
      <c r="Q59" s="24"/>
      <c r="R59" s="23"/>
      <c r="S59" s="54"/>
      <c r="T59" s="54"/>
      <c r="U59" s="54"/>
      <c r="V59" s="54"/>
      <c r="W59" s="54"/>
      <c r="X59" s="50"/>
      <c r="Y59" s="50"/>
      <c r="Z59" s="54"/>
      <c r="AA59" s="55"/>
      <c r="AB59" s="41">
        <f>D$3/(Data_nieuwveer!AQ59*N$3)</f>
        <v>0.13098991514420341</v>
      </c>
      <c r="AC59" s="53">
        <f>(D$2+D$3)/(Data_nieuwveer!AQ59)</f>
        <v>0.13610215436505019</v>
      </c>
    </row>
    <row r="60" spans="1:32" x14ac:dyDescent="0.3">
      <c r="A60" s="2">
        <f>Data_nieuwveer!A60</f>
        <v>41599</v>
      </c>
      <c r="B60" s="52"/>
      <c r="C60" s="21"/>
      <c r="D60" s="21">
        <f>AVERAGE(Data_nieuwveer!AX60,Data_nieuwveer!BB60,Data_nieuwveer!BF60)</f>
        <v>2.9499999999999997</v>
      </c>
      <c r="E60">
        <f>Data_nieuwveer!BJ60</f>
        <v>3.44</v>
      </c>
      <c r="F60">
        <f t="shared" si="3"/>
        <v>3.1575016801669555</v>
      </c>
      <c r="G60" s="21"/>
      <c r="O60">
        <f t="shared" si="1"/>
        <v>2.6609411764705881</v>
      </c>
      <c r="P60" s="23">
        <f t="shared" si="4"/>
        <v>2.465637341424491</v>
      </c>
      <c r="Q60" s="24"/>
      <c r="R60" s="23"/>
      <c r="S60" s="54"/>
      <c r="T60" s="54"/>
      <c r="U60" s="54"/>
      <c r="V60" s="54"/>
      <c r="W60" s="54"/>
      <c r="X60" s="50"/>
      <c r="Y60" s="50"/>
      <c r="Z60" s="54"/>
      <c r="AA60" s="55"/>
      <c r="AB60" s="41">
        <f>D$3/(Data_nieuwveer!AQ60*N$3)</f>
        <v>0.12145482796991877</v>
      </c>
      <c r="AC60" s="53">
        <f>(D$2+D$3)/(Data_nieuwveer!AQ60)</f>
        <v>0.12619493436990747</v>
      </c>
    </row>
    <row r="61" spans="1:32" x14ac:dyDescent="0.3">
      <c r="A61" s="16">
        <f>Data_nieuwveer!A61</f>
        <v>41600</v>
      </c>
      <c r="B61" s="52"/>
      <c r="C61" s="21">
        <f>Data_nieuwveer!AR61*B$8</f>
        <v>33.239058355437663</v>
      </c>
      <c r="D61" s="21">
        <f>AVERAGE(Data_nieuwveer!AX61,Data_nieuwveer!BB61,Data_nieuwveer!BF61)</f>
        <v>2.8706666666666667</v>
      </c>
      <c r="E61">
        <f>Data_nieuwveer!BJ61</f>
        <v>3.351</v>
      </c>
      <c r="F61">
        <f t="shared" si="3"/>
        <v>3.0740747762725054</v>
      </c>
      <c r="G61" s="21">
        <f>IF(ISBLANK(Data_nieuwveer!AY61),0,AVERAGE(Data_nieuwveer!AX61*(1-Data_nieuwveer!AY61/100),Data_nieuwveer!BB61*(1-Data_nieuwveer!BC61/100),Data_nieuwveer!BF61*(1-Data_nieuwveer!BG61/100)))</f>
        <v>2.1836799999999998</v>
      </c>
      <c r="H61">
        <f>IF(ISBLANK(Data_nieuwveer!BK61),0,Data_nieuwveer!BJ61*(1-Data_nieuwveer!BK61/100))</f>
        <v>2.4797400000000001</v>
      </c>
      <c r="I61">
        <f>(M61*$D$2+N61*$D$3)/$D$4</f>
        <v>0.74635209225000898</v>
      </c>
      <c r="J61">
        <f>(Data_nieuwveer!AX61*(1-Data_nieuwveer!AY61/100)/Data_nieuwveer!AX61)</f>
        <v>0.74</v>
      </c>
      <c r="K61">
        <f>(Data_nieuwveer!BB61*(1-Data_nieuwveer!BC61/100)/Data_nieuwveer!BB61)</f>
        <v>0.76</v>
      </c>
      <c r="L61">
        <f>(Data_nieuwveer!BF61*(1-Data_nieuwveer!BG61/100)/Data_nieuwveer!BF61)</f>
        <v>0.78</v>
      </c>
      <c r="M61">
        <f>(Data_nieuwveer!BJ61*(1-Data_nieuwveer!BK61/100)/Data_nieuwveer!BJ61)</f>
        <v>0.74</v>
      </c>
      <c r="N61">
        <f>AVERAGE(J61:M61)</f>
        <v>0.75500000000000012</v>
      </c>
      <c r="O61">
        <f t="shared" si="1"/>
        <v>2.5920970588235295</v>
      </c>
      <c r="P61" s="23">
        <f t="shared" si="4"/>
        <v>2.4004907444127954</v>
      </c>
      <c r="Q61" s="24">
        <f>'Edited data B'!C61*Data_nieuwveer!AQ61*$N$3/($D$3*O61*1000)</f>
        <v>8.6436104174241038E-2</v>
      </c>
      <c r="R61" s="23">
        <f>'Edited data B'!C61*Data_nieuwveer!AQ61/($D$4*P61*1000)</f>
        <v>8.9829559249968369E-2</v>
      </c>
      <c r="S61" s="54">
        <f>IF(ISBLANK(Data_nieuwveer!BZ61),0,Data_nieuwveer!AX61*(D$2/3+H$2/3)/(Data_nieuwveer!AZ61*Data_nieuwveer!BA61+(Data_nieuwveer!F61+Data_nieuwveer!BP61)*N$2/3*Data_nieuwveer!BZ61/1000))</f>
        <v>25.930830038691429</v>
      </c>
      <c r="T61" s="54">
        <f>IF(ISBLANK(Data_nieuwveer!BZ61),0,Data_nieuwveer!BB61*(D$2/3+H$2/3)/(Data_nieuwveer!BD61*Data_nieuwveer!BE61+(Data_nieuwveer!F61+Data_nieuwveer!BP61)*N$2/3*Data_nieuwveer!BZ61/1000))</f>
        <v>25.489855555231696</v>
      </c>
      <c r="U61" s="54">
        <f>IF(ISBLANK(Data_nieuwveer!BZ61),0,Data_nieuwveer!BF61*(D$2/3+H$2/3)/(Data_nieuwveer!BH61*Data_nieuwveer!BI61+(Data_nieuwveer!F61+Data_nieuwveer!BP61)*N$2/3*Data_nieuwveer!BZ61/1000))</f>
        <v>45.543020449250548</v>
      </c>
      <c r="V61" s="54">
        <f>AVERAGE(S61:U61)</f>
        <v>32.32123534772456</v>
      </c>
      <c r="W61" s="54">
        <f>V61*D$2/(D$2+H$2)</f>
        <v>15.294945705442693</v>
      </c>
      <c r="X61" s="50">
        <f>IF(ISBLANK(Data_nieuwveer!BZ61),0,Data_nieuwveer!BJ61*(D$3+H$3)/(Data_nieuwveer!BM61*Data_nieuwveer!BN61+(Data_nieuwveer!F61+Data_nieuwveer!BP61)*N$3*Data_nieuwveer!BZ61/1000))</f>
        <v>20.422982560886716</v>
      </c>
      <c r="Y61" s="50">
        <f>X61*D$3/(D$3+H$3)</f>
        <v>9.7966162039801166</v>
      </c>
      <c r="Z61" s="54">
        <f>Y61*$J$2</f>
        <v>5.8779697223880696</v>
      </c>
      <c r="AA61" s="55">
        <f>IF(ISBLANK(Data_nieuwveer!BZ61),0,'Edited data B'!P61*(D$2+H$2+D$3+H$3)/((Data_nieuwveer!AZ61*Data_nieuwveer!BA61+Data_nieuwveer!BD61*Data_nieuwveer!BE61+Data_nieuwveer!BH61*Data_nieuwveer!BI61+Data_nieuwveer!BM61*Data_nieuwveer!BN61)+(Data_nieuwveer!F61+Data_nieuwveer!BP61)*Data_nieuwveer!BZ61/1000))</f>
        <v>19.443941680737169</v>
      </c>
      <c r="AB61" s="41">
        <f>D$3/(Data_nieuwveer!AQ61*N$3)</f>
        <v>0.1483550275092502</v>
      </c>
      <c r="AC61" s="53">
        <f>(D$2+D$3)/(Data_nieuwveer!AQ61)</f>
        <v>0.15414498767074553</v>
      </c>
      <c r="AD61">
        <f>((E61-E60)*($D$3+H$3)+(Data_nieuwveer!F61+Data_nieuwveer!BP61)*N$3*Data_nieuwveer!BZ61/1000+Data_nieuwveer!BM61*Data_nieuwveer!BN61)/(Data_nieuwveer!AQ61*N$3*Data_nieuwveer!AR61/1000-((Data_nieuwveer!F61+Data_nieuwveer!BP61)*N$3+Data_nieuwveer!BM61)*Data_nieuwveer!BR61/1000/$P$2)</f>
        <v>0.35063830745756264</v>
      </c>
      <c r="AE61">
        <f>((F61-F60)*(D$2+H$2+$D$3+H$3)+(Data_nieuwveer!F61+Data_nieuwveer!BP61)*Data_nieuwveer!BZ61/1000+(Data_nieuwveer!AZ61*Data_nieuwveer!BA61+Data_nieuwveer!BD61*Data_nieuwveer!BE61+Data_nieuwveer!BH61*Data_nieuwveer!BI61+Data_nieuwveer!BM61*Data_nieuwveer!BN61))/(Data_nieuwveer!AQ61*Data_nieuwveer!AR61/1000-((Data_nieuwveer!F61+Data_nieuwveer!BP61)+Data_nieuwveer!AZ61+Data_nieuwveer!BD61+Data_nieuwveer!BH61+Data_nieuwveer!BM61)*Data_nieuwveer!BR61/1000/$P$2)</f>
        <v>0.19558613039916253</v>
      </c>
      <c r="AF61">
        <f>(Data_nieuwveer!AQ61*Data_nieuwveer!AR61-(Data_nieuwveer!BP61+Data_nieuwveer!F61)*Data_nieuwveer!BR61)/(Data_nieuwveer!AQ61*Data_nieuwveer!AR61)</f>
        <v>0.69275688673034164</v>
      </c>
    </row>
    <row r="62" spans="1:32" x14ac:dyDescent="0.3">
      <c r="A62" s="2">
        <f>Data_nieuwveer!A62</f>
        <v>41601</v>
      </c>
      <c r="B62" s="52"/>
      <c r="C62" s="21"/>
      <c r="D62" s="21">
        <f>AVERAGE(Data_nieuwveer!AX62,Data_nieuwveer!BB62,Data_nieuwveer!BF62)</f>
        <v>2.7349999999999999</v>
      </c>
      <c r="E62">
        <f>Data_nieuwveer!BJ62</f>
        <v>3.1880000000000002</v>
      </c>
      <c r="F62">
        <f t="shared" si="3"/>
        <v>2.926833185950267</v>
      </c>
      <c r="G62" s="21"/>
      <c r="O62">
        <f t="shared" si="1"/>
        <v>2.4660117647058826</v>
      </c>
      <c r="P62" s="23">
        <f t="shared" si="4"/>
        <v>2.2855123849111649</v>
      </c>
      <c r="Q62" s="24"/>
      <c r="R62" s="23"/>
      <c r="S62" s="54"/>
      <c r="T62" s="54"/>
      <c r="U62" s="54"/>
      <c r="V62" s="54"/>
      <c r="W62" s="54"/>
      <c r="X62" s="50"/>
      <c r="Y62" s="50"/>
      <c r="Z62" s="54"/>
      <c r="AA62" s="55"/>
      <c r="AB62" s="41">
        <f>D$3/(Data_nieuwveer!AQ62*N$3)</f>
        <v>0.13252163793202307</v>
      </c>
      <c r="AC62" s="53">
        <f>(D$2+D$3)/(Data_nieuwveer!AQ62)</f>
        <v>0.13769365681837109</v>
      </c>
    </row>
    <row r="63" spans="1:32" x14ac:dyDescent="0.3">
      <c r="A63" s="2">
        <f>Data_nieuwveer!A63</f>
        <v>41602</v>
      </c>
      <c r="B63" s="52"/>
      <c r="C63" s="21"/>
      <c r="D63" s="21">
        <f>AVERAGE(Data_nieuwveer!AX63,Data_nieuwveer!BB63,Data_nieuwveer!BF63)</f>
        <v>2.7633333333333332</v>
      </c>
      <c r="E63">
        <f>Data_nieuwveer!BJ63</f>
        <v>3.1680000000000001</v>
      </c>
      <c r="F63">
        <f t="shared" si="3"/>
        <v>2.9346986664780168</v>
      </c>
      <c r="G63" s="21"/>
      <c r="O63">
        <f t="shared" si="1"/>
        <v>2.4505411764705882</v>
      </c>
      <c r="P63" s="23">
        <f t="shared" si="4"/>
        <v>2.2916543998526873</v>
      </c>
      <c r="Q63" s="24"/>
      <c r="R63" s="23"/>
      <c r="S63" s="54"/>
      <c r="T63" s="54"/>
      <c r="U63" s="54"/>
      <c r="V63" s="54"/>
      <c r="W63" s="54"/>
      <c r="X63" s="50"/>
      <c r="Y63" s="50"/>
      <c r="Z63" s="54"/>
      <c r="AA63" s="55"/>
      <c r="AB63" s="41">
        <f>D$3/(Data_nieuwveer!AQ63*N$3)</f>
        <v>0.13365529687150149</v>
      </c>
      <c r="AC63" s="53">
        <f>(D$2+D$3)/(Data_nieuwveer!AQ63)</f>
        <v>0.1388715598944083</v>
      </c>
    </row>
    <row r="64" spans="1:32" x14ac:dyDescent="0.3">
      <c r="A64" s="2">
        <f>Data_nieuwveer!A64</f>
        <v>41603</v>
      </c>
      <c r="B64" s="52"/>
      <c r="C64" s="21"/>
      <c r="D64" s="21">
        <f>AVERAGE(Data_nieuwveer!AX64,Data_nieuwveer!BB64,Data_nieuwveer!BF64)</f>
        <v>3.1166666666666667</v>
      </c>
      <c r="E64">
        <f>Data_nieuwveer!BJ64</f>
        <v>3.21</v>
      </c>
      <c r="F64">
        <f t="shared" si="3"/>
        <v>3.1561907962222775</v>
      </c>
      <c r="G64" s="21"/>
      <c r="O64">
        <f t="shared" si="1"/>
        <v>2.483029411764706</v>
      </c>
      <c r="P64" s="23">
        <f t="shared" si="4"/>
        <v>2.4646136952853381</v>
      </c>
      <c r="Q64" s="24"/>
      <c r="R64" s="23"/>
      <c r="S64" s="54"/>
      <c r="T64" s="54"/>
      <c r="U64" s="54"/>
      <c r="V64" s="54"/>
      <c r="W64" s="54"/>
      <c r="X64" s="50"/>
      <c r="Y64" s="50"/>
      <c r="Z64" s="54"/>
      <c r="AA64" s="55"/>
      <c r="AB64" s="41">
        <f>D$3/(Data_nieuwveer!AQ64*N$3)</f>
        <v>0.1348419309809995</v>
      </c>
      <c r="AC64" s="53">
        <f>(D$2+D$3)/(Data_nieuwveer!AQ64)</f>
        <v>0.14010450564117008</v>
      </c>
    </row>
    <row r="65" spans="1:32" x14ac:dyDescent="0.3">
      <c r="A65" s="2">
        <f>Data_nieuwveer!A65</f>
        <v>41604</v>
      </c>
      <c r="B65" s="52"/>
      <c r="C65" s="21"/>
      <c r="D65" s="21">
        <f>AVERAGE(Data_nieuwveer!AX65,Data_nieuwveer!BB65,Data_nieuwveer!BF65)</f>
        <v>2.859666666666667</v>
      </c>
      <c r="E65">
        <f>Data_nieuwveer!BJ65</f>
        <v>3.2010000000000001</v>
      </c>
      <c r="F65">
        <f t="shared" si="3"/>
        <v>3.0042120547557571</v>
      </c>
      <c r="G65" s="21"/>
      <c r="O65">
        <f t="shared" si="1"/>
        <v>2.4760676470588239</v>
      </c>
      <c r="P65" s="23">
        <f t="shared" si="4"/>
        <v>2.345936178051923</v>
      </c>
      <c r="Q65" s="24"/>
      <c r="R65" s="23"/>
      <c r="S65" s="54"/>
      <c r="T65" s="54"/>
      <c r="U65" s="54"/>
      <c r="V65" s="54"/>
      <c r="W65" s="54"/>
      <c r="X65" s="50"/>
      <c r="Y65" s="50"/>
      <c r="Z65" s="54"/>
      <c r="AA65" s="55"/>
      <c r="AB65" s="41">
        <f>D$3/(Data_nieuwveer!AQ65*N$3)</f>
        <v>0.14726457578237356</v>
      </c>
      <c r="AC65" s="53">
        <f>(D$2+D$3)/(Data_nieuwveer!AQ65)</f>
        <v>0.15301197808679692</v>
      </c>
    </row>
    <row r="66" spans="1:32" x14ac:dyDescent="0.3">
      <c r="A66" s="2">
        <f>Data_nieuwveer!A66</f>
        <v>41605</v>
      </c>
      <c r="B66" s="52"/>
      <c r="C66" s="21"/>
      <c r="D66" s="21">
        <f>AVERAGE(Data_nieuwveer!AX66,Data_nieuwveer!BB66,Data_nieuwveer!BF66)</f>
        <v>2.7823333333333338</v>
      </c>
      <c r="E66">
        <f>Data_nieuwveer!BJ66</f>
        <v>3.0750000000000002</v>
      </c>
      <c r="F66">
        <f t="shared" si="3"/>
        <v>2.9062697110112841</v>
      </c>
      <c r="G66" s="21"/>
      <c r="O66">
        <f t="shared" si="1"/>
        <v>2.3786029411764709</v>
      </c>
      <c r="P66" s="23">
        <f t="shared" si="4"/>
        <v>2.269454730216165</v>
      </c>
      <c r="Q66" s="24"/>
      <c r="R66" s="23"/>
      <c r="S66" s="54"/>
      <c r="T66" s="54"/>
      <c r="U66" s="54"/>
      <c r="V66" s="54"/>
      <c r="W66" s="54"/>
      <c r="X66" s="50"/>
      <c r="Y66" s="50"/>
      <c r="Z66" s="54"/>
      <c r="AA66" s="55"/>
      <c r="AB66" s="41">
        <f>D$3/(Data_nieuwveer!AQ66*N$3)</f>
        <v>0.13539865516970884</v>
      </c>
      <c r="AC66" s="53">
        <f>(D$2+D$3)/(Data_nieuwveer!AQ66)</f>
        <v>0.14068295751196536</v>
      </c>
    </row>
    <row r="67" spans="1:32" x14ac:dyDescent="0.3">
      <c r="A67" s="16">
        <f>Data_nieuwveer!A67</f>
        <v>41606</v>
      </c>
      <c r="B67" s="52"/>
      <c r="C67" s="21">
        <f>Data_nieuwveer!AR67*B$8</f>
        <v>36.932287061597407</v>
      </c>
      <c r="D67" s="21">
        <f>AVERAGE(Data_nieuwveer!AX67,Data_nieuwveer!BB67,Data_nieuwveer!BF67)</f>
        <v>3.043333333333333</v>
      </c>
      <c r="E67">
        <f>Data_nieuwveer!BJ67</f>
        <v>3.21</v>
      </c>
      <c r="F67">
        <f t="shared" si="3"/>
        <v>3.1139121361112094</v>
      </c>
      <c r="G67" s="21"/>
      <c r="O67">
        <f t="shared" si="1"/>
        <v>2.483029411764706</v>
      </c>
      <c r="P67" s="23">
        <f t="shared" si="4"/>
        <v>2.431599035698607</v>
      </c>
      <c r="Q67" s="24">
        <f>'Edited data B'!C67*Data_nieuwveer!AQ67*$N$3/($D$3*O67*1000)</f>
        <v>0.10449841766126118</v>
      </c>
      <c r="R67" s="23">
        <f>'Edited data B'!C67*Data_nieuwveer!AQ67/($D$4*P67*1000)</f>
        <v>0.10270048079521667</v>
      </c>
      <c r="S67" s="54">
        <f>IF(ISBLANK(Data_nieuwveer!BZ67),0,Data_nieuwveer!AX67*(D$2/3+H$2/3)/(Data_nieuwveer!AZ67*Data_nieuwveer!BA67+(Data_nieuwveer!F67+Data_nieuwveer!BP67)*N$2/3*Data_nieuwveer!BZ67/1000))</f>
        <v>44.343877755337807</v>
      </c>
      <c r="T67" s="54">
        <f>IF(ISBLANK(Data_nieuwveer!BZ67),0,Data_nieuwveer!BB67*(D$2/3+H$2/3)/(Data_nieuwveer!BD67*Data_nieuwveer!BE67+(Data_nieuwveer!F67+Data_nieuwveer!BP67)*N$2/3*Data_nieuwveer!BZ67/1000))</f>
        <v>27.548995232634304</v>
      </c>
      <c r="U67" s="54">
        <f>IF(ISBLANK(Data_nieuwveer!BZ67),0,Data_nieuwveer!BF67*(D$2/3+H$2/3)/(Data_nieuwveer!BH67*Data_nieuwveer!BI67+(Data_nieuwveer!F67+Data_nieuwveer!BP67)*N$2/3*Data_nieuwveer!BZ67/1000))</f>
        <v>34.78023499818682</v>
      </c>
      <c r="V67" s="54">
        <f>AVERAGE(S67:U67)</f>
        <v>35.557702662052975</v>
      </c>
      <c r="W67" s="54">
        <f>V67*D$2/(D$2+H$2)</f>
        <v>16.826495824661073</v>
      </c>
      <c r="X67" s="50">
        <f>IF(ISBLANK(Data_nieuwveer!BZ67),0,Data_nieuwveer!BJ67*(D$3+H$3)/(Data_nieuwveer!BM67*Data_nieuwveer!BN67+(Data_nieuwveer!F67+Data_nieuwveer!BP67)*N$3*Data_nieuwveer!BZ67/1000))</f>
        <v>23.588594634643918</v>
      </c>
      <c r="Y67" s="50">
        <f>X67*D$3/(D$3+H$3)</f>
        <v>11.315115592834241</v>
      </c>
      <c r="Z67" s="54">
        <f>Y67*$J$2</f>
        <v>6.7890693557005442</v>
      </c>
      <c r="AA67" s="55">
        <f>IF(ISBLANK(Data_nieuwveer!BZ67),0,'Edited data B'!P67*(D$2+H$2+D$3+H$3)/((Data_nieuwveer!AZ67*Data_nieuwveer!BA67+Data_nieuwveer!BD67*Data_nieuwveer!BE67+Data_nieuwveer!BH67*Data_nieuwveer!BI67+Data_nieuwveer!BM67*Data_nieuwveer!BN67)+(Data_nieuwveer!F67+Data_nieuwveer!BP67)*Data_nieuwveer!BZ67/1000))</f>
        <v>22.327569260017778</v>
      </c>
      <c r="AB67" s="41">
        <f>D$3/(Data_nieuwveer!AQ67*N$3)</f>
        <v>0.14233595656171019</v>
      </c>
      <c r="AC67" s="53">
        <f>(D$2+D$3)/(Data_nieuwveer!AQ67)</f>
        <v>0.14789100603914868</v>
      </c>
      <c r="AD67">
        <f>((E67-E66)*($D$3+H$3)+(Data_nieuwveer!F67+Data_nieuwveer!BP67)*N$3*Data_nieuwveer!BZ67/1000+Data_nieuwveer!BM67*Data_nieuwveer!BN67)/(Data_nieuwveer!AQ67*N$3*Data_nieuwveer!AR67/1000-((Data_nieuwveer!F67+Data_nieuwveer!BP67)*N$3+Data_nieuwveer!BM67)*Data_nieuwveer!BR67/1000/$P$2)</f>
        <v>1.1312433188540219</v>
      </c>
      <c r="AE67">
        <f>((F67-F66)*(D$2+H$2+$D$3+H$3)+(Data_nieuwveer!F67+Data_nieuwveer!BP67)*Data_nieuwveer!BZ67/1000+(Data_nieuwveer!AZ67*Data_nieuwveer!BA67+Data_nieuwveer!BD67*Data_nieuwveer!BE67+Data_nieuwveer!BH67*Data_nieuwveer!BI67+Data_nieuwveer!BM67*Data_nieuwveer!BN67))/(Data_nieuwveer!AQ67*Data_nieuwveer!AR67/1000-((Data_nieuwveer!F67+Data_nieuwveer!BP67)+Data_nieuwveer!AZ67+Data_nieuwveer!BD67+Data_nieuwveer!BH67+Data_nieuwveer!BM67)*Data_nieuwveer!BR67/1000/$P$2)</f>
        <v>1.3819375941836129</v>
      </c>
      <c r="AF67">
        <f>(Data_nieuwveer!AQ67*Data_nieuwveer!AR67-(Data_nieuwveer!BP67+Data_nieuwveer!F67)*Data_nieuwveer!BR67)/(Data_nieuwveer!AQ67*Data_nieuwveer!AR67)</f>
        <v>0.66354662730718417</v>
      </c>
    </row>
    <row r="68" spans="1:32" x14ac:dyDescent="0.3">
      <c r="A68" s="2">
        <f>Data_nieuwveer!A68</f>
        <v>41607</v>
      </c>
      <c r="B68" s="52"/>
      <c r="C68" s="21"/>
      <c r="D68" s="21">
        <f>AVERAGE(Data_nieuwveer!AX68,Data_nieuwveer!BB68,Data_nieuwveer!BF68)</f>
        <v>2.6970000000000005</v>
      </c>
      <c r="E68">
        <f>Data_nieuwveer!BJ68</f>
        <v>3.2160000000000002</v>
      </c>
      <c r="F68">
        <f t="shared" si="3"/>
        <v>2.9167823918503064</v>
      </c>
      <c r="G68" s="21"/>
      <c r="O68">
        <f t="shared" si="1"/>
        <v>2.4876705882352943</v>
      </c>
      <c r="P68" s="23">
        <f t="shared" si="4"/>
        <v>2.2776638971654606</v>
      </c>
      <c r="Q68" s="24"/>
      <c r="R68" s="23"/>
      <c r="S68" s="54"/>
      <c r="T68" s="54"/>
      <c r="U68" s="54"/>
      <c r="V68" s="54"/>
      <c r="W68" s="54"/>
      <c r="X68" s="50"/>
      <c r="Y68" s="50"/>
      <c r="Z68" s="54"/>
      <c r="AA68" s="55"/>
      <c r="AB68" s="41">
        <f>D$3/(Data_nieuwveer!AQ68*N$3)</f>
        <v>0.14232512365119243</v>
      </c>
      <c r="AC68" s="53">
        <f>(D$2+D$3)/(Data_nieuwveer!AQ68)</f>
        <v>0.14787975034470927</v>
      </c>
    </row>
    <row r="69" spans="1:32" x14ac:dyDescent="0.3">
      <c r="A69" s="2">
        <f>Data_nieuwveer!A69</f>
        <v>41608</v>
      </c>
      <c r="B69" s="52"/>
      <c r="C69" s="21"/>
      <c r="D69" s="21">
        <f>AVERAGE(Data_nieuwveer!AX69,Data_nieuwveer!BB69,Data_nieuwveer!BF69)</f>
        <v>2.7766666666666668</v>
      </c>
      <c r="E69">
        <f>Data_nieuwveer!BJ69</f>
        <v>3.109</v>
      </c>
      <c r="F69">
        <f t="shared" si="3"/>
        <v>2.9174007994057511</v>
      </c>
      <c r="G69" s="21"/>
      <c r="O69">
        <f t="shared" si="1"/>
        <v>2.4049029411764709</v>
      </c>
      <c r="P69" s="23">
        <f t="shared" si="4"/>
        <v>2.2781468007124328</v>
      </c>
      <c r="Q69" s="24"/>
      <c r="R69" s="23"/>
      <c r="S69" s="54"/>
      <c r="T69" s="54"/>
      <c r="U69" s="54"/>
      <c r="V69" s="54"/>
      <c r="W69" s="54"/>
      <c r="X69" s="50"/>
      <c r="Y69" s="50"/>
      <c r="Z69" s="54"/>
      <c r="AA69" s="55"/>
      <c r="AB69" s="41">
        <f>D$3/(Data_nieuwveer!AQ69*N$3)</f>
        <v>0.13097142508069096</v>
      </c>
      <c r="AC69" s="53">
        <f>(D$2+D$3)/(Data_nieuwveer!AQ69)</f>
        <v>0.13608294267630591</v>
      </c>
    </row>
    <row r="70" spans="1:32" x14ac:dyDescent="0.3">
      <c r="A70" s="2">
        <f>Data_nieuwveer!A70</f>
        <v>41609</v>
      </c>
      <c r="B70" s="52"/>
      <c r="C70" s="21"/>
      <c r="D70" s="21">
        <f>AVERAGE(Data_nieuwveer!AX70,Data_nieuwveer!BB70,Data_nieuwveer!BF70)</f>
        <v>2.8066666666666666</v>
      </c>
      <c r="E70">
        <f>Data_nieuwveer!BJ70</f>
        <v>3.218</v>
      </c>
      <c r="F70">
        <f t="shared" si="3"/>
        <v>2.9808551519224644</v>
      </c>
      <c r="G70" s="21"/>
      <c r="O70">
        <f t="shared" si="1"/>
        <v>2.4892176470588234</v>
      </c>
      <c r="P70" s="23">
        <f t="shared" si="4"/>
        <v>2.327697184810043</v>
      </c>
      <c r="Q70" s="24"/>
      <c r="R70" s="23"/>
      <c r="S70" s="54"/>
      <c r="T70" s="54"/>
      <c r="U70" s="54"/>
      <c r="V70" s="54"/>
      <c r="W70" s="54"/>
      <c r="X70" s="50"/>
      <c r="Y70" s="50"/>
      <c r="Z70" s="54"/>
      <c r="AA70" s="55"/>
      <c r="AB70" s="41">
        <f>D$3/(Data_nieuwveer!AQ70*N$3)</f>
        <v>0.13206161775349376</v>
      </c>
      <c r="AC70" s="53">
        <f>(D$2+D$3)/(Data_nieuwveer!AQ70)</f>
        <v>0.13721568309588791</v>
      </c>
    </row>
    <row r="71" spans="1:32" x14ac:dyDescent="0.3">
      <c r="A71" s="2">
        <f>Data_nieuwveer!A71</f>
        <v>41610</v>
      </c>
      <c r="B71" s="52"/>
      <c r="C71" s="21"/>
      <c r="D71" s="21">
        <f>AVERAGE(Data_nieuwveer!AX71,Data_nieuwveer!BB71,Data_nieuwveer!BF71)</f>
        <v>2.78</v>
      </c>
      <c r="E71">
        <f>Data_nieuwveer!BJ71</f>
        <v>3.27</v>
      </c>
      <c r="F71">
        <f t="shared" si="3"/>
        <v>2.9875016801669556</v>
      </c>
      <c r="G71" s="21"/>
      <c r="O71">
        <f t="shared" si="1"/>
        <v>2.5294411764705882</v>
      </c>
      <c r="P71" s="23">
        <f t="shared" si="4"/>
        <v>2.3328873414244908</v>
      </c>
      <c r="Q71" s="24"/>
      <c r="R71" s="23"/>
      <c r="S71" s="54"/>
      <c r="T71" s="54"/>
      <c r="U71" s="54"/>
      <c r="V71" s="54"/>
      <c r="W71" s="54"/>
      <c r="X71" s="50"/>
      <c r="Y71" s="50"/>
      <c r="Z71" s="54"/>
      <c r="AA71" s="55"/>
      <c r="AB71" s="41">
        <f>D$3/(Data_nieuwveer!AQ71*N$3)</f>
        <v>0.13233758694989564</v>
      </c>
      <c r="AC71" s="53">
        <f>(D$2+D$3)/(Data_nieuwveer!AQ71)</f>
        <v>0.13750242274395422</v>
      </c>
    </row>
    <row r="72" spans="1:32" x14ac:dyDescent="0.3">
      <c r="A72" s="2">
        <f>Data_nieuwveer!A72</f>
        <v>41611</v>
      </c>
      <c r="B72" s="52"/>
      <c r="C72" s="21"/>
      <c r="D72" s="21">
        <f>AVERAGE(Data_nieuwveer!AX72,Data_nieuwveer!BB72,Data_nieuwveer!BF72)</f>
        <v>2.7089999999999996</v>
      </c>
      <c r="E72">
        <f>Data_nieuwveer!BJ72</f>
        <v>3.177</v>
      </c>
      <c r="F72">
        <f t="shared" si="3"/>
        <v>2.9071852782002758</v>
      </c>
      <c r="G72" s="21"/>
      <c r="O72">
        <f t="shared" si="1"/>
        <v>2.4575029411764708</v>
      </c>
      <c r="P72" s="23">
        <f t="shared" si="4"/>
        <v>2.2701696804769806</v>
      </c>
      <c r="Q72" s="24"/>
      <c r="R72" s="23"/>
      <c r="S72" s="54"/>
      <c r="T72" s="54"/>
      <c r="U72" s="54"/>
      <c r="V72" s="54"/>
      <c r="W72" s="54"/>
      <c r="X72" s="50"/>
      <c r="Y72" s="50"/>
      <c r="Z72" s="54"/>
      <c r="AA72" s="55"/>
      <c r="AB72" s="41">
        <f>D$3/(Data_nieuwveer!AQ72*N$3)</f>
        <v>0.13347204674812727</v>
      </c>
      <c r="AC72" s="53">
        <f>(D$2+D$3)/(Data_nieuwveer!AQ72)</f>
        <v>0.13868115793444494</v>
      </c>
    </row>
    <row r="73" spans="1:32" x14ac:dyDescent="0.3">
      <c r="A73" s="16">
        <f>Data_nieuwveer!A73</f>
        <v>41612</v>
      </c>
      <c r="B73" s="52"/>
      <c r="C73" s="21"/>
      <c r="D73" s="21">
        <f>AVERAGE(Data_nieuwveer!AX73,Data_nieuwveer!BB73,Data_nieuwveer!BF73)</f>
        <v>2.6946666666666665</v>
      </c>
      <c r="E73">
        <f>Data_nieuwveer!BJ73</f>
        <v>3.14</v>
      </c>
      <c r="F73">
        <f t="shared" ref="F73:F104" si="5">(D73*$D$2+E73*$D$3)/$D$4</f>
        <v>2.8832532276891509</v>
      </c>
      <c r="G73" s="21">
        <f>IF(ISBLANK(Data_nieuwveer!AY73),0,AVERAGE(Data_nieuwveer!AX73*(1-Data_nieuwveer!AY73/100),Data_nieuwveer!BB73*(1-Data_nieuwveer!BC73/100),Data_nieuwveer!BF73*(1-Data_nieuwveer!BG73/100)))</f>
        <v>2.0748800000000003</v>
      </c>
      <c r="H73">
        <f>IF(ISBLANK(Data_nieuwveer!BK73),0,Data_nieuwveer!BJ73*(1-Data_nieuwveer!BK73/100))</f>
        <v>2.3864000000000001</v>
      </c>
      <c r="I73">
        <f>(M73*$D$2+N73*$D$3)/$D$4</f>
        <v>0.76317604612500445</v>
      </c>
      <c r="J73">
        <f>(Data_nieuwveer!AX73*(1-Data_nieuwveer!AY73/100)/Data_nieuwveer!AX73)</f>
        <v>0.75</v>
      </c>
      <c r="K73">
        <f>(Data_nieuwveer!BB73*(1-Data_nieuwveer!BC73/100)/Data_nieuwveer!BB73)</f>
        <v>0.78000000000000014</v>
      </c>
      <c r="L73">
        <f>(Data_nieuwveer!BF73*(1-Data_nieuwveer!BG73/100)/Data_nieuwveer!BF73)</f>
        <v>0.78</v>
      </c>
      <c r="M73">
        <f>(Data_nieuwveer!BJ73*(1-Data_nieuwveer!BK73/100)/Data_nieuwveer!BJ73)</f>
        <v>0.76</v>
      </c>
      <c r="N73">
        <f>AVERAGE(J73:M73)</f>
        <v>0.76750000000000007</v>
      </c>
      <c r="O73">
        <f t="shared" si="1"/>
        <v>2.4288823529411765</v>
      </c>
      <c r="P73" s="23">
        <f t="shared" si="4"/>
        <v>2.2514815645631465</v>
      </c>
      <c r="Q73" s="24"/>
      <c r="R73" s="23"/>
      <c r="S73" s="54"/>
      <c r="T73" s="54"/>
      <c r="U73" s="54"/>
      <c r="V73" s="54"/>
      <c r="W73" s="54"/>
      <c r="X73" s="50"/>
      <c r="Y73" s="50"/>
      <c r="Z73" s="54"/>
      <c r="AA73" s="55"/>
      <c r="AB73" s="41">
        <f>D$3/(Data_nieuwveer!AQ73*N$3)</f>
        <v>0.13251679726780735</v>
      </c>
      <c r="AC73" s="53">
        <f>(D$2+D$3)/(Data_nieuwveer!AQ73)</f>
        <v>0.13768862723401271</v>
      </c>
    </row>
    <row r="74" spans="1:32" x14ac:dyDescent="0.3">
      <c r="A74" s="2">
        <f>Data_nieuwveer!A74</f>
        <v>41613</v>
      </c>
      <c r="B74" s="52"/>
      <c r="C74" s="21"/>
      <c r="D74" s="21">
        <f>AVERAGE(Data_nieuwveer!AX74,Data_nieuwveer!BB74,Data_nieuwveer!BF74)</f>
        <v>2.6966666666666668</v>
      </c>
      <c r="E74">
        <f>Data_nieuwveer!BJ74</f>
        <v>3.15</v>
      </c>
      <c r="F74">
        <f t="shared" si="5"/>
        <v>2.8886410102224893</v>
      </c>
      <c r="G74" s="21"/>
      <c r="O74">
        <f t="shared" ref="O74:O137" si="6">M$8*E74</f>
        <v>2.4366176470588234</v>
      </c>
      <c r="P74" s="23">
        <f t="shared" ref="P74:P105" si="7">N$8*F74</f>
        <v>2.2556887888649153</v>
      </c>
      <c r="Q74" s="24"/>
      <c r="R74" s="23"/>
      <c r="S74" s="54"/>
      <c r="T74" s="54"/>
      <c r="U74" s="54"/>
      <c r="V74" s="54"/>
      <c r="W74" s="54"/>
      <c r="X74" s="50"/>
      <c r="Y74" s="50"/>
      <c r="Z74" s="54"/>
      <c r="AA74" s="55"/>
      <c r="AB74" s="41">
        <f>D$3/(Data_nieuwveer!AQ74*N$3)</f>
        <v>0.15341381621352865</v>
      </c>
      <c r="AC74" s="53">
        <f>(D$2+D$3)/(Data_nieuwveer!AQ74)</f>
        <v>0.15940120942164837</v>
      </c>
    </row>
    <row r="75" spans="1:32" x14ac:dyDescent="0.3">
      <c r="A75" s="2">
        <f>Data_nieuwveer!A75</f>
        <v>41614</v>
      </c>
      <c r="B75" s="52"/>
      <c r="C75" s="21"/>
      <c r="D75" s="21">
        <f>AVERAGE(Data_nieuwveer!AX75,Data_nieuwveer!BB75,Data_nieuwveer!BF75)</f>
        <v>2.839</v>
      </c>
      <c r="E75">
        <f>Data_nieuwveer!BJ75</f>
        <v>3.1709999999999998</v>
      </c>
      <c r="F75">
        <f t="shared" si="5"/>
        <v>2.9795929751335293</v>
      </c>
      <c r="G75" s="21"/>
      <c r="O75">
        <f t="shared" si="6"/>
        <v>2.4528617647058821</v>
      </c>
      <c r="P75" s="23">
        <f t="shared" si="7"/>
        <v>2.3267115732292711</v>
      </c>
      <c r="Q75" s="24"/>
      <c r="R75" s="23"/>
      <c r="S75" s="54"/>
      <c r="T75" s="54"/>
      <c r="U75" s="54"/>
      <c r="V75" s="54"/>
      <c r="W75" s="54"/>
      <c r="X75" s="50"/>
      <c r="Y75" s="50"/>
      <c r="Z75" s="54"/>
      <c r="AA75" s="55"/>
      <c r="AB75" s="41">
        <f>D$3/(Data_nieuwveer!AQ75*N$3)</f>
        <v>0.13537874805596592</v>
      </c>
      <c r="AC75" s="53">
        <f>(D$2+D$3)/(Data_nieuwveer!AQ75)</f>
        <v>0.14066227346873483</v>
      </c>
    </row>
    <row r="76" spans="1:32" x14ac:dyDescent="0.3">
      <c r="A76" s="2">
        <f>Data_nieuwveer!A76</f>
        <v>41615</v>
      </c>
      <c r="B76" s="52"/>
      <c r="C76" s="21"/>
      <c r="D76" s="21">
        <f>AVERAGE(Data_nieuwveer!AX76,Data_nieuwveer!BB76,Data_nieuwveer!BF76)</f>
        <v>2.9723333333333333</v>
      </c>
      <c r="E76">
        <f>Data_nieuwveer!BJ76</f>
        <v>3.2309999999999999</v>
      </c>
      <c r="F76">
        <f t="shared" si="5"/>
        <v>3.0818716352445965</v>
      </c>
      <c r="G76" s="21"/>
      <c r="O76">
        <f t="shared" si="6"/>
        <v>2.4992735294117647</v>
      </c>
      <c r="P76" s="23">
        <f t="shared" si="7"/>
        <v>2.4065791739924722</v>
      </c>
      <c r="Q76" s="24"/>
      <c r="R76" s="23"/>
      <c r="S76" s="54"/>
      <c r="T76" s="54"/>
      <c r="U76" s="54"/>
      <c r="V76" s="54"/>
      <c r="W76" s="54"/>
      <c r="X76" s="50"/>
      <c r="Y76" s="50"/>
      <c r="Z76" s="54"/>
      <c r="AA76" s="55"/>
      <c r="AB76" s="41">
        <f>D$3/(Data_nieuwveer!AQ76*N$3)</f>
        <v>0.15059662781293795</v>
      </c>
      <c r="AC76" s="53">
        <f>(D$2+D$3)/(Data_nieuwveer!AQ76)</f>
        <v>0.15647407254893173</v>
      </c>
    </row>
    <row r="77" spans="1:32" x14ac:dyDescent="0.3">
      <c r="A77" s="2">
        <f>Data_nieuwveer!A77</f>
        <v>41616</v>
      </c>
      <c r="B77" s="52"/>
      <c r="C77" s="21"/>
      <c r="D77" s="21">
        <f>AVERAGE(Data_nieuwveer!AX77,Data_nieuwveer!BB77,Data_nieuwveer!BF77)</f>
        <v>3.091333333333333</v>
      </c>
      <c r="E77">
        <f>Data_nieuwveer!BJ77</f>
        <v>3.1560000000000001</v>
      </c>
      <c r="F77">
        <f t="shared" si="5"/>
        <v>3.1187179088111492</v>
      </c>
      <c r="G77" s="21"/>
      <c r="O77">
        <f t="shared" si="6"/>
        <v>2.4412588235294121</v>
      </c>
      <c r="P77" s="23">
        <f t="shared" si="7"/>
        <v>2.4353517787922363</v>
      </c>
      <c r="Q77" s="24"/>
      <c r="R77" s="23"/>
      <c r="S77" s="54"/>
      <c r="T77" s="54"/>
      <c r="U77" s="54"/>
      <c r="V77" s="54"/>
      <c r="W77" s="54"/>
      <c r="X77" s="50"/>
      <c r="Y77" s="50"/>
      <c r="Z77" s="54"/>
      <c r="AA77" s="55"/>
      <c r="AB77" s="41">
        <f>D$3/(Data_nieuwveer!AQ77*N$3)</f>
        <v>0.14478457936354866</v>
      </c>
      <c r="AC77" s="53">
        <f>(D$2+D$3)/(Data_nieuwveer!AQ77)</f>
        <v>0.1504351930339316</v>
      </c>
    </row>
    <row r="78" spans="1:32" x14ac:dyDescent="0.3">
      <c r="A78" s="2">
        <f>Data_nieuwveer!A78</f>
        <v>41617</v>
      </c>
      <c r="B78" s="52"/>
      <c r="C78" s="21"/>
      <c r="D78" s="21">
        <f>AVERAGE(Data_nieuwveer!AX78,Data_nieuwveer!BB78,Data_nieuwveer!BF78)</f>
        <v>3.03</v>
      </c>
      <c r="E78">
        <f>Data_nieuwveer!BJ78</f>
        <v>3.24</v>
      </c>
      <c r="F78">
        <f t="shared" si="5"/>
        <v>3.1189292915001237</v>
      </c>
      <c r="G78" s="21"/>
      <c r="O78">
        <f t="shared" si="6"/>
        <v>2.5062352941176473</v>
      </c>
      <c r="P78" s="23">
        <f t="shared" si="7"/>
        <v>2.4355168438037738</v>
      </c>
      <c r="Q78" s="24"/>
      <c r="R78" s="23"/>
      <c r="S78" s="54"/>
      <c r="T78" s="54"/>
      <c r="U78" s="54"/>
      <c r="V78" s="54"/>
      <c r="W78" s="54"/>
      <c r="X78" s="50"/>
      <c r="Y78" s="50"/>
      <c r="Z78" s="54"/>
      <c r="AA78" s="55"/>
      <c r="AB78" s="41">
        <f>D$3/(Data_nieuwveer!AQ78*N$3)</f>
        <v>0.15289553648734738</v>
      </c>
      <c r="AC78" s="53">
        <f>(D$2+D$3)/(Data_nieuwveer!AQ78)</f>
        <v>0.1588627024135375</v>
      </c>
    </row>
    <row r="79" spans="1:32" x14ac:dyDescent="0.3">
      <c r="A79" s="2">
        <f>Data_nieuwveer!A79</f>
        <v>41618</v>
      </c>
      <c r="B79" s="52"/>
      <c r="C79" s="21">
        <f>Data_nieuwveer!AR79*B$8</f>
        <v>59.091659298555854</v>
      </c>
      <c r="D79" s="21">
        <f>AVERAGE(Data_nieuwveer!AX79,Data_nieuwveer!BB79,Data_nieuwveer!BF79)</f>
        <v>3.220333333333333</v>
      </c>
      <c r="E79">
        <f>Data_nieuwveer!BJ79</f>
        <v>3.2949999999999999</v>
      </c>
      <c r="F79">
        <f t="shared" si="5"/>
        <v>3.2519526369778218</v>
      </c>
      <c r="G79" s="21"/>
      <c r="O79">
        <f t="shared" si="6"/>
        <v>2.548779411764706</v>
      </c>
      <c r="P79" s="23">
        <f t="shared" si="7"/>
        <v>2.5393924268165056</v>
      </c>
      <c r="Q79" s="24">
        <f>'Edited data B'!C79*Data_nieuwveer!AQ79*$N$3/($D$3*O79*1000)</f>
        <v>0.15350711625667637</v>
      </c>
      <c r="R79" s="23">
        <f>'Edited data B'!C79*Data_nieuwveer!AQ79/($D$4*P79*1000)</f>
        <v>0.14828724774579227</v>
      </c>
      <c r="S79" s="54">
        <f>IF(ISBLANK(Data_nieuwveer!BZ79),0,Data_nieuwveer!AX79*(D$2/3+H$2/3)/(Data_nieuwveer!AZ79*Data_nieuwveer!BA79+(Data_nieuwveer!F79+Data_nieuwveer!BP79)*N$2/3*Data_nieuwveer!BZ79/1000))</f>
        <v>82.946573773856571</v>
      </c>
      <c r="T79" s="54">
        <f>IF(ISBLANK(Data_nieuwveer!BZ79),0,Data_nieuwveer!BB79*(D$2/3+H$2/3)/(Data_nieuwveer!BD79*Data_nieuwveer!BE79+(Data_nieuwveer!F79+Data_nieuwveer!BP79)*N$2/3*Data_nieuwveer!BZ79/1000))</f>
        <v>34.924490313412925</v>
      </c>
      <c r="U79" s="54">
        <f>IF(ISBLANK(Data_nieuwveer!BZ79),0,Data_nieuwveer!BF79*(D$2/3+H$2/3)/(Data_nieuwveer!BH79*Data_nieuwveer!BI79+(Data_nieuwveer!F79+Data_nieuwveer!BP79)*N$2/3*Data_nieuwveer!BZ79/1000))</f>
        <v>35.36285614769249</v>
      </c>
      <c r="V79" s="54">
        <f>AVERAGE(S79:U79)</f>
        <v>51.077973411654</v>
      </c>
      <c r="W79" s="54">
        <f>V79*D$2/(D$2+H$2)</f>
        <v>24.170945871049227</v>
      </c>
      <c r="X79" s="50">
        <f>IF(ISBLANK(Data_nieuwveer!BZ79),0,Data_nieuwveer!BJ79*(D$3+H$3)/(Data_nieuwveer!BM79*Data_nieuwveer!BN79+(Data_nieuwveer!F79+Data_nieuwveer!BP79)*N$3*Data_nieuwveer!BZ79/1000))</f>
        <v>25.701334061734496</v>
      </c>
      <c r="Y79" s="50">
        <f>X79*D$3/(D$3+H$3)</f>
        <v>12.3285668477877</v>
      </c>
      <c r="Z79" s="54">
        <f>Y79*$J$2</f>
        <v>7.3971401086726196</v>
      </c>
      <c r="AA79" s="55">
        <f>IF(ISBLANK(Data_nieuwveer!BZ79),0,'Edited data B'!P79*(D$2+H$2+D$3+H$3)/((Data_nieuwveer!AZ79*Data_nieuwveer!BA79+Data_nieuwveer!BD79*Data_nieuwveer!BE79+Data_nieuwveer!BH79*Data_nieuwveer!BI79+Data_nieuwveer!BM79*Data_nieuwveer!BN79)+(Data_nieuwveer!F79+Data_nieuwveer!BP79)*Data_nieuwveer!BZ79/1000))</f>
        <v>26.150166425549649</v>
      </c>
      <c r="AB79" s="41">
        <f>D$3/(Data_nieuwveer!AQ79*N$3)</f>
        <v>0.15103076478512592</v>
      </c>
      <c r="AC79" s="53">
        <f>(D$2+D$3)/(Data_nieuwveer!AQ79)</f>
        <v>0.1569251529022494</v>
      </c>
      <c r="AD79">
        <f>((E79-E78)*($D$3+H$3)+(Data_nieuwveer!F79+Data_nieuwveer!BP79)*N$3*Data_nieuwveer!BZ79/1000+Data_nieuwveer!BM79*Data_nieuwveer!BN79)/(Data_nieuwveer!AQ79*N$3*Data_nieuwveer!AR79/1000-((Data_nieuwveer!F79+Data_nieuwveer!BP79)*N$3+Data_nieuwveer!BM79)*Data_nieuwveer!BR79/1000/$P$2)</f>
        <v>0.44544095617810692</v>
      </c>
      <c r="AE79">
        <f>((F79-F78)*(D$2+H$2+$D$3+H$3)+(Data_nieuwveer!F79+Data_nieuwveer!BP79)*Data_nieuwveer!BZ79/1000+(Data_nieuwveer!AZ79*Data_nieuwveer!BA79+Data_nieuwveer!BD79*Data_nieuwveer!BE79+Data_nieuwveer!BH79*Data_nieuwveer!BI79+Data_nieuwveer!BM79*Data_nieuwveer!BN79))/(Data_nieuwveer!AQ79*Data_nieuwveer!AR79/1000-((Data_nieuwveer!F79+Data_nieuwveer!BP79)+Data_nieuwveer!AZ79+Data_nieuwveer!BD79+Data_nieuwveer!BH79+Data_nieuwveer!BM79)*Data_nieuwveer!BR79/1000/$P$2)</f>
        <v>0.585644991776195</v>
      </c>
      <c r="AF79">
        <f>(Data_nieuwveer!AQ79*Data_nieuwveer!AR79-(Data_nieuwveer!BP79+Data_nieuwveer!F79)*Data_nieuwveer!BR79)/(Data_nieuwveer!AQ79*Data_nieuwveer!AR79)</f>
        <v>0.77756771286210646</v>
      </c>
    </row>
    <row r="80" spans="1:32" x14ac:dyDescent="0.3">
      <c r="A80" s="2">
        <v>41619</v>
      </c>
      <c r="B80" s="52"/>
      <c r="C80" s="21"/>
      <c r="D80" s="21">
        <f>AVERAGE(Data_nieuwveer!AX80,Data_nieuwveer!BB80,Data_nieuwveer!BF80)</f>
        <v>3.2416666666666667</v>
      </c>
      <c r="E80">
        <f>Data_nieuwveer!BJ80</f>
        <v>3.302</v>
      </c>
      <c r="F80">
        <f t="shared" si="5"/>
        <v>3.2672161932722581</v>
      </c>
      <c r="G80" s="21"/>
      <c r="O80">
        <f t="shared" si="6"/>
        <v>2.5541941176470591</v>
      </c>
      <c r="P80" s="23">
        <f t="shared" si="7"/>
        <v>2.5513114685699554</v>
      </c>
      <c r="Q80" s="24"/>
      <c r="R80" s="23"/>
      <c r="S80" s="54"/>
      <c r="T80" s="54"/>
      <c r="U80" s="54"/>
      <c r="V80" s="54"/>
      <c r="W80" s="54"/>
      <c r="X80" s="50"/>
      <c r="Y80" s="50"/>
      <c r="Z80" s="54"/>
      <c r="AA80" s="55"/>
      <c r="AB80" s="41">
        <f>D$3/(Data_nieuwveer!AQ80*N$3)</f>
        <v>0.15406671526314186</v>
      </c>
      <c r="AC80" s="53">
        <f>(D$2+D$3)/(Data_nieuwveer!AQ80)</f>
        <v>0.16007958963998373</v>
      </c>
    </row>
    <row r="81" spans="1:32" x14ac:dyDescent="0.3">
      <c r="A81" s="2">
        <f>Data_nieuwveer!A81</f>
        <v>41620</v>
      </c>
      <c r="B81" s="52"/>
      <c r="C81" s="21"/>
      <c r="D81" s="21">
        <f>AVERAGE(Data_nieuwveer!AX81,Data_nieuwveer!BB81,Data_nieuwveer!BF81)</f>
        <v>3.48</v>
      </c>
      <c r="E81">
        <f>Data_nieuwveer!BJ81</f>
        <v>3.68</v>
      </c>
      <c r="F81">
        <f t="shared" si="5"/>
        <v>3.5646945633334512</v>
      </c>
      <c r="G81" s="21"/>
      <c r="O81">
        <f t="shared" si="6"/>
        <v>2.8465882352941181</v>
      </c>
      <c r="P81" s="23">
        <f t="shared" si="7"/>
        <v>2.7836070781324458</v>
      </c>
      <c r="Q81" s="24"/>
      <c r="R81" s="23"/>
      <c r="S81" s="54"/>
      <c r="T81" s="54"/>
      <c r="U81" s="54"/>
      <c r="V81" s="54"/>
      <c r="W81" s="54"/>
      <c r="X81" s="50"/>
      <c r="Y81" s="50"/>
      <c r="Z81" s="54"/>
      <c r="AA81" s="55"/>
      <c r="AB81" s="41">
        <f>D$3/(Data_nieuwveer!AQ81*N$3)</f>
        <v>0.14491891198580115</v>
      </c>
      <c r="AC81" s="53">
        <f>(D$2+D$3)/(Data_nieuwveer!AQ81)</f>
        <v>0.15057476835368</v>
      </c>
    </row>
    <row r="82" spans="1:32" x14ac:dyDescent="0.3">
      <c r="A82" s="2">
        <f>Data_nieuwveer!A82</f>
        <v>41621</v>
      </c>
      <c r="B82" s="52"/>
      <c r="C82" s="21"/>
      <c r="D82" s="21">
        <f>AVERAGE(Data_nieuwveer!AX82,Data_nieuwveer!BB82,Data_nieuwveer!BF82)</f>
        <v>3.2323333333333335</v>
      </c>
      <c r="E82">
        <f>Data_nieuwveer!BJ82</f>
        <v>3.3620000000000001</v>
      </c>
      <c r="F82">
        <f t="shared" si="5"/>
        <v>3.2872436418945212</v>
      </c>
      <c r="G82" s="21"/>
      <c r="O82">
        <f t="shared" si="6"/>
        <v>2.6006058823529412</v>
      </c>
      <c r="P82" s="23">
        <f t="shared" si="7"/>
        <v>2.5669505497735168</v>
      </c>
      <c r="Q82" s="24"/>
      <c r="R82" s="23"/>
      <c r="S82" s="54"/>
      <c r="T82" s="54"/>
      <c r="U82" s="54"/>
      <c r="V82" s="54"/>
      <c r="W82" s="54"/>
      <c r="X82" s="50"/>
      <c r="Y82" s="50"/>
      <c r="Z82" s="54"/>
      <c r="AA82" s="55"/>
      <c r="AB82" s="41">
        <f>D$3/(Data_nieuwveer!AQ82*N$3)</f>
        <v>0.16013179922468493</v>
      </c>
      <c r="AC82" s="53">
        <f>(D$2+D$3)/(Data_nieuwveer!AQ82)</f>
        <v>0.16638138006913381</v>
      </c>
    </row>
    <row r="83" spans="1:32" x14ac:dyDescent="0.3">
      <c r="A83" s="2">
        <f>Data_nieuwveer!A83</f>
        <v>41622</v>
      </c>
      <c r="B83" s="52"/>
      <c r="C83" s="21"/>
      <c r="D83" s="21">
        <f>AVERAGE(Data_nieuwveer!AX83,Data_nieuwveer!BB83,Data_nieuwveer!BF83)</f>
        <v>3.1350000000000002</v>
      </c>
      <c r="E83">
        <f>Data_nieuwveer!BJ83</f>
        <v>3.3090000000000002</v>
      </c>
      <c r="F83">
        <f t="shared" si="5"/>
        <v>3.208684270100103</v>
      </c>
      <c r="G83" s="21"/>
      <c r="O83">
        <f t="shared" si="6"/>
        <v>2.5596088235294121</v>
      </c>
      <c r="P83" s="23">
        <f t="shared" si="7"/>
        <v>2.5056049226811106</v>
      </c>
      <c r="Q83" s="24"/>
      <c r="R83" s="23"/>
      <c r="S83" s="54"/>
      <c r="T83" s="54"/>
      <c r="U83" s="54"/>
      <c r="V83" s="54"/>
      <c r="W83" s="54"/>
      <c r="X83" s="50"/>
      <c r="Y83" s="50"/>
      <c r="Z83" s="54"/>
      <c r="AA83" s="55"/>
      <c r="AB83" s="41">
        <f>D$3/(Data_nieuwveer!AQ83*N$3)</f>
        <v>0.14834002408134012</v>
      </c>
      <c r="AC83" s="53">
        <f>(D$2+D$3)/(Data_nieuwveer!AQ83)</f>
        <v>0.15412939869308129</v>
      </c>
    </row>
    <row r="84" spans="1:32" x14ac:dyDescent="0.3">
      <c r="A84" s="2">
        <f>Data_nieuwveer!A84</f>
        <v>41623</v>
      </c>
      <c r="B84" s="52"/>
      <c r="C84" s="21"/>
      <c r="D84" s="21">
        <f>AVERAGE(Data_nieuwveer!AX84,Data_nieuwveer!BB84,Data_nieuwveer!BF84)</f>
        <v>3.1973333333333334</v>
      </c>
      <c r="E84">
        <f>Data_nieuwveer!BJ84</f>
        <v>3.331</v>
      </c>
      <c r="F84">
        <f t="shared" si="5"/>
        <v>3.2539375331611899</v>
      </c>
      <c r="G84" s="21"/>
      <c r="O84">
        <f t="shared" si="6"/>
        <v>2.5766264705882356</v>
      </c>
      <c r="P84" s="23">
        <f t="shared" si="7"/>
        <v>2.5409423972185183</v>
      </c>
      <c r="Q84" s="24"/>
      <c r="R84" s="23"/>
      <c r="S84" s="54"/>
      <c r="T84" s="54"/>
      <c r="U84" s="54"/>
      <c r="V84" s="54"/>
      <c r="W84" s="54"/>
      <c r="X84" s="50"/>
      <c r="Y84" s="50"/>
      <c r="Z84" s="54"/>
      <c r="AA84" s="55"/>
      <c r="AB84" s="41">
        <f>D$3/(Data_nieuwveer!AQ84*N$3)</f>
        <v>0.1518564437564931</v>
      </c>
      <c r="AC84" s="53">
        <f>(D$2+D$3)/(Data_nieuwveer!AQ84)</f>
        <v>0.1577830562507116</v>
      </c>
    </row>
    <row r="85" spans="1:32" x14ac:dyDescent="0.3">
      <c r="A85" s="2">
        <f>Data_nieuwveer!A85</f>
        <v>41624</v>
      </c>
      <c r="B85" s="52"/>
      <c r="C85" s="21">
        <f>Data_nieuwveer!AR85*B$8</f>
        <v>48.01197318007663</v>
      </c>
      <c r="D85" s="21">
        <f>AVERAGE(Data_nieuwveer!AX85,Data_nieuwveer!BB85,Data_nieuwveer!BF85)</f>
        <v>3.3433333333333337</v>
      </c>
      <c r="E85">
        <f>Data_nieuwveer!BJ85</f>
        <v>3.43</v>
      </c>
      <c r="F85">
        <f t="shared" si="5"/>
        <v>3.3800343107778295</v>
      </c>
      <c r="G85" s="21">
        <f>IF(ISBLANK(Data_nieuwveer!AY85),0,AVERAGE(Data_nieuwveer!AX85*(1-Data_nieuwveer!AY85/100),Data_nieuwveer!BB85*(1-Data_nieuwveer!BC85/100),Data_nieuwveer!BF85*(1-Data_nieuwveer!BG85/100)))</f>
        <v>2.6200333333333337</v>
      </c>
      <c r="H85">
        <f>IF(ISBLANK(Data_nieuwveer!BK85),0,Data_nieuwveer!BJ85*(1-Data_nieuwveer!BK85/100))</f>
        <v>2.6754000000000002</v>
      </c>
      <c r="I85">
        <f>(M85*$D$2+N85*$D$3)/$D$4</f>
        <v>0.78105868204166817</v>
      </c>
      <c r="J85">
        <f>(Data_nieuwveer!AX85*(1-Data_nieuwveer!AY85/100)/Data_nieuwveer!AX85)</f>
        <v>0.77</v>
      </c>
      <c r="K85">
        <f>(Data_nieuwveer!BB85*(1-Data_nieuwveer!BC85/100)/Data_nieuwveer!BB85)</f>
        <v>0.79</v>
      </c>
      <c r="L85">
        <f>(Data_nieuwveer!BF85*(1-Data_nieuwveer!BG85/100)/Data_nieuwveer!BF85)</f>
        <v>0.79000000000000015</v>
      </c>
      <c r="M85">
        <f>(Data_nieuwveer!BJ85*(1-Data_nieuwveer!BK85/100)/Data_nieuwveer!BJ85)</f>
        <v>0.78</v>
      </c>
      <c r="N85">
        <f>AVERAGE(J85:M85)</f>
        <v>0.78249999999999997</v>
      </c>
      <c r="O85">
        <f t="shared" si="6"/>
        <v>2.6532058823529412</v>
      </c>
      <c r="P85" s="23">
        <f t="shared" si="7"/>
        <v>2.6394091456220998</v>
      </c>
      <c r="Q85" s="24">
        <f>'Edited data B'!C85*Data_nieuwveer!AQ85*$N$3/($D$3*O85*1000)</f>
        <v>0.12172491938813715</v>
      </c>
      <c r="R85" s="23">
        <f>'Edited data B'!C85*Data_nieuwveer!AQ85/($D$4*P85*1000)</f>
        <v>0.11776509614459406</v>
      </c>
      <c r="S85" s="54">
        <f>IF(ISBLANK(Data_nieuwveer!BZ85),0,Data_nieuwveer!AX85*(D$2/3+H$2/3)/(Data_nieuwveer!AZ85*Data_nieuwveer!BA85+(Data_nieuwveer!F85+Data_nieuwveer!BP85)*N$2/3*Data_nieuwveer!BZ85/1000))</f>
        <v>43.254106284771915</v>
      </c>
      <c r="T85" s="54">
        <f>IF(ISBLANK(Data_nieuwveer!BZ85),0,Data_nieuwveer!BB85*(D$2/3+H$2/3)/(Data_nieuwveer!BD85*Data_nieuwveer!BE85+(Data_nieuwveer!F85+Data_nieuwveer!BP85)*N$2/3*Data_nieuwveer!BZ85/1000))</f>
        <v>23.666944355916907</v>
      </c>
      <c r="U85" s="54">
        <f>IF(ISBLANK(Data_nieuwveer!BZ85),0,Data_nieuwveer!BF85*(D$2/3+H$2/3)/(Data_nieuwveer!BH85*Data_nieuwveer!BI85+(Data_nieuwveer!F85+Data_nieuwveer!BP85)*N$2/3*Data_nieuwveer!BZ85/1000))</f>
        <v>41.018626769139928</v>
      </c>
      <c r="V85" s="54">
        <f>AVERAGE(S85:U85)</f>
        <v>35.979892469942918</v>
      </c>
      <c r="W85" s="54">
        <f>V85*D$2/(D$2+H$2)</f>
        <v>17.026283058026294</v>
      </c>
      <c r="X85" s="50">
        <f>IF(ISBLANK(Data_nieuwveer!BZ85),0,Data_nieuwveer!BJ85*(D$3+H$3)/(Data_nieuwveer!BM85*Data_nieuwveer!BN85+(Data_nieuwveer!F85+Data_nieuwveer!BP85)*N$3*Data_nieuwveer!BZ85/1000))</f>
        <v>34.126781764806253</v>
      </c>
      <c r="Y85" s="50">
        <f>X85*D$3/(D$3+H$3)</f>
        <v>16.370135078462233</v>
      </c>
      <c r="Z85" s="54">
        <f>Y85*$J$2</f>
        <v>9.8220810470773401</v>
      </c>
      <c r="AA85" s="55">
        <f>IF(ISBLANK(Data_nieuwveer!BZ85),0,'Edited data B'!P85*(D$2+H$2+D$3+H$3)/((Data_nieuwveer!AZ85*Data_nieuwveer!BA85+Data_nieuwveer!BD85*Data_nieuwveer!BE85+Data_nieuwveer!BH85*Data_nieuwveer!BI85+Data_nieuwveer!BM85*Data_nieuwveer!BN85)+(Data_nieuwveer!F85+Data_nieuwveer!BP85)*Data_nieuwveer!BZ85/1000))</f>
        <v>26.500507717853104</v>
      </c>
      <c r="AB85" s="41">
        <f>D$3/(Data_nieuwveer!AQ85*N$3)</f>
        <v>0.1486617044220872</v>
      </c>
      <c r="AC85" s="53">
        <f>(D$2+D$3)/(Data_nieuwveer!AQ85)</f>
        <v>0.15446363348775508</v>
      </c>
      <c r="AD85">
        <f>((E85-E84)*($D$3+H$3)+(Data_nieuwveer!F85+Data_nieuwveer!BP85)*N$3*Data_nieuwveer!BZ85/1000+Data_nieuwveer!BM85*Data_nieuwveer!BN85)/(Data_nieuwveer!AQ85*N$3*Data_nieuwveer!AR85/1000-((Data_nieuwveer!F85+Data_nieuwveer!BP85)*N$3+Data_nieuwveer!BM85)*Data_nieuwveer!BR85/1000/$P$2)</f>
        <v>0.66136709052121423</v>
      </c>
      <c r="AE85">
        <f>((F85-F84)*(D$2+H$2+$D$3+H$3)+(Data_nieuwveer!F85+Data_nieuwveer!BP85)*Data_nieuwveer!BZ85/1000+(Data_nieuwveer!AZ85*Data_nieuwveer!BA85+Data_nieuwveer!BD85*Data_nieuwveer!BE85+Data_nieuwveer!BH85*Data_nieuwveer!BI85+Data_nieuwveer!BM85*Data_nieuwveer!BN85))/(Data_nieuwveer!AQ85*Data_nieuwveer!AR85/1000-((Data_nieuwveer!F85+Data_nieuwveer!BP85)+Data_nieuwveer!AZ85+Data_nieuwveer!BD85+Data_nieuwveer!BH85+Data_nieuwveer!BM85)*Data_nieuwveer!BR85/1000/$P$2)</f>
        <v>0.78322329707679861</v>
      </c>
      <c r="AF85">
        <f>(Data_nieuwveer!AQ85*Data_nieuwveer!AR85-(Data_nieuwveer!BP85+Data_nieuwveer!F85)*Data_nieuwveer!BR85)/(Data_nieuwveer!AQ85*Data_nieuwveer!AR85)</f>
        <v>0.67180948643236427</v>
      </c>
    </row>
    <row r="86" spans="1:32" x14ac:dyDescent="0.3">
      <c r="A86" s="2">
        <f>Data_nieuwveer!A86</f>
        <v>41625</v>
      </c>
      <c r="B86" s="52"/>
      <c r="C86" s="21"/>
      <c r="D86" s="21">
        <f>AVERAGE(Data_nieuwveer!AX86,Data_nieuwveer!BB86,Data_nieuwveer!BF86)</f>
        <v>3.4456666666666664</v>
      </c>
      <c r="E86">
        <f>Data_nieuwveer!BJ86</f>
        <v>3.48</v>
      </c>
      <c r="F86">
        <f t="shared" si="5"/>
        <v>3.4602059000389089</v>
      </c>
      <c r="G86" s="21"/>
      <c r="O86">
        <f t="shared" si="6"/>
        <v>2.6918823529411764</v>
      </c>
      <c r="P86" s="23">
        <f t="shared" si="7"/>
        <v>2.7020137248833254</v>
      </c>
      <c r="Q86" s="24"/>
      <c r="R86" s="23"/>
      <c r="S86" s="54"/>
      <c r="T86" s="54"/>
      <c r="U86" s="54"/>
      <c r="V86" s="54"/>
      <c r="W86" s="54"/>
      <c r="X86" s="50"/>
      <c r="Y86" s="50"/>
      <c r="Z86" s="54"/>
      <c r="AA86" s="55"/>
      <c r="AB86" s="41">
        <f>D$3/(Data_nieuwveer!AQ86*N$3)</f>
        <v>0.15782442045247372</v>
      </c>
      <c r="AC86" s="53">
        <f>(D$2+D$3)/(Data_nieuwveer!AQ86)</f>
        <v>0.16398394953802448</v>
      </c>
    </row>
    <row r="87" spans="1:32" x14ac:dyDescent="0.3">
      <c r="A87" s="16">
        <f>Data_nieuwveer!A87</f>
        <v>41626</v>
      </c>
      <c r="B87" s="52">
        <f>Data_nieuwveer!AS87/Data_nieuwveer!AR87</f>
        <v>0.30833333333333335</v>
      </c>
      <c r="C87" s="21">
        <f>Data_nieuwveer!AR87*B$8</f>
        <v>44.318744473916887</v>
      </c>
      <c r="D87" s="21">
        <f>AVERAGE(Data_nieuwveer!AX87,Data_nieuwveer!BB87,Data_nieuwveer!BF87)</f>
        <v>3.4006666666666665</v>
      </c>
      <c r="E87">
        <f>Data_nieuwveer!BJ87</f>
        <v>3.4980000000000002</v>
      </c>
      <c r="F87">
        <f t="shared" si="5"/>
        <v>3.4418846874889462</v>
      </c>
      <c r="G87" s="21"/>
      <c r="O87">
        <f t="shared" si="6"/>
        <v>2.7058058823529416</v>
      </c>
      <c r="P87" s="23">
        <f t="shared" si="7"/>
        <v>2.6877070133185748</v>
      </c>
      <c r="Q87" s="24">
        <f>'Edited data B'!C87*Data_nieuwveer!AQ87*$N$3/($D$3*O87*1000)</f>
        <v>0.1026570079478234</v>
      </c>
      <c r="R87" s="23">
        <f>'Edited data B'!C87*Data_nieuwveer!AQ87/($D$4*P87*1000)</f>
        <v>9.9466348577394947E-2</v>
      </c>
      <c r="S87" s="54">
        <f>IF(ISBLANK(Data_nieuwveer!BZ87),0,Data_nieuwveer!AX87*(D$2/3+H$2/3)/(Data_nieuwveer!AZ87*Data_nieuwveer!BA87+(Data_nieuwveer!F87+Data_nieuwveer!BP87)*N$2/3*Data_nieuwveer!BZ87/1000))</f>
        <v>32.497087798834691</v>
      </c>
      <c r="T87" s="54">
        <f>IF(ISBLANK(Data_nieuwveer!BZ87),0,Data_nieuwveer!BB87*(D$2/3+H$2/3)/(Data_nieuwveer!BD87*Data_nieuwveer!BE87+(Data_nieuwveer!F87+Data_nieuwveer!BP87)*N$2/3*Data_nieuwveer!BZ87/1000))</f>
        <v>18.618839609410543</v>
      </c>
      <c r="U87" s="54">
        <f>IF(ISBLANK(Data_nieuwveer!BZ87),0,Data_nieuwveer!BF87*(D$2/3+H$2/3)/(Data_nieuwveer!BH87*Data_nieuwveer!BI87+(Data_nieuwveer!F87+Data_nieuwveer!BP87)*N$2/3*Data_nieuwveer!BZ87/1000))</f>
        <v>26.454245374364451</v>
      </c>
      <c r="V87" s="54">
        <f>AVERAGE(S87:U87)</f>
        <v>25.856724260869896</v>
      </c>
      <c r="W87" s="54">
        <f>V87*D$2/(D$2+H$2)</f>
        <v>12.235831626975537</v>
      </c>
      <c r="X87" s="50">
        <f>IF(ISBLANK(Data_nieuwveer!BZ87),0,Data_nieuwveer!BJ87*(D$3+H$3)/(Data_nieuwveer!BM87*Data_nieuwveer!BN87+(Data_nieuwveer!F87+Data_nieuwveer!BP87)*N$3*Data_nieuwveer!BZ87/1000))</f>
        <v>33.669620669778872</v>
      </c>
      <c r="Y87" s="50">
        <f>X87*D$3/(D$3+H$3)</f>
        <v>16.150841359828217</v>
      </c>
      <c r="Z87" s="54">
        <f>Y87*$J$2</f>
        <v>9.6905048158969294</v>
      </c>
      <c r="AA87" s="55">
        <f>IF(ISBLANK(Data_nieuwveer!BZ87),0,'Edited data B'!P87*(D$2+H$2+D$3+H$3)/((Data_nieuwveer!AZ87*Data_nieuwveer!BA87+Data_nieuwveer!BD87*Data_nieuwveer!BE87+Data_nieuwveer!BH87*Data_nieuwveer!BI87+Data_nieuwveer!BM87*Data_nieuwveer!BN87)+(Data_nieuwveer!F87+Data_nieuwveer!BP87)*Data_nieuwveer!BZ87/1000))</f>
        <v>21.775574889137122</v>
      </c>
      <c r="AB87" s="41">
        <f>D$3/(Data_nieuwveer!AQ87*N$3)</f>
        <v>0.15955198433968648</v>
      </c>
      <c r="AC87" s="53">
        <f>(D$2+D$3)/(Data_nieuwveer!AQ87)</f>
        <v>0.16577893632455745</v>
      </c>
      <c r="AD87">
        <f>((E87-E86)*($D$3+H$3)+(Data_nieuwveer!F87+Data_nieuwveer!BP87)*N$3*Data_nieuwveer!BZ87/1000+Data_nieuwveer!BM87*Data_nieuwveer!BN87)/(Data_nieuwveer!AQ87*N$3*Data_nieuwveer!AR87/1000-((Data_nieuwveer!F87+Data_nieuwveer!BP87)*N$3+Data_nieuwveer!BM87)*Data_nieuwveer!BR87/1000/$P$2)</f>
        <v>0.46637563359969164</v>
      </c>
      <c r="AE87">
        <f>((F87-F86)*(D$2+H$2+$D$3+H$3)+(Data_nieuwveer!F87+Data_nieuwveer!BP87)*Data_nieuwveer!BZ87/1000+(Data_nieuwveer!AZ87*Data_nieuwveer!BA87+Data_nieuwveer!BD87*Data_nieuwveer!BE87+Data_nieuwveer!BH87*Data_nieuwveer!BI87+Data_nieuwveer!BM87*Data_nieuwveer!BN87))/(Data_nieuwveer!AQ87*Data_nieuwveer!AR87/1000-((Data_nieuwveer!F87+Data_nieuwveer!BP87)+Data_nieuwveer!AZ87+Data_nieuwveer!BD87+Data_nieuwveer!BH87+Data_nieuwveer!BM87)*Data_nieuwveer!BR87/1000/$P$2)</f>
        <v>0.42110858943534352</v>
      </c>
      <c r="AF87">
        <f>(Data_nieuwveer!AQ87*Data_nieuwveer!AR87-(Data_nieuwveer!BP87+Data_nieuwveer!F87)*Data_nieuwveer!BR87)/(Data_nieuwveer!AQ87*Data_nieuwveer!AR87)</f>
        <v>0.67801937781079402</v>
      </c>
    </row>
    <row r="88" spans="1:32" x14ac:dyDescent="0.3">
      <c r="A88" s="2">
        <f>Data_nieuwveer!A88</f>
        <v>41627</v>
      </c>
      <c r="B88" s="52"/>
      <c r="C88" s="21"/>
      <c r="D88" s="21">
        <f>AVERAGE(Data_nieuwveer!AX88,Data_nieuwveer!BB88,Data_nieuwveer!BF88)</f>
        <v>3.4</v>
      </c>
      <c r="E88">
        <f>Data_nieuwveer!BJ88</f>
        <v>3.27</v>
      </c>
      <c r="F88">
        <f t="shared" si="5"/>
        <v>3.3449485338332572</v>
      </c>
      <c r="G88" s="21"/>
      <c r="O88">
        <f t="shared" si="6"/>
        <v>2.5294411764705882</v>
      </c>
      <c r="P88" s="23">
        <f t="shared" si="7"/>
        <v>2.6120112815668532</v>
      </c>
      <c r="Q88" s="24"/>
      <c r="R88" s="23"/>
      <c r="S88" s="54"/>
      <c r="T88" s="54"/>
      <c r="U88" s="54"/>
      <c r="V88" s="54"/>
      <c r="W88" s="54"/>
      <c r="X88" s="50"/>
      <c r="Y88" s="50"/>
      <c r="Z88" s="54"/>
      <c r="AA88" s="55"/>
      <c r="AB88" s="41">
        <f>D$3/(Data_nieuwveer!AQ88*N$3)</f>
        <v>0.1425288794796653</v>
      </c>
      <c r="AC88" s="53">
        <f>(D$2+D$3)/(Data_nieuwveer!AQ88)</f>
        <v>0.14809145830092146</v>
      </c>
    </row>
    <row r="89" spans="1:32" x14ac:dyDescent="0.3">
      <c r="A89" s="2">
        <f>Data_nieuwveer!A89</f>
        <v>41628</v>
      </c>
      <c r="B89" s="52"/>
      <c r="C89" s="21"/>
      <c r="D89" s="21">
        <f>AVERAGE(Data_nieuwveer!AX89,Data_nieuwveer!BB89,Data_nieuwveer!BF89)</f>
        <v>3.3320000000000003</v>
      </c>
      <c r="E89">
        <f>Data_nieuwveer!BJ89</f>
        <v>3.5110000000000001</v>
      </c>
      <c r="F89">
        <f t="shared" si="5"/>
        <v>3.4078016341834392</v>
      </c>
      <c r="G89" s="21"/>
      <c r="O89">
        <f t="shared" si="6"/>
        <v>2.7158617647058825</v>
      </c>
      <c r="P89" s="23">
        <f t="shared" si="7"/>
        <v>2.6610921584579512</v>
      </c>
      <c r="Q89" s="24"/>
      <c r="R89" s="23"/>
      <c r="S89" s="54"/>
      <c r="T89" s="54"/>
      <c r="U89" s="54"/>
      <c r="V89" s="54"/>
      <c r="W89" s="54"/>
      <c r="X89" s="50"/>
      <c r="Y89" s="50"/>
      <c r="Z89" s="54"/>
      <c r="AA89" s="55"/>
      <c r="AB89" s="41">
        <f>D$3/(Data_nieuwveer!AQ89*N$3)</f>
        <v>0.13172800337096932</v>
      </c>
      <c r="AC89" s="53">
        <f>(D$2+D$3)/(Data_nieuwveer!AQ89)</f>
        <v>0.13686904850086007</v>
      </c>
    </row>
    <row r="90" spans="1:32" x14ac:dyDescent="0.3">
      <c r="A90" s="2">
        <f>Data_nieuwveer!A90</f>
        <v>41629</v>
      </c>
      <c r="B90" s="52"/>
      <c r="C90" s="21"/>
      <c r="D90" s="21">
        <f>AVERAGE(Data_nieuwveer!AX90,Data_nieuwveer!BB90,Data_nieuwveer!BF90)</f>
        <v>3.4706666666666668</v>
      </c>
      <c r="E90">
        <f>Data_nieuwveer!BJ90</f>
        <v>3.8359999999999999</v>
      </c>
      <c r="F90">
        <f t="shared" si="5"/>
        <v>3.6253754023557709</v>
      </c>
      <c r="G90" s="21"/>
      <c r="O90">
        <f t="shared" si="6"/>
        <v>2.9672588235294119</v>
      </c>
      <c r="P90" s="23">
        <f t="shared" si="7"/>
        <v>2.8309916744866395</v>
      </c>
      <c r="Q90" s="24"/>
      <c r="R90" s="23"/>
      <c r="S90" s="54"/>
      <c r="T90" s="54"/>
      <c r="U90" s="54"/>
      <c r="V90" s="54"/>
      <c r="W90" s="54"/>
      <c r="X90" s="50"/>
      <c r="Y90" s="50"/>
      <c r="Z90" s="54"/>
      <c r="AA90" s="55"/>
      <c r="AB90" s="41">
        <f>D$3/(Data_nieuwveer!AQ90*N$3)</f>
        <v>0.15548083044218036</v>
      </c>
      <c r="AC90" s="53">
        <f>(D$2+D$3)/(Data_nieuwveer!AQ90)</f>
        <v>0.16154889452636048</v>
      </c>
    </row>
    <row r="91" spans="1:32" x14ac:dyDescent="0.3">
      <c r="A91" s="2">
        <f>Data_nieuwveer!A91</f>
        <v>41630</v>
      </c>
      <c r="B91" s="52"/>
      <c r="C91" s="21">
        <f>Data_nieuwveer!AR91*B$8</f>
        <v>51.705201886236374</v>
      </c>
      <c r="D91" s="21">
        <f>AVERAGE(Data_nieuwveer!AX91,Data_nieuwveer!BB91,Data_nieuwveer!BF91)</f>
        <v>3.4636666666666667</v>
      </c>
      <c r="E91">
        <f>Data_nieuwveer!BJ91</f>
        <v>3.76</v>
      </c>
      <c r="F91">
        <f t="shared" si="5"/>
        <v>3.5891557780057299</v>
      </c>
      <c r="G91" s="21"/>
      <c r="O91">
        <f t="shared" si="6"/>
        <v>2.9084705882352941</v>
      </c>
      <c r="P91" s="23">
        <f t="shared" si="7"/>
        <v>2.802708409001534</v>
      </c>
      <c r="Q91" s="24">
        <f>'Edited data B'!C91*Data_nieuwveer!AQ91*$N$3/($D$3*O91*1000)</f>
        <v>0.12436682081814611</v>
      </c>
      <c r="R91" s="23">
        <f>'Edited data B'!C91*Data_nieuwveer!AQ91/($D$4*P91*1000)</f>
        <v>0.12421217129286104</v>
      </c>
      <c r="S91" s="54">
        <f>IF(ISBLANK(Data_nieuwveer!BZ91),0,Data_nieuwveer!AX91*(D$2/3+H$2/3)/(Data_nieuwveer!AZ91*Data_nieuwveer!BA91+(Data_nieuwveer!F91+Data_nieuwveer!BP91)*N$2/3*Data_nieuwveer!BZ91/1000))</f>
        <v>22.099134668482961</v>
      </c>
      <c r="T91" s="54">
        <f>IF(ISBLANK(Data_nieuwveer!BZ91),0,Data_nieuwveer!BB91*(D$2/3+H$2/3)/(Data_nieuwveer!BD91*Data_nieuwveer!BE91+(Data_nieuwveer!F91+Data_nieuwveer!BP91)*N$2/3*Data_nieuwveer!BZ91/1000))</f>
        <v>19.962371407041449</v>
      </c>
      <c r="U91" s="54">
        <f>IF(ISBLANK(Data_nieuwveer!BZ91),0,Data_nieuwveer!BF91*(D$2/3+H$2/3)/(Data_nieuwveer!BH91*Data_nieuwveer!BI91+(Data_nieuwveer!F91+Data_nieuwveer!BP91)*N$2/3*Data_nieuwveer!BZ91/1000))</f>
        <v>19.925584473182163</v>
      </c>
      <c r="V91" s="54">
        <f>AVERAGE(S91:U91)</f>
        <v>20.662363516235523</v>
      </c>
      <c r="W91" s="54">
        <f>V91*D$2/(D$2+H$2)</f>
        <v>9.7777737987725466</v>
      </c>
      <c r="X91" s="50">
        <f>IF(ISBLANK(Data_nieuwveer!BZ91),0,Data_nieuwveer!BJ91*(D$3+H$3)/(Data_nieuwveer!BM91*Data_nieuwveer!BN91+(Data_nieuwveer!F91+Data_nieuwveer!BP91)*N$3*Data_nieuwveer!BZ91/1000))</f>
        <v>35.087586425869098</v>
      </c>
      <c r="Y91" s="50">
        <f>X91*D$3/(D$3+H$3)</f>
        <v>16.831019500380833</v>
      </c>
      <c r="Z91" s="54">
        <f>Y91*$J$2</f>
        <v>10.098611700228499</v>
      </c>
      <c r="AA91" s="55">
        <f>IF(ISBLANK(Data_nieuwveer!BZ91),0,'Edited data B'!P91*(D$2+H$2+D$3+H$3)/((Data_nieuwveer!AZ91*Data_nieuwveer!BA91+Data_nieuwveer!BD91*Data_nieuwveer!BE91+Data_nieuwveer!BH91*Data_nieuwveer!BI91+Data_nieuwveer!BM91*Data_nieuwveer!BN91)+(Data_nieuwveer!F91+Data_nieuwveer!BP91)*Data_nieuwveer!BZ91/1000))</f>
        <v>19.681120985704972</v>
      </c>
      <c r="AB91" s="41">
        <f>D$3/(Data_nieuwveer!AQ91*N$3)</f>
        <v>0.14294370324868103</v>
      </c>
      <c r="AC91" s="53">
        <f>(D$2+D$3)/(Data_nieuwveer!AQ91)</f>
        <v>0.14852247170056157</v>
      </c>
      <c r="AD91">
        <f>((E91-E90)*($D$3+H$3)+(Data_nieuwveer!F91+Data_nieuwveer!BP91)*N$3*Data_nieuwveer!BZ91/1000+Data_nieuwveer!BM91*Data_nieuwveer!BN91)/(Data_nieuwveer!AQ91*N$3*Data_nieuwveer!AR91/1000-((Data_nieuwveer!F91+Data_nieuwveer!BP91)*N$3+Data_nieuwveer!BM91)*Data_nieuwveer!BR91/1000/$P$2)</f>
        <v>8.6107536764295153E-2</v>
      </c>
      <c r="AE91">
        <f>((F91-F90)*(D$2+H$2+$D$3+H$3)+(Data_nieuwveer!F91+Data_nieuwveer!BP91)*Data_nieuwveer!BZ91/1000+(Data_nieuwveer!AZ91*Data_nieuwveer!BA91+Data_nieuwveer!BD91*Data_nieuwveer!BE91+Data_nieuwveer!BH91*Data_nieuwveer!BI91+Data_nieuwveer!BM91*Data_nieuwveer!BN91))/(Data_nieuwveer!AQ91*Data_nieuwveer!AR91/1000-((Data_nieuwveer!F91+Data_nieuwveer!BP91)+Data_nieuwveer!AZ91+Data_nieuwveer!BD91+Data_nieuwveer!BH91+Data_nieuwveer!BM91)*Data_nieuwveer!BR91/1000/$P$2)</f>
        <v>0.30732745632646991</v>
      </c>
      <c r="AF91">
        <f>(Data_nieuwveer!AQ91*Data_nieuwveer!AR91-(Data_nieuwveer!BP91+Data_nieuwveer!F91)*Data_nieuwveer!BR91)/(Data_nieuwveer!AQ91*Data_nieuwveer!AR91)</f>
        <v>0.73134962141956161</v>
      </c>
    </row>
    <row r="92" spans="1:32" x14ac:dyDescent="0.3">
      <c r="A92" s="2">
        <f>Data_nieuwveer!A92</f>
        <v>41631</v>
      </c>
      <c r="B92" s="52"/>
      <c r="C92" s="21"/>
      <c r="D92" s="21">
        <f>AVERAGE(Data_nieuwveer!AX92,Data_nieuwveer!BB92,Data_nieuwveer!BF92)</f>
        <v>3.6666666666666665</v>
      </c>
      <c r="E92">
        <f>Data_nieuwveer!BJ92</f>
        <v>4.1500000000000004</v>
      </c>
      <c r="F92">
        <f t="shared" si="5"/>
        <v>3.8713451947225073</v>
      </c>
      <c r="G92" s="21"/>
      <c r="O92">
        <f t="shared" si="6"/>
        <v>3.2101470588235297</v>
      </c>
      <c r="P92" s="23">
        <f t="shared" si="7"/>
        <v>3.0230651447024295</v>
      </c>
      <c r="Q92" s="24"/>
      <c r="R92" s="23"/>
      <c r="S92" s="54"/>
      <c r="T92" s="54"/>
      <c r="U92" s="54"/>
      <c r="V92" s="54"/>
      <c r="W92" s="54"/>
      <c r="X92" s="50"/>
      <c r="Y92" s="50"/>
      <c r="Z92" s="54"/>
      <c r="AA92" s="55"/>
      <c r="AB92" s="41">
        <f>D$3/(Data_nieuwveer!AQ92*N$3)</f>
        <v>0.14665542455410174</v>
      </c>
      <c r="AC92" s="53">
        <f>(D$2+D$3)/(Data_nieuwveer!AQ92)</f>
        <v>0.15237905306802241</v>
      </c>
    </row>
    <row r="93" spans="1:32" x14ac:dyDescent="0.3">
      <c r="A93" s="2">
        <f>Data_nieuwveer!A93</f>
        <v>41632</v>
      </c>
      <c r="B93" s="52"/>
      <c r="C93" s="21"/>
      <c r="D93" s="21">
        <f>AVERAGE(Data_nieuwveer!AX93,Data_nieuwveer!BB93,Data_nieuwveer!BF93)</f>
        <v>3.3530000000000002</v>
      </c>
      <c r="E93">
        <f>Data_nieuwveer!BJ93</f>
        <v>3.83</v>
      </c>
      <c r="F93">
        <f t="shared" si="5"/>
        <v>3.5549965335502813</v>
      </c>
      <c r="G93" s="21"/>
      <c r="O93">
        <f t="shared" si="6"/>
        <v>2.9626176470588237</v>
      </c>
      <c r="P93" s="23">
        <f t="shared" si="7"/>
        <v>2.7760340578164704</v>
      </c>
      <c r="Q93" s="24"/>
      <c r="R93" s="23"/>
      <c r="S93" s="54"/>
      <c r="T93" s="54"/>
      <c r="U93" s="54"/>
      <c r="V93" s="54"/>
      <c r="W93" s="54"/>
      <c r="X93" s="50"/>
      <c r="Y93" s="50"/>
      <c r="Z93" s="54"/>
      <c r="AA93" s="55"/>
      <c r="AB93" s="41">
        <f>D$3/(Data_nieuwveer!AQ93*N$3)</f>
        <v>0.15306571108931413</v>
      </c>
      <c r="AC93" s="53">
        <f>(D$2+D$3)/(Data_nieuwveer!AQ93)</f>
        <v>0.15903951854415638</v>
      </c>
    </row>
    <row r="94" spans="1:32" x14ac:dyDescent="0.3">
      <c r="A94" s="2">
        <f>Data_nieuwveer!A94</f>
        <v>41633</v>
      </c>
      <c r="B94" s="52"/>
      <c r="C94" s="21"/>
      <c r="D94" s="21">
        <f>AVERAGE(Data_nieuwveer!AX94,Data_nieuwveer!BB94,Data_nieuwveer!BF94)</f>
        <v>3.1660000000000004</v>
      </c>
      <c r="E94">
        <f>Data_nieuwveer!BJ94</f>
        <v>3.5459999999999998</v>
      </c>
      <c r="F94">
        <f t="shared" si="5"/>
        <v>3.3269196703335577</v>
      </c>
      <c r="G94" s="21"/>
      <c r="O94">
        <f t="shared" si="6"/>
        <v>2.7429352941176468</v>
      </c>
      <c r="P94" s="23">
        <f t="shared" si="7"/>
        <v>2.5979328602163525</v>
      </c>
      <c r="Q94" s="24"/>
      <c r="R94" s="23"/>
      <c r="S94" s="54"/>
      <c r="T94" s="54"/>
      <c r="U94" s="54"/>
      <c r="V94" s="54"/>
      <c r="W94" s="54"/>
      <c r="X94" s="50"/>
      <c r="Y94" s="50"/>
      <c r="Z94" s="54"/>
      <c r="AA94" s="55"/>
      <c r="AB94" s="41">
        <f>D$3/(Data_nieuwveer!AQ94*N$3)</f>
        <v>0.11403018782539727</v>
      </c>
      <c r="AC94" s="53">
        <f>(D$2+D$3)/(Data_nieuwveer!AQ94)</f>
        <v>0.11848052736428288</v>
      </c>
    </row>
    <row r="95" spans="1:32" x14ac:dyDescent="0.3">
      <c r="A95" s="2">
        <f>Data_nieuwveer!A95</f>
        <v>41634</v>
      </c>
      <c r="B95" s="52"/>
      <c r="C95" s="21"/>
      <c r="D95" s="21">
        <f>AVERAGE(Data_nieuwveer!AX95,Data_nieuwveer!BB95,Data_nieuwveer!BF95)</f>
        <v>3.1386666666666669</v>
      </c>
      <c r="E95">
        <f>Data_nieuwveer!BJ95</f>
        <v>3.8410000000000002</v>
      </c>
      <c r="F95">
        <f t="shared" si="5"/>
        <v>3.4360857415726369</v>
      </c>
      <c r="G95" s="21"/>
      <c r="O95">
        <f t="shared" si="6"/>
        <v>2.9711264705882354</v>
      </c>
      <c r="P95" s="23">
        <f t="shared" si="7"/>
        <v>2.6831787187868685</v>
      </c>
      <c r="Q95" s="24"/>
      <c r="R95" s="23"/>
      <c r="S95" s="54"/>
      <c r="T95" s="54"/>
      <c r="U95" s="54"/>
      <c r="V95" s="54"/>
      <c r="W95" s="54"/>
      <c r="X95" s="50"/>
      <c r="Y95" s="50"/>
      <c r="Z95" s="54"/>
      <c r="AA95" s="55"/>
      <c r="AB95" s="41">
        <f>D$3/(Data_nieuwveer!AQ95*N$3)</f>
        <v>0.13926804753130517</v>
      </c>
      <c r="AC95" s="53">
        <f>(D$2+D$3)/(Data_nieuwveer!AQ95)</f>
        <v>0.14470336347922758</v>
      </c>
    </row>
    <row r="96" spans="1:32" x14ac:dyDescent="0.3">
      <c r="A96" s="2">
        <f>Data_nieuwveer!A96</f>
        <v>41635</v>
      </c>
      <c r="B96" s="52"/>
      <c r="C96" s="21"/>
      <c r="D96" s="21">
        <f>AVERAGE(Data_nieuwveer!AX96,Data_nieuwveer!BB96,Data_nieuwveer!BF96)</f>
        <v>3.3799999999999994</v>
      </c>
      <c r="E96">
        <f>Data_nieuwveer!BJ96</f>
        <v>4.2300000000000004</v>
      </c>
      <c r="F96">
        <f t="shared" si="5"/>
        <v>3.7399518941671674</v>
      </c>
      <c r="G96" s="21"/>
      <c r="O96">
        <f t="shared" si="6"/>
        <v>3.2720294117647062</v>
      </c>
      <c r="P96" s="23">
        <f t="shared" si="7"/>
        <v>2.9204624350040684</v>
      </c>
      <c r="Q96" s="24"/>
      <c r="R96" s="23"/>
      <c r="S96" s="54"/>
      <c r="T96" s="54"/>
      <c r="U96" s="54"/>
      <c r="V96" s="54"/>
      <c r="W96" s="54"/>
      <c r="X96" s="50"/>
      <c r="Y96" s="50"/>
      <c r="Z96" s="54"/>
      <c r="AA96" s="55"/>
      <c r="AB96" s="41">
        <f>D$3/(Data_nieuwveer!AQ96*N$3)</f>
        <v>0.1575012150695142</v>
      </c>
      <c r="AC96" s="53">
        <f>(D$2+D$3)/(Data_nieuwveer!AQ96)</f>
        <v>0.16364813018220045</v>
      </c>
    </row>
    <row r="97" spans="1:32" x14ac:dyDescent="0.3">
      <c r="A97" s="2">
        <f>Data_nieuwveer!A97</f>
        <v>41636</v>
      </c>
      <c r="B97" s="52"/>
      <c r="C97" s="21">
        <f>Data_nieuwveer!AR97*B$8</f>
        <v>51.705201886236374</v>
      </c>
      <c r="D97" s="21">
        <f>AVERAGE(Data_nieuwveer!AX97,Data_nieuwveer!BB97,Data_nieuwveer!BF97)</f>
        <v>2.8279999999999998</v>
      </c>
      <c r="E97">
        <f>Data_nieuwveer!BJ97</f>
        <v>3.7320000000000002</v>
      </c>
      <c r="F97">
        <f t="shared" si="5"/>
        <v>3.2108194262671996</v>
      </c>
      <c r="G97" s="21">
        <f>IF(ISBLANK(Data_nieuwveer!AY97),0,AVERAGE(Data_nieuwveer!AX97*(1-Data_nieuwveer!AY97/100),Data_nieuwveer!BB97*(1-Data_nieuwveer!BC97/100),Data_nieuwveer!BF97*(1-Data_nieuwveer!BG97/100)))</f>
        <v>2.2806633333333335</v>
      </c>
      <c r="H97">
        <f>IF(ISBLANK(Data_nieuwveer!BK97),0,Data_nieuwveer!BJ97*(1-Data_nieuwveer!BK97/100))</f>
        <v>3.0229200000000005</v>
      </c>
      <c r="I97">
        <f>(M97*$D$2+N97*$D$3)/$D$4</f>
        <v>0.80894131795833191</v>
      </c>
      <c r="J97">
        <f>(Data_nieuwveer!AX97*(1-Data_nieuwveer!AY97/100)/Data_nieuwveer!AX97)</f>
        <v>0.8</v>
      </c>
      <c r="K97">
        <f>(Data_nieuwveer!BB97*(1-Data_nieuwveer!BC97/100)/Data_nieuwveer!BB97)</f>
        <v>0.81</v>
      </c>
      <c r="L97">
        <f>(Data_nieuwveer!BF97*(1-Data_nieuwveer!BG97/100)/Data_nieuwveer!BF97)</f>
        <v>0.81</v>
      </c>
      <c r="M97">
        <f>(Data_nieuwveer!BJ97*(1-Data_nieuwveer!BK97/100)/Data_nieuwveer!BJ97)</f>
        <v>0.81</v>
      </c>
      <c r="N97">
        <f>AVERAGE(J97:M97)</f>
        <v>0.8075</v>
      </c>
      <c r="O97">
        <f t="shared" si="6"/>
        <v>2.8868117647058824</v>
      </c>
      <c r="P97" s="23">
        <f t="shared" si="7"/>
        <v>2.50727222845277</v>
      </c>
      <c r="Q97" s="24">
        <f>'Edited data B'!C97*Data_nieuwveer!AQ97*$N$3/($D$3*O97*1000)</f>
        <v>0.15166344478809052</v>
      </c>
      <c r="R97" s="23">
        <f>'Edited data B'!C97*Data_nieuwveer!AQ97/($D$4*P97*1000)</f>
        <v>0.16806247438745478</v>
      </c>
      <c r="S97" s="54">
        <f>IF(ISBLANK(Data_nieuwveer!BZ97),0,Data_nieuwveer!AX97*(D$2/3+H$2/3)/(Data_nieuwveer!AZ97*Data_nieuwveer!BA97+(Data_nieuwveer!F97+Data_nieuwveer!BP97)*N$2/3*Data_nieuwveer!BZ97/1000))</f>
        <v>12.237500444068258</v>
      </c>
      <c r="T97" s="54">
        <f>IF(ISBLANK(Data_nieuwveer!BZ97),0,Data_nieuwveer!BB97*(D$2/3+H$2/3)/(Data_nieuwveer!BD97*Data_nieuwveer!BE97+(Data_nieuwveer!F97+Data_nieuwveer!BP97)*N$2/3*Data_nieuwveer!BZ97/1000))</f>
        <v>13.842529501322321</v>
      </c>
      <c r="U97" s="54">
        <f>IF(ISBLANK(Data_nieuwveer!BZ97),0,Data_nieuwveer!BF97*(D$2/3+H$2/3)/(Data_nieuwveer!BH97*Data_nieuwveer!BI97+(Data_nieuwveer!F97+Data_nieuwveer!BP97)*N$2/3*Data_nieuwveer!BZ97/1000))</f>
        <v>9.9304423936381436</v>
      </c>
      <c r="V97" s="54">
        <f>AVERAGE(S97:U97)</f>
        <v>12.003490779676241</v>
      </c>
      <c r="W97" s="54">
        <f>V97*D$2/(D$2+H$2)</f>
        <v>5.680251320092415</v>
      </c>
      <c r="X97" s="50">
        <f>IF(ISBLANK(Data_nieuwveer!BZ97),0,Data_nieuwveer!BJ97*(D$3+H$3)/(Data_nieuwveer!BM97*Data_nieuwveer!BN97+(Data_nieuwveer!F97+Data_nieuwveer!BP97)*N$3*Data_nieuwveer!BZ97/1000))</f>
        <v>22.287890422261082</v>
      </c>
      <c r="Y97" s="50">
        <f>X97*D$3/(D$3+H$3)</f>
        <v>10.691186158158091</v>
      </c>
      <c r="Z97" s="54">
        <f>Y97*$J$2</f>
        <v>6.4147116948948542</v>
      </c>
      <c r="AA97" s="55">
        <f>IF(ISBLANK(Data_nieuwveer!BZ97),0,'Edited data B'!P97*(D$2+H$2+D$3+H$3)/((Data_nieuwveer!AZ97*Data_nieuwveer!BA97+Data_nieuwveer!BD97*Data_nieuwveer!BE97+Data_nieuwveer!BH97*Data_nieuwveer!BI97+Data_nieuwveer!BM97*Data_nieuwveer!BN97)+(Data_nieuwveer!F97+Data_nieuwveer!BP97)*Data_nieuwveer!BZ97/1000))</f>
        <v>12.076089237581492</v>
      </c>
      <c r="AB97" s="41">
        <f>D$3/(Data_nieuwveer!AQ97*N$3)</f>
        <v>0.11809590962210395</v>
      </c>
      <c r="AC97" s="53">
        <f>(D$2+D$3)/(Data_nieuwveer!AQ97)</f>
        <v>0.12270492505910961</v>
      </c>
      <c r="AD97">
        <f>((E97-E96)*($D$3+H$3)+(Data_nieuwveer!F97+Data_nieuwveer!BP97)*N$3*Data_nieuwveer!BZ97/1000+Data_nieuwveer!BM97*Data_nieuwveer!BN97)/(Data_nieuwveer!AQ97*N$3*Data_nieuwveer!AR97/1000-((Data_nieuwveer!F97+Data_nieuwveer!BP97)*N$3+Data_nieuwveer!BM97)*Data_nieuwveer!BR97/1000/$P$2)</f>
        <v>-0.76087579213023493</v>
      </c>
      <c r="AE97">
        <f>((F97-F96)*(D$2+H$2+$D$3+H$3)+(Data_nieuwveer!F97+Data_nieuwveer!BP97)*Data_nieuwveer!BZ97/1000+(Data_nieuwveer!AZ97*Data_nieuwveer!BA97+Data_nieuwveer!BD97*Data_nieuwveer!BE97+Data_nieuwveer!BH97*Data_nieuwveer!BI97+Data_nieuwveer!BM97*Data_nieuwveer!BN97))/(Data_nieuwveer!AQ97*Data_nieuwveer!AR97/1000-((Data_nieuwveer!F97+Data_nieuwveer!BP97)+Data_nieuwveer!AZ97+Data_nieuwveer!BD97+Data_nieuwveer!BH97+Data_nieuwveer!BM97)*Data_nieuwveer!BR97/1000/$P$2)</f>
        <v>-0.77507117366539868</v>
      </c>
      <c r="AF97">
        <f>(Data_nieuwveer!AQ97*Data_nieuwveer!AR97-(Data_nieuwveer!BP97+Data_nieuwveer!F97)*Data_nieuwveer!BR97)/(Data_nieuwveer!AQ97*Data_nieuwveer!AR97)</f>
        <v>0.72408644596909921</v>
      </c>
    </row>
    <row r="98" spans="1:32" x14ac:dyDescent="0.3">
      <c r="A98" s="2">
        <f>Data_nieuwveer!A98</f>
        <v>41637</v>
      </c>
      <c r="B98" s="52"/>
      <c r="C98" s="21"/>
      <c r="D98" s="21">
        <f>AVERAGE(Data_nieuwveer!AX98,Data_nieuwveer!BB98,Data_nieuwveer!BF98)</f>
        <v>2.8603333333333332</v>
      </c>
      <c r="E98">
        <f>Data_nieuwveer!BJ98</f>
        <v>3.5430000000000001</v>
      </c>
      <c r="F98">
        <f t="shared" si="5"/>
        <v>3.1494241095115139</v>
      </c>
      <c r="G98" s="21"/>
      <c r="O98">
        <f t="shared" si="6"/>
        <v>2.7406147058823533</v>
      </c>
      <c r="P98" s="23">
        <f t="shared" si="7"/>
        <v>2.4593297090450212</v>
      </c>
      <c r="Q98" s="24"/>
      <c r="R98" s="23"/>
      <c r="S98" s="54"/>
      <c r="T98" s="54"/>
      <c r="U98" s="54"/>
      <c r="V98" s="54"/>
      <c r="W98" s="54"/>
      <c r="X98" s="50"/>
      <c r="Y98" s="50"/>
      <c r="Z98" s="54"/>
      <c r="AA98" s="55"/>
      <c r="AB98" s="41">
        <f>D$3/(Data_nieuwveer!AQ98*N$3)</f>
        <v>0.11309290932019335</v>
      </c>
      <c r="AC98" s="53">
        <f>(D$2+D$3)/(Data_nieuwveer!AQ98)</f>
        <v>0.11750666900535599</v>
      </c>
    </row>
    <row r="99" spans="1:32" x14ac:dyDescent="0.3">
      <c r="A99" s="2">
        <f>Data_nieuwveer!A99</f>
        <v>41638</v>
      </c>
      <c r="B99" s="52"/>
      <c r="C99" s="21"/>
      <c r="D99" s="21">
        <f>AVERAGE(Data_nieuwveer!AX99,Data_nieuwveer!BB99,Data_nieuwveer!BF99)</f>
        <v>3.3066666666666666</v>
      </c>
      <c r="E99">
        <f>Data_nieuwveer!BJ99</f>
        <v>4.54</v>
      </c>
      <c r="F99">
        <f t="shared" si="5"/>
        <v>3.8289498072229491</v>
      </c>
      <c r="G99" s="21"/>
      <c r="O99">
        <f t="shared" si="6"/>
        <v>3.5118235294117648</v>
      </c>
      <c r="P99" s="23">
        <f t="shared" si="7"/>
        <v>2.9899593347579212</v>
      </c>
      <c r="Q99" s="24"/>
      <c r="R99" s="23"/>
      <c r="S99" s="54"/>
      <c r="T99" s="54"/>
      <c r="U99" s="54"/>
      <c r="V99" s="54"/>
      <c r="W99" s="54"/>
      <c r="X99" s="50"/>
      <c r="Y99" s="50"/>
      <c r="Z99" s="54"/>
      <c r="AA99" s="55"/>
      <c r="AB99" s="41">
        <f>D$3/(Data_nieuwveer!AQ99*N$3)</f>
        <v>0.1398081102156894</v>
      </c>
      <c r="AC99" s="53">
        <f>(D$2+D$3)/(Data_nieuwveer!AQ99)</f>
        <v>0.14526450358498263</v>
      </c>
    </row>
    <row r="100" spans="1:32" x14ac:dyDescent="0.3">
      <c r="A100" s="2">
        <f>Data_nieuwveer!A100</f>
        <v>41639</v>
      </c>
      <c r="B100" s="52"/>
      <c r="C100" s="21"/>
      <c r="D100" s="21">
        <f>AVERAGE(Data_nieuwveer!AX100,Data_nieuwveer!BB100,Data_nieuwveer!BF100)</f>
        <v>3.0656666666666665</v>
      </c>
      <c r="E100">
        <f>Data_nieuwveer!BJ100</f>
        <v>4.1120000000000001</v>
      </c>
      <c r="F100">
        <f t="shared" si="5"/>
        <v>3.5087603905061728</v>
      </c>
      <c r="G100" s="21"/>
      <c r="O100">
        <f t="shared" si="6"/>
        <v>3.1807529411764706</v>
      </c>
      <c r="P100" s="23">
        <f t="shared" si="7"/>
        <v>2.7399290696452621</v>
      </c>
      <c r="Q100" s="24"/>
      <c r="R100" s="23"/>
      <c r="S100" s="54"/>
      <c r="T100" s="54"/>
      <c r="U100" s="54"/>
      <c r="V100" s="54"/>
      <c r="W100" s="54"/>
      <c r="X100" s="50"/>
      <c r="Y100" s="50"/>
      <c r="Z100" s="54"/>
      <c r="AA100" s="55"/>
      <c r="AB100" s="41">
        <f>D$3/(Data_nieuwveer!AQ100*N$3)</f>
        <v>0.14568912782836119</v>
      </c>
      <c r="AC100" s="53">
        <f>(D$2+D$3)/(Data_nieuwveer!AQ100)</f>
        <v>0.15137504397324286</v>
      </c>
    </row>
    <row r="101" spans="1:32" x14ac:dyDescent="0.3">
      <c r="A101" s="2">
        <f>Data_nieuwveer!A101</f>
        <v>41640</v>
      </c>
      <c r="B101" s="52"/>
      <c r="C101" s="21"/>
      <c r="D101" s="21">
        <f>AVERAGE(Data_nieuwveer!AX101,Data_nieuwveer!BB101,Data_nieuwveer!BF101)</f>
        <v>2.9043333333333337</v>
      </c>
      <c r="E101">
        <f>Data_nieuwveer!BJ101</f>
        <v>3.956</v>
      </c>
      <c r="F101">
        <f t="shared" si="5"/>
        <v>3.3496855788617315</v>
      </c>
      <c r="G101" s="21"/>
      <c r="O101">
        <f t="shared" si="6"/>
        <v>3.0600823529411767</v>
      </c>
      <c r="P101" s="23">
        <f t="shared" si="7"/>
        <v>2.6157103564346764</v>
      </c>
      <c r="Q101" s="24"/>
      <c r="R101" s="23"/>
      <c r="S101" s="54"/>
      <c r="T101" s="54"/>
      <c r="U101" s="54"/>
      <c r="V101" s="54"/>
      <c r="W101" s="54"/>
      <c r="X101" s="50"/>
      <c r="Y101" s="50"/>
      <c r="Z101" s="54"/>
      <c r="AA101" s="55"/>
      <c r="AB101" s="41">
        <f>D$3/(Data_nieuwveer!AQ101*N$3)</f>
        <v>0.13873454625552539</v>
      </c>
      <c r="AC101" s="53">
        <f>(D$2+D$3)/(Data_nieuwveer!AQ101)</f>
        <v>0.1441490408589694</v>
      </c>
    </row>
    <row r="102" spans="1:32" x14ac:dyDescent="0.3">
      <c r="A102" s="2">
        <f>Data_nieuwveer!A102</f>
        <v>41641</v>
      </c>
      <c r="B102" s="52">
        <f>Data_nieuwveer!AS102/Data_nieuwveer!AR102</f>
        <v>0.2846153846153846</v>
      </c>
      <c r="C102" s="21">
        <f>Data_nieuwveer!AR102*B$8</f>
        <v>48.01197318007663</v>
      </c>
      <c r="D102" s="21">
        <f>AVERAGE(Data_nieuwveer!AX102,Data_nieuwveer!BB102,Data_nieuwveer!BF102)</f>
        <v>3.0233333333333334</v>
      </c>
      <c r="E102">
        <f>Data_nieuwveer!BJ102</f>
        <v>4.42</v>
      </c>
      <c r="F102">
        <f t="shared" si="5"/>
        <v>3.6147837006119348</v>
      </c>
      <c r="G102" s="21">
        <f>IF(ISBLANK(Data_nieuwveer!AY102),0,AVERAGE(Data_nieuwveer!AX102*(1-Data_nieuwveer!AY102/100),Data_nieuwveer!BB102*(1-Data_nieuwveer!BC102/100),Data_nieuwveer!BF102*(1-Data_nieuwveer!BG102/100)))</f>
        <v>2.4694000000000003</v>
      </c>
      <c r="H102">
        <f>IF(ISBLANK(Data_nieuwveer!BK102),0,Data_nieuwveer!BJ102*(1-Data_nieuwveer!BK102/100))</f>
        <v>3.5802</v>
      </c>
      <c r="I102">
        <f>(M102*$D$2+N102*$D$3)/$D$4</f>
        <v>0.81211736408333635</v>
      </c>
      <c r="J102">
        <f>(Data_nieuwveer!AX102*(1-Data_nieuwveer!AY102/100)/Data_nieuwveer!AX102)</f>
        <v>0.81</v>
      </c>
      <c r="K102">
        <f>(Data_nieuwveer!BB102*(1-Data_nieuwveer!BC102/100)/Data_nieuwveer!BB102)</f>
        <v>0.82000000000000006</v>
      </c>
      <c r="L102">
        <f>(Data_nieuwveer!BF102*(1-Data_nieuwveer!BG102/100)/Data_nieuwveer!BF102)</f>
        <v>0.82000000000000006</v>
      </c>
      <c r="M102">
        <f>(Data_nieuwveer!BJ102*(1-Data_nieuwveer!BK102/100)/Data_nieuwveer!BJ102)</f>
        <v>0.81</v>
      </c>
      <c r="N102">
        <f>AVERAGE(J102:M102)</f>
        <v>0.81500000000000006</v>
      </c>
      <c r="O102">
        <f t="shared" si="6"/>
        <v>3.419</v>
      </c>
      <c r="P102" s="23">
        <f t="shared" si="7"/>
        <v>2.8227208015072618</v>
      </c>
      <c r="Q102" s="24">
        <f>'Edited data B'!C102*Data_nieuwveer!AQ102*$N$3/($D$3*O102*1000)</f>
        <v>0.10194387350770497</v>
      </c>
      <c r="R102" s="23">
        <f>'Edited data B'!C102*Data_nieuwveer!AQ102/($D$4*P102*1000)</f>
        <v>0.11884069128557949</v>
      </c>
      <c r="S102" s="54">
        <f>IF(ISBLANK(Data_nieuwveer!BZ102),0,Data_nieuwveer!AX102*(D$2/3+H$2/3)/(Data_nieuwveer!AZ102*Data_nieuwveer!BA102+(Data_nieuwveer!F102+Data_nieuwveer!BP102)*N$2/3*Data_nieuwveer!BZ102/1000))</f>
        <v>15.64061097620114</v>
      </c>
      <c r="T102" s="54">
        <f>IF(ISBLANK(Data_nieuwveer!BZ102),0,Data_nieuwveer!BB102*(D$2/3+H$2/3)/(Data_nieuwveer!BD102*Data_nieuwveer!BE102+(Data_nieuwveer!F102+Data_nieuwveer!BP102)*N$2/3*Data_nieuwveer!BZ102/1000))</f>
        <v>13.57820618401424</v>
      </c>
      <c r="U102" s="54">
        <f>IF(ISBLANK(Data_nieuwveer!BZ102),0,Data_nieuwveer!BF102*(D$2/3+H$2/3)/(Data_nieuwveer!BH102*Data_nieuwveer!BI102+(Data_nieuwveer!F102+Data_nieuwveer!BP102)*N$2/3*Data_nieuwveer!BZ102/1000))</f>
        <v>16.277045051595145</v>
      </c>
      <c r="V102" s="54">
        <f>AVERAGE(S102:U102)</f>
        <v>15.165287403936842</v>
      </c>
      <c r="W102" s="54">
        <f>V102*D$2/(D$2+H$2)</f>
        <v>7.1764660278363266</v>
      </c>
      <c r="X102" s="50">
        <f>IF(ISBLANK(Data_nieuwveer!BZ102),0,Data_nieuwveer!BJ102*(D$3+H$3)/(Data_nieuwveer!BM102*Data_nieuwveer!BN102+(Data_nieuwveer!F102+Data_nieuwveer!BP102)*N$3*Data_nieuwveer!BZ102/1000))</f>
        <v>24.783453434445505</v>
      </c>
      <c r="Y102" s="50">
        <f>X102*D$3/(D$3+H$3)</f>
        <v>11.888272478451062</v>
      </c>
      <c r="Z102" s="54">
        <f>Y102*$J$2</f>
        <v>7.1329634870706373</v>
      </c>
      <c r="AA102" s="55">
        <f>IF(ISBLANK(Data_nieuwveer!BZ102),0,'Edited data B'!P102*(D$2+H$2+D$3+H$3)/((Data_nieuwveer!AZ102*Data_nieuwveer!BA102+Data_nieuwveer!BD102*Data_nieuwveer!BE102+Data_nieuwveer!BH102*Data_nieuwveer!BI102+Data_nieuwveer!BM102*Data_nieuwveer!BN102)+(Data_nieuwveer!F102+Data_nieuwveer!BP102)*Data_nieuwveer!BZ102/1000))</f>
        <v>14.783543875624751</v>
      </c>
      <c r="AB102" s="41">
        <f>D$3/(Data_nieuwveer!AQ102*N$3)</f>
        <v>0.13774927533203649</v>
      </c>
      <c r="AC102" s="53">
        <f>(D$2+D$3)/(Data_nieuwveer!AQ102)</f>
        <v>0.14312531704654877</v>
      </c>
      <c r="AD102">
        <f>((E102-E101)*($D$3+H$3)+(Data_nieuwveer!F102+Data_nieuwveer!BP102)*N$3*Data_nieuwveer!BZ102/1000+Data_nieuwveer!BM102*Data_nieuwveer!BN102)/(Data_nieuwveer!AQ102*N$3*Data_nieuwveer!AR102/1000-((Data_nieuwveer!F102+Data_nieuwveer!BP102)*N$3+Data_nieuwveer!BM102)*Data_nieuwveer!BR102/1000/$P$2)</f>
        <v>1.9527473092443217</v>
      </c>
      <c r="AE102">
        <f>((F102-F101)*(D$2+H$2+$D$3+H$3)+(Data_nieuwveer!F102+Data_nieuwveer!BP102)*Data_nieuwveer!BZ102/1000+(Data_nieuwveer!AZ102*Data_nieuwveer!BA102+Data_nieuwveer!BD102*Data_nieuwveer!BE102+Data_nieuwveer!BH102*Data_nieuwveer!BI102+Data_nieuwveer!BM102*Data_nieuwveer!BN102))/(Data_nieuwveer!AQ102*Data_nieuwveer!AR102/1000-((Data_nieuwveer!F102+Data_nieuwveer!BP102)+Data_nieuwveer!AZ102+Data_nieuwveer!BD102+Data_nieuwveer!BH102+Data_nieuwveer!BM102)*Data_nieuwveer!BR102/1000/$P$2)</f>
        <v>1.4517599750699106</v>
      </c>
      <c r="AF102">
        <f>(Data_nieuwveer!AQ102*Data_nieuwveer!AR102-(Data_nieuwveer!BP102+Data_nieuwveer!F102)*Data_nieuwveer!BR102)/(Data_nieuwveer!AQ102*Data_nieuwveer!AR102)</f>
        <v>0.68101571413739626</v>
      </c>
    </row>
    <row r="103" spans="1:32" x14ac:dyDescent="0.3">
      <c r="A103" s="2">
        <f>Data_nieuwveer!A103</f>
        <v>41642</v>
      </c>
      <c r="B103" s="52"/>
      <c r="C103" s="21"/>
      <c r="D103" s="21">
        <f>AVERAGE(Data_nieuwveer!AX103,Data_nieuwveer!BB103,Data_nieuwveer!BF103)</f>
        <v>2.8273333333333333</v>
      </c>
      <c r="E103">
        <f>Data_nieuwveer!BJ103</f>
        <v>3.9529999999999998</v>
      </c>
      <c r="F103">
        <f t="shared" si="5"/>
        <v>3.304022567295108</v>
      </c>
      <c r="G103" s="21"/>
      <c r="O103">
        <f t="shared" si="6"/>
        <v>3.0577617647058823</v>
      </c>
      <c r="P103" s="23">
        <f t="shared" si="7"/>
        <v>2.5800529165201511</v>
      </c>
      <c r="Q103" s="24"/>
      <c r="R103" s="23"/>
      <c r="S103" s="54"/>
      <c r="T103" s="54"/>
      <c r="U103" s="54"/>
      <c r="V103" s="54"/>
      <c r="W103" s="54"/>
      <c r="X103" s="50"/>
      <c r="Y103" s="50"/>
      <c r="Z103" s="54"/>
      <c r="AA103" s="55"/>
      <c r="AB103" s="41">
        <f>D$3/(Data_nieuwveer!AQ103*N$3)</f>
        <v>0.15006836810000762</v>
      </c>
      <c r="AC103" s="53">
        <f>(D$2+D$3)/(Data_nieuwveer!AQ103)</f>
        <v>0.15592519605782984</v>
      </c>
    </row>
    <row r="104" spans="1:32" x14ac:dyDescent="0.3">
      <c r="A104" s="2">
        <f>Data_nieuwveer!A104</f>
        <v>41643</v>
      </c>
      <c r="B104" s="52"/>
      <c r="C104" s="21"/>
      <c r="D104" s="21">
        <f>AVERAGE(Data_nieuwveer!AX104,Data_nieuwveer!BB104,Data_nieuwveer!BF104)</f>
        <v>2.6903333333333337</v>
      </c>
      <c r="E104">
        <f>Data_nieuwveer!BJ104</f>
        <v>3.379</v>
      </c>
      <c r="F104">
        <f t="shared" si="5"/>
        <v>2.9819649464115168</v>
      </c>
      <c r="G104" s="21"/>
      <c r="O104">
        <f t="shared" si="6"/>
        <v>2.6137558823529412</v>
      </c>
      <c r="P104" s="23">
        <f t="shared" si="7"/>
        <v>2.3285638037419352</v>
      </c>
      <c r="Q104" s="24"/>
      <c r="R104" s="23"/>
      <c r="S104" s="54"/>
      <c r="T104" s="54"/>
      <c r="U104" s="54"/>
      <c r="V104" s="54"/>
      <c r="W104" s="54"/>
      <c r="X104" s="50"/>
      <c r="Y104" s="50"/>
      <c r="Z104" s="54"/>
      <c r="AA104" s="55"/>
      <c r="AB104" s="41">
        <f>D$3/(Data_nieuwveer!AQ104*N$3)</f>
        <v>0.10696103716397509</v>
      </c>
      <c r="AC104" s="53">
        <f>(D$2+D$3)/(Data_nieuwveer!AQ104)</f>
        <v>0.11113548378981002</v>
      </c>
    </row>
    <row r="105" spans="1:32" x14ac:dyDescent="0.3">
      <c r="A105" s="2">
        <f>Data_nieuwveer!A105</f>
        <v>41644</v>
      </c>
      <c r="B105" s="52"/>
      <c r="C105" s="21"/>
      <c r="D105" s="21">
        <f>AVERAGE(Data_nieuwveer!AX105,Data_nieuwveer!BB105,Data_nieuwveer!BF105)</f>
        <v>2.8833333333333333</v>
      </c>
      <c r="E105">
        <f>Data_nieuwveer!BJ105</f>
        <v>3.7629999999999999</v>
      </c>
      <c r="F105">
        <f t="shared" ref="F105:F136" si="8">(D105*$D$2+E105*$D$3)/$D$4</f>
        <v>3.2558482543949627</v>
      </c>
      <c r="G105" s="21"/>
      <c r="O105">
        <f t="shared" si="6"/>
        <v>2.910791176470588</v>
      </c>
      <c r="P105" s="23">
        <f t="shared" si="7"/>
        <v>2.5424344457113612</v>
      </c>
      <c r="Q105" s="24"/>
      <c r="R105" s="23"/>
      <c r="S105" s="54"/>
      <c r="T105" s="54"/>
      <c r="U105" s="54"/>
      <c r="V105" s="54"/>
      <c r="W105" s="54"/>
      <c r="X105" s="50"/>
      <c r="Y105" s="50"/>
      <c r="Z105" s="54"/>
      <c r="AA105" s="55"/>
      <c r="AB105" s="41">
        <f>D$3/(Data_nieuwveer!AQ105*N$3)</f>
        <v>0.13188552142855506</v>
      </c>
      <c r="AC105" s="53">
        <f>(D$2+D$3)/(Data_nieuwveer!AQ105)</f>
        <v>0.13703271413088366</v>
      </c>
    </row>
    <row r="106" spans="1:32" x14ac:dyDescent="0.3">
      <c r="A106" s="2">
        <f>Data_nieuwveer!A106</f>
        <v>41645</v>
      </c>
      <c r="B106" s="52"/>
      <c r="C106" s="21"/>
      <c r="D106" s="21">
        <f>AVERAGE(Data_nieuwveer!AX106,Data_nieuwveer!BB106,Data_nieuwveer!BF106)</f>
        <v>2.6733333333333333</v>
      </c>
      <c r="E106">
        <f>Data_nieuwveer!BJ106</f>
        <v>3.95</v>
      </c>
      <c r="F106">
        <f t="shared" si="8"/>
        <v>3.2139669626118637</v>
      </c>
      <c r="G106" s="21"/>
      <c r="O106">
        <f t="shared" si="6"/>
        <v>3.0554411764705884</v>
      </c>
      <c r="P106" s="23">
        <f t="shared" ref="P106:P137" si="9">N$8*F106</f>
        <v>2.5097300840395591</v>
      </c>
      <c r="Q106" s="24"/>
      <c r="R106" s="23"/>
      <c r="S106" s="54"/>
      <c r="T106" s="54"/>
      <c r="U106" s="54"/>
      <c r="V106" s="54"/>
      <c r="W106" s="54"/>
      <c r="X106" s="50"/>
      <c r="Y106" s="50"/>
      <c r="Z106" s="54"/>
      <c r="AA106" s="55"/>
      <c r="AB106" s="41">
        <f>D$3/(Data_nieuwveer!AQ106*N$3)</f>
        <v>0.14820743038670256</v>
      </c>
      <c r="AC106" s="53">
        <f>(D$2+D$3)/(Data_nieuwveer!AQ106)</f>
        <v>0.15399163016734763</v>
      </c>
    </row>
    <row r="107" spans="1:32" x14ac:dyDescent="0.3">
      <c r="A107" s="2">
        <f>Data_nieuwveer!A107</f>
        <v>41646</v>
      </c>
      <c r="B107" s="52"/>
      <c r="C107" s="21"/>
      <c r="D107" s="21">
        <f>AVERAGE(Data_nieuwveer!AX107,Data_nieuwveer!BB107,Data_nieuwveer!BF107)</f>
        <v>2.8103333333333329</v>
      </c>
      <c r="E107">
        <f>Data_nieuwveer!BJ107</f>
        <v>3.9950000000000001</v>
      </c>
      <c r="F107">
        <f t="shared" si="8"/>
        <v>3.312007463478476</v>
      </c>
      <c r="G107" s="21"/>
      <c r="O107">
        <f t="shared" si="6"/>
        <v>3.0902500000000002</v>
      </c>
      <c r="P107" s="23">
        <f t="shared" si="9"/>
        <v>2.5862881810398108</v>
      </c>
      <c r="Q107" s="24"/>
      <c r="R107" s="23"/>
      <c r="S107" s="54"/>
      <c r="T107" s="54"/>
      <c r="U107" s="54"/>
      <c r="V107" s="54"/>
      <c r="W107" s="54"/>
      <c r="X107" s="50"/>
      <c r="Y107" s="50"/>
      <c r="Z107" s="54"/>
      <c r="AA107" s="55"/>
      <c r="AB107" s="41">
        <f>D$3/(Data_nieuwveer!AQ107*N$3)</f>
        <v>0.13868137137110514</v>
      </c>
      <c r="AC107" s="53">
        <f>(D$2+D$3)/(Data_nieuwveer!AQ107)</f>
        <v>0.14409379067944419</v>
      </c>
    </row>
    <row r="108" spans="1:32" x14ac:dyDescent="0.3">
      <c r="A108" s="2">
        <f>Data_nieuwveer!A108</f>
        <v>41647</v>
      </c>
      <c r="B108" s="52"/>
      <c r="C108" s="21">
        <f>Data_nieuwveer!AR108*B$8</f>
        <v>44.318744473916887</v>
      </c>
      <c r="D108" s="21">
        <f>AVERAGE(Data_nieuwveer!AX108,Data_nieuwveer!BB108,Data_nieuwveer!BF108)</f>
        <v>2.9563333333333333</v>
      </c>
      <c r="E108">
        <f>Data_nieuwveer!BJ108</f>
        <v>4.1740000000000004</v>
      </c>
      <c r="F108">
        <f t="shared" si="8"/>
        <v>3.4719820664284957</v>
      </c>
      <c r="G108" s="21"/>
      <c r="O108">
        <f t="shared" si="6"/>
        <v>3.2287117647058827</v>
      </c>
      <c r="P108" s="23">
        <f t="shared" si="9"/>
        <v>2.7112095254022526</v>
      </c>
      <c r="Q108" s="24">
        <f>'Edited data B'!C108*Data_nieuwveer!AQ108*$N$3/($D$3*O108*1000)</f>
        <v>8.7174383388838178E-2</v>
      </c>
      <c r="R108" s="23">
        <f>'Edited data B'!C108*Data_nieuwveer!AQ108/($D$4*P108*1000)</f>
        <v>9.9914366651323569E-2</v>
      </c>
      <c r="S108" s="54">
        <f>IF(ISBLANK(Data_nieuwveer!BZ108),0,Data_nieuwveer!AX108*(D$2/3+H$2/3)/(Data_nieuwveer!AZ108*Data_nieuwveer!BA108+(Data_nieuwveer!F108+Data_nieuwveer!BP108)*N$2/3*Data_nieuwveer!BZ108/1000))</f>
        <v>20.058639365087032</v>
      </c>
      <c r="T108" s="54">
        <f>IF(ISBLANK(Data_nieuwveer!BZ108),0,Data_nieuwveer!BB108*(D$2/3+H$2/3)/(Data_nieuwveer!BD108*Data_nieuwveer!BE108+(Data_nieuwveer!F108+Data_nieuwveer!BP108)*N$2/3*Data_nieuwveer!BZ108/1000))</f>
        <v>16.079748293921092</v>
      </c>
      <c r="U108" s="54">
        <f>IF(ISBLANK(Data_nieuwveer!BZ108),0,Data_nieuwveer!BF108*(D$2/3+H$2/3)/(Data_nieuwveer!BH108*Data_nieuwveer!BI108+(Data_nieuwveer!F108+Data_nieuwveer!BP108)*N$2/3*Data_nieuwveer!BZ108/1000))</f>
        <v>20.587302265155632</v>
      </c>
      <c r="V108" s="54">
        <f>AVERAGE(S108:U108)</f>
        <v>18.908563308054585</v>
      </c>
      <c r="W108" s="54">
        <f>V108*D$2/(D$2+H$2)</f>
        <v>8.947846394274066</v>
      </c>
      <c r="X108" s="50">
        <f>IF(ISBLANK(Data_nieuwveer!BZ108),0,Data_nieuwveer!BJ108*(D$3+H$3)/(Data_nieuwveer!BM108*Data_nieuwveer!BN108+(Data_nieuwveer!F108+Data_nieuwveer!BP108)*N$3*Data_nieuwveer!BZ108/1000))</f>
        <v>20.126026643873988</v>
      </c>
      <c r="Y108" s="50">
        <f>X108*D$3/(D$3+H$3)</f>
        <v>9.6541706459034931</v>
      </c>
      <c r="Z108" s="54">
        <f>Y108*$J$2</f>
        <v>5.792502387542096</v>
      </c>
      <c r="AA108" s="55">
        <f>IF(ISBLANK(Data_nieuwveer!BZ108),0,'Edited data B'!P108*(D$2+H$2+D$3+H$3)/((Data_nieuwveer!AZ108*Data_nieuwveer!BA108+Data_nieuwveer!BD108*Data_nieuwveer!BE108+Data_nieuwveer!BH108*Data_nieuwveer!BI108+Data_nieuwveer!BM108*Data_nieuwveer!BN108)+(Data_nieuwveer!F108+Data_nieuwveer!BP108)*Data_nieuwveer!BZ108/1000))</f>
        <v>15.200530603075533</v>
      </c>
      <c r="AB108" s="41">
        <f>D$3/(Data_nieuwveer!AQ108*N$3)</f>
        <v>0.15745965234508086</v>
      </c>
      <c r="AC108" s="53">
        <f>(D$2+D$3)/(Data_nieuwveer!AQ108)</f>
        <v>0.16360494535892278</v>
      </c>
      <c r="AD108">
        <f>((E108-E107)*($D$3+H$3)+(Data_nieuwveer!F108+Data_nieuwveer!BP108)*N$3*Data_nieuwveer!BZ108/1000+Data_nieuwveer!BM108*Data_nieuwveer!BN108)/(Data_nieuwveer!AQ108*N$3*Data_nieuwveer!AR108/1000-((Data_nieuwveer!F108+Data_nieuwveer!BP108)*N$3+Data_nieuwveer!BM108)*Data_nieuwveer!BR108/1000/$P$2)</f>
        <v>1.4571335224055868</v>
      </c>
      <c r="AE108">
        <f>((F108-F107)*(D$2+H$2+$D$3+H$3)+(Data_nieuwveer!F108+Data_nieuwveer!BP108)*Data_nieuwveer!BZ108/1000+(Data_nieuwveer!AZ108*Data_nieuwveer!BA108+Data_nieuwveer!BD108*Data_nieuwveer!BE108+Data_nieuwveer!BH108*Data_nieuwveer!BI108+Data_nieuwveer!BM108*Data_nieuwveer!BN108))/(Data_nieuwveer!AQ108*Data_nieuwveer!AR108/1000-((Data_nieuwveer!F108+Data_nieuwveer!BP108)+Data_nieuwveer!AZ108+Data_nieuwveer!BD108+Data_nieuwveer!BH108+Data_nieuwveer!BM108)*Data_nieuwveer!BR108/1000/$P$2)</f>
        <v>1.3354020658120824</v>
      </c>
      <c r="AF108">
        <f>(Data_nieuwveer!AQ108*Data_nieuwveer!AR108-(Data_nieuwveer!BP108+Data_nieuwveer!F108)*Data_nieuwveer!BR108)/(Data_nieuwveer!AQ108*Data_nieuwveer!AR108)</f>
        <v>0.68024813599968514</v>
      </c>
    </row>
    <row r="109" spans="1:32" x14ac:dyDescent="0.3">
      <c r="A109" s="2">
        <f>Data_nieuwveer!A109</f>
        <v>41648</v>
      </c>
      <c r="B109" s="52"/>
      <c r="C109" s="21"/>
      <c r="D109" s="21">
        <f>AVERAGE(Data_nieuwveer!AX109,Data_nieuwveer!BB109,Data_nieuwveer!BF109)</f>
        <v>2.48</v>
      </c>
      <c r="E109">
        <f>Data_nieuwveer!BJ109</f>
        <v>3.8</v>
      </c>
      <c r="F109">
        <f t="shared" si="8"/>
        <v>3.0389841180007782</v>
      </c>
      <c r="G109" s="21"/>
      <c r="O109">
        <f t="shared" si="6"/>
        <v>2.9394117647058824</v>
      </c>
      <c r="P109" s="23">
        <f t="shared" si="9"/>
        <v>2.3730890686153141</v>
      </c>
      <c r="Q109" s="24"/>
      <c r="R109" s="23"/>
      <c r="S109" s="54"/>
      <c r="T109" s="54"/>
      <c r="U109" s="54"/>
      <c r="V109" s="54"/>
      <c r="W109" s="54"/>
      <c r="X109" s="50"/>
      <c r="Y109" s="50"/>
      <c r="Z109" s="54"/>
      <c r="AA109" s="55"/>
      <c r="AB109" s="41">
        <f>D$3/(Data_nieuwveer!AQ109*N$3)</f>
        <v>0.14475935232837533</v>
      </c>
      <c r="AC109" s="53">
        <f>(D$2+D$3)/(Data_nieuwveer!AQ109)</f>
        <v>0.15040898144480619</v>
      </c>
    </row>
    <row r="110" spans="1:32" x14ac:dyDescent="0.3">
      <c r="A110" s="2">
        <f>Data_nieuwveer!A110</f>
        <v>41649</v>
      </c>
      <c r="B110" s="52"/>
      <c r="C110" s="21"/>
      <c r="D110" s="21">
        <f>AVERAGE(Data_nieuwveer!AX110,Data_nieuwveer!BB110,Data_nieuwveer!BF110)</f>
        <v>2.7393333333333332</v>
      </c>
      <c r="E110">
        <f>Data_nieuwveer!BJ110</f>
        <v>3.9590000000000001</v>
      </c>
      <c r="F110">
        <f t="shared" si="8"/>
        <v>3.2558290120618301</v>
      </c>
      <c r="G110" s="21"/>
      <c r="O110">
        <f t="shared" si="6"/>
        <v>3.0624029411764706</v>
      </c>
      <c r="P110" s="23">
        <f t="shared" si="9"/>
        <v>2.5424194197129886</v>
      </c>
      <c r="Q110" s="24"/>
      <c r="R110" s="23"/>
      <c r="S110" s="54"/>
      <c r="T110" s="54"/>
      <c r="U110" s="54"/>
      <c r="V110" s="54"/>
      <c r="W110" s="54"/>
      <c r="X110" s="50"/>
      <c r="Y110" s="50"/>
      <c r="Z110" s="54"/>
      <c r="AA110" s="55"/>
      <c r="AB110" s="41">
        <f>D$3/(Data_nieuwveer!AQ110*N$3)</f>
        <v>0.15205566121185821</v>
      </c>
      <c r="AC110" s="53">
        <f>(D$2+D$3)/(Data_nieuwveer!AQ110)</f>
        <v>0.15799004871140956</v>
      </c>
    </row>
    <row r="111" spans="1:32" x14ac:dyDescent="0.3">
      <c r="A111" s="2">
        <f>Data_nieuwveer!A111</f>
        <v>41650</v>
      </c>
      <c r="B111" s="52"/>
      <c r="C111" s="21"/>
      <c r="D111" s="21">
        <f>AVERAGE(Data_nieuwveer!AX111,Data_nieuwveer!BB111,Data_nieuwveer!BF111)</f>
        <v>2.8153333333333337</v>
      </c>
      <c r="E111">
        <f>Data_nieuwveer!BJ111</f>
        <v>4.0330000000000004</v>
      </c>
      <c r="F111">
        <f t="shared" si="8"/>
        <v>3.3309820664284957</v>
      </c>
      <c r="G111" s="21"/>
      <c r="O111">
        <f t="shared" si="6"/>
        <v>3.1196441176470593</v>
      </c>
      <c r="P111" s="23">
        <f t="shared" si="9"/>
        <v>2.6011051136375465</v>
      </c>
      <c r="Q111" s="24"/>
      <c r="R111" s="23"/>
      <c r="S111" s="54"/>
      <c r="T111" s="54"/>
      <c r="U111" s="54"/>
      <c r="V111" s="54"/>
      <c r="W111" s="54"/>
      <c r="X111" s="50"/>
      <c r="Y111" s="50"/>
      <c r="Z111" s="54"/>
      <c r="AA111" s="55"/>
      <c r="AB111" s="41">
        <f>D$3/(Data_nieuwveer!AQ111*N$3)</f>
        <v>0.18097185270946997</v>
      </c>
      <c r="AC111" s="53">
        <f>(D$2+D$3)/(Data_nieuwveer!AQ111)</f>
        <v>0.18803477356312626</v>
      </c>
    </row>
    <row r="112" spans="1:32" x14ac:dyDescent="0.3">
      <c r="A112" s="2">
        <f>Data_nieuwveer!A112</f>
        <v>41651</v>
      </c>
      <c r="B112" s="52"/>
      <c r="C112" s="21"/>
      <c r="D112" s="21">
        <f>AVERAGE(Data_nieuwveer!AX112,Data_nieuwveer!BB112,Data_nieuwveer!BF112)</f>
        <v>2.5903333333333336</v>
      </c>
      <c r="E112">
        <f>Data_nieuwveer!BJ112</f>
        <v>3.7429999999999999</v>
      </c>
      <c r="F112">
        <f t="shared" si="8"/>
        <v>3.0784563333451236</v>
      </c>
      <c r="G112" s="21"/>
      <c r="O112">
        <f t="shared" si="6"/>
        <v>2.8953205882352941</v>
      </c>
      <c r="P112" s="23">
        <f t="shared" si="9"/>
        <v>2.4039122250092073</v>
      </c>
      <c r="Q112" s="24"/>
      <c r="R112" s="23"/>
      <c r="S112" s="54"/>
      <c r="T112" s="54"/>
      <c r="U112" s="54"/>
      <c r="V112" s="54"/>
      <c r="W112" s="54"/>
      <c r="X112" s="50"/>
      <c r="Y112" s="50"/>
      <c r="Z112" s="54"/>
      <c r="AA112" s="55"/>
      <c r="AB112" s="41">
        <f>D$3/(Data_nieuwveer!AQ112*N$3)</f>
        <v>0.15436411410329187</v>
      </c>
      <c r="AC112" s="53">
        <f>(D$2+D$3)/(Data_nieuwveer!AQ112)</f>
        <v>0.16038859528217778</v>
      </c>
    </row>
    <row r="113" spans="1:32" x14ac:dyDescent="0.3">
      <c r="A113" s="2">
        <f>Data_nieuwveer!A113</f>
        <v>41652</v>
      </c>
      <c r="B113" s="52"/>
      <c r="C113" s="21"/>
      <c r="D113" s="21">
        <f>AVERAGE(Data_nieuwveer!AX113,Data_nieuwveer!BB113,Data_nieuwveer!BF113)</f>
        <v>2.9166666666666665</v>
      </c>
      <c r="E113">
        <f>Data_nieuwveer!BJ113</f>
        <v>4.01</v>
      </c>
      <c r="F113">
        <f t="shared" si="8"/>
        <v>3.3796636128895337</v>
      </c>
      <c r="G113" s="21"/>
      <c r="O113">
        <f t="shared" si="6"/>
        <v>3.1018529411764706</v>
      </c>
      <c r="P113" s="23">
        <f t="shared" si="9"/>
        <v>2.6391196741828571</v>
      </c>
      <c r="Q113" s="24"/>
      <c r="R113" s="23"/>
      <c r="S113" s="54"/>
      <c r="T113" s="54"/>
      <c r="U113" s="54"/>
      <c r="V113" s="54"/>
      <c r="W113" s="54"/>
      <c r="X113" s="50"/>
      <c r="Y113" s="50"/>
      <c r="Z113" s="54"/>
      <c r="AA113" s="55"/>
      <c r="AB113" s="41">
        <f>D$3/(Data_nieuwveer!AQ113*N$3)</f>
        <v>0.18793599124932853</v>
      </c>
      <c r="AC113" s="53">
        <f>(D$2+D$3)/(Data_nieuwveer!AQ113)</f>
        <v>0.19527070663116416</v>
      </c>
    </row>
    <row r="114" spans="1:32" x14ac:dyDescent="0.3">
      <c r="A114" s="2">
        <f>Data_nieuwveer!A114</f>
        <v>41653</v>
      </c>
      <c r="B114" s="52"/>
      <c r="C114" s="21">
        <f>Data_nieuwveer!AR114*B$8</f>
        <v>44.318744473916887</v>
      </c>
      <c r="D114" s="21">
        <f>AVERAGE(Data_nieuwveer!AX114,Data_nieuwveer!BB114,Data_nieuwveer!BF114)</f>
        <v>2.7823333333333333</v>
      </c>
      <c r="E114">
        <f>Data_nieuwveer!BJ114</f>
        <v>3.8260000000000001</v>
      </c>
      <c r="F114">
        <f t="shared" si="8"/>
        <v>3.224297796328393</v>
      </c>
      <c r="G114" s="21">
        <f>IF(ISBLANK(Data_nieuwveer!AY114),0,AVERAGE(Data_nieuwveer!AX114*(1-Data_nieuwveer!AY114/100),Data_nieuwveer!BB114*(1-Data_nieuwveer!BC114/100),Data_nieuwveer!BF114*(1-Data_nieuwveer!BG114/100)))</f>
        <v>2.1892399999999999</v>
      </c>
      <c r="H114">
        <f>IF(ISBLANK(Data_nieuwveer!BK114),0,Data_nieuwveer!BJ114*(1-Data_nieuwveer!BK114/100))</f>
        <v>2.98428</v>
      </c>
      <c r="I114">
        <f>(M114*$D$2+N114*$D$3)/$D$4</f>
        <v>0.78211736408333621</v>
      </c>
      <c r="J114">
        <f>(Data_nieuwveer!AX114*(1-Data_nieuwveer!AY114/100)/Data_nieuwveer!AX114)</f>
        <v>0.77999999999999992</v>
      </c>
      <c r="K114">
        <f>(Data_nieuwveer!BB114*(1-Data_nieuwveer!BC114/100)/Data_nieuwveer!BB114)</f>
        <v>0.79</v>
      </c>
      <c r="L114">
        <f>(Data_nieuwveer!BF114*(1-Data_nieuwveer!BG114/100)/Data_nieuwveer!BF114)</f>
        <v>0.79</v>
      </c>
      <c r="M114">
        <f>(Data_nieuwveer!BJ114*(1-Data_nieuwveer!BK114/100)/Data_nieuwveer!BJ114)</f>
        <v>0.78</v>
      </c>
      <c r="N114">
        <f>AVERAGE(J114:M114)</f>
        <v>0.78499999999999992</v>
      </c>
      <c r="O114">
        <f t="shared" si="6"/>
        <v>2.959523529411765</v>
      </c>
      <c r="P114" s="23">
        <f t="shared" si="9"/>
        <v>2.5177972497799663</v>
      </c>
      <c r="Q114" s="24">
        <f>'Edited data B'!C114*Data_nieuwveer!AQ114*$N$3/($D$3*O114*1000)</f>
        <v>6.4659711676430656E-2</v>
      </c>
      <c r="R114" s="23">
        <f>'Edited data B'!C114*Data_nieuwveer!AQ114/($D$4*P114*1000)</f>
        <v>7.3148877674732216E-2</v>
      </c>
      <c r="S114" s="54">
        <f>IF(ISBLANK(Data_nieuwveer!BZ114),0,Data_nieuwveer!AX114*(D$2/3+H$2/3)/(Data_nieuwveer!AZ114*Data_nieuwveer!BA114+(Data_nieuwveer!F114+Data_nieuwveer!BP114)*N$2/3*Data_nieuwveer!BZ114/1000))</f>
        <v>52.108393269886982</v>
      </c>
      <c r="T114" s="54">
        <f>IF(ISBLANK(Data_nieuwveer!BZ114),0,Data_nieuwveer!BB114*(D$2/3+H$2/3)/(Data_nieuwveer!BD114*Data_nieuwveer!BE114+(Data_nieuwveer!F114+Data_nieuwveer!BP114)*N$2/3*Data_nieuwveer!BZ114/1000))</f>
        <v>38.152371139665497</v>
      </c>
      <c r="U114" s="54">
        <f>IF(ISBLANK(Data_nieuwveer!BZ114),0,Data_nieuwveer!BF114*(D$2/3+H$2/3)/(Data_nieuwveer!BH114*Data_nieuwveer!BI114+(Data_nieuwveer!F114+Data_nieuwveer!BP114)*N$2/3*Data_nieuwveer!BZ114/1000))</f>
        <v>29.870939516032461</v>
      </c>
      <c r="V114" s="54">
        <f>AVERAGE(S114:U114)</f>
        <v>40.043901308528312</v>
      </c>
      <c r="W114" s="54">
        <f>V114*D$2/(D$2+H$2)</f>
        <v>18.949439579238245</v>
      </c>
      <c r="X114" s="50">
        <f>IF(ISBLANK(Data_nieuwveer!BZ114),0,Data_nieuwveer!BJ114*(D$3+H$3)/(Data_nieuwveer!BM114*Data_nieuwveer!BN114+(Data_nieuwveer!F114+Data_nieuwveer!BP114)*N$3*Data_nieuwveer!BZ114/1000))</f>
        <v>24.453214078564869</v>
      </c>
      <c r="Y114" s="50">
        <f>X114*D$3/(D$3+H$3)</f>
        <v>11.729861324969093</v>
      </c>
      <c r="Z114" s="54">
        <f>Y114*$J$2</f>
        <v>7.0379167949814558</v>
      </c>
      <c r="AA114" s="55">
        <f>IF(ISBLANK(Data_nieuwveer!BZ114),0,'Edited data B'!P114*(D$2+H$2+D$3+H$3)/((Data_nieuwveer!AZ114*Data_nieuwveer!BA114+Data_nieuwveer!BD114*Data_nieuwveer!BE114+Data_nieuwveer!BH114*Data_nieuwveer!BI114+Data_nieuwveer!BM114*Data_nieuwveer!BN114)+(Data_nieuwveer!F114+Data_nieuwveer!BP114)*Data_nieuwveer!BZ114/1000))</f>
        <v>23.193626491049983</v>
      </c>
      <c r="AB114" s="41">
        <f>D$3/(Data_nieuwveer!AQ114*N$3)</f>
        <v>0.23159644447226663</v>
      </c>
      <c r="AC114" s="53">
        <f>(D$2+D$3)/(Data_nieuwveer!AQ114)</f>
        <v>0.24063512829411943</v>
      </c>
      <c r="AD114">
        <f>((E114-E113)*($D$3+H$3)+(Data_nieuwveer!F114+Data_nieuwveer!BP114)*N$3*Data_nieuwveer!BZ114/1000+Data_nieuwveer!BM114*Data_nieuwveer!BN114)/(Data_nieuwveer!AQ114*N$3*Data_nieuwveer!AR114/1000-((Data_nieuwveer!F114+Data_nieuwveer!BP114)*N$3+Data_nieuwveer!BM114)*Data_nieuwveer!BR114/1000/$P$2)</f>
        <v>-0.14851888576186911</v>
      </c>
      <c r="AE114">
        <f>((F114-F113)*(D$2+H$2+$D$3+H$3)+(Data_nieuwveer!F114+Data_nieuwveer!BP114)*Data_nieuwveer!BZ114/1000+(Data_nieuwveer!AZ114*Data_nieuwveer!BA114+Data_nieuwveer!BD114*Data_nieuwveer!BE114+Data_nieuwveer!BH114*Data_nieuwveer!BI114+Data_nieuwveer!BM114*Data_nieuwveer!BN114))/(Data_nieuwveer!AQ114*Data_nieuwveer!AR114/1000-((Data_nieuwveer!F114+Data_nieuwveer!BP114)+Data_nieuwveer!AZ114+Data_nieuwveer!BD114+Data_nieuwveer!BH114+Data_nieuwveer!BM114)*Data_nieuwveer!BR114/1000/$P$2)</f>
        <v>-0.26393355311142436</v>
      </c>
      <c r="AF114">
        <f>(Data_nieuwveer!AQ114*Data_nieuwveer!AR114-(Data_nieuwveer!BP114+Data_nieuwveer!F114)*Data_nieuwveer!BR114)/(Data_nieuwveer!AQ114*Data_nieuwveer!AR114)</f>
        <v>0.70586013482155263</v>
      </c>
    </row>
    <row r="115" spans="1:32" x14ac:dyDescent="0.3">
      <c r="A115" s="2">
        <f>Data_nieuwveer!A115</f>
        <v>41654</v>
      </c>
      <c r="B115" s="52"/>
      <c r="C115" s="21"/>
      <c r="D115" s="21">
        <f>AVERAGE(Data_nieuwveer!AX115,Data_nieuwveer!BB115,Data_nieuwveer!BF115)</f>
        <v>2.7560000000000002</v>
      </c>
      <c r="E115">
        <f>Data_nieuwveer!BJ115</f>
        <v>3.6560000000000001</v>
      </c>
      <c r="F115">
        <f t="shared" si="8"/>
        <v>3.1371255350005307</v>
      </c>
      <c r="G115" s="21"/>
      <c r="O115">
        <f t="shared" si="6"/>
        <v>2.828023529411765</v>
      </c>
      <c r="P115" s="23">
        <f t="shared" si="9"/>
        <v>2.4497259692430622</v>
      </c>
      <c r="Q115" s="24"/>
      <c r="R115" s="23"/>
      <c r="S115" s="54"/>
      <c r="T115" s="54"/>
      <c r="U115" s="54"/>
      <c r="V115" s="54"/>
      <c r="W115" s="54"/>
      <c r="X115" s="50"/>
      <c r="Y115" s="50"/>
      <c r="Z115" s="54"/>
      <c r="AA115" s="55"/>
      <c r="AB115" s="41">
        <f>D$3/(Data_nieuwveer!AQ115*N$3)</f>
        <v>0.19434582540962578</v>
      </c>
      <c r="AC115" s="53">
        <f>(D$2+D$3)/(Data_nieuwveer!AQ115)</f>
        <v>0.20193070207721628</v>
      </c>
    </row>
    <row r="116" spans="1:32" x14ac:dyDescent="0.3">
      <c r="A116" s="2">
        <f>Data_nieuwveer!A116</f>
        <v>41655</v>
      </c>
      <c r="B116" s="52"/>
      <c r="C116" s="21"/>
      <c r="D116" s="21">
        <f>AVERAGE(Data_nieuwveer!AX116,Data_nieuwveer!BB116,Data_nieuwveer!BF116)</f>
        <v>2.738</v>
      </c>
      <c r="E116">
        <f>Data_nieuwveer!BJ116</f>
        <v>3.8940000000000001</v>
      </c>
      <c r="F116">
        <f t="shared" si="8"/>
        <v>3.2275345760673484</v>
      </c>
      <c r="G116" s="21"/>
      <c r="O116">
        <f t="shared" si="6"/>
        <v>3.012123529411765</v>
      </c>
      <c r="P116" s="23">
        <f t="shared" si="9"/>
        <v>2.5203247939584741</v>
      </c>
      <c r="Q116" s="24"/>
      <c r="R116" s="23"/>
      <c r="S116" s="54"/>
      <c r="T116" s="54"/>
      <c r="U116" s="54"/>
      <c r="V116" s="54"/>
      <c r="W116" s="54"/>
      <c r="X116" s="50"/>
      <c r="Y116" s="50"/>
      <c r="Z116" s="54"/>
      <c r="AA116" s="55"/>
      <c r="AB116" s="41">
        <f>D$3/(Data_nieuwveer!AQ116*N$3)</f>
        <v>0.17554642931788425</v>
      </c>
      <c r="AC116" s="53">
        <f>(D$2+D$3)/(Data_nieuwveer!AQ116)</f>
        <v>0.18239760820482781</v>
      </c>
    </row>
    <row r="117" spans="1:32" x14ac:dyDescent="0.3">
      <c r="A117" s="2">
        <f>Data_nieuwveer!A117</f>
        <v>41656</v>
      </c>
      <c r="B117" s="52"/>
      <c r="C117" s="21"/>
      <c r="D117" s="21">
        <f>AVERAGE(Data_nieuwveer!AX117,Data_nieuwveer!BB117,Data_nieuwveer!BF117)</f>
        <v>3.7333333333333329</v>
      </c>
      <c r="E117">
        <f>Data_nieuwveer!BJ117</f>
        <v>4.05</v>
      </c>
      <c r="F117">
        <f t="shared" si="8"/>
        <v>3.8674330586112973</v>
      </c>
      <c r="G117" s="21"/>
      <c r="O117">
        <f t="shared" si="6"/>
        <v>3.1327941176470588</v>
      </c>
      <c r="P117" s="23">
        <f t="shared" si="9"/>
        <v>3.0200102266508817</v>
      </c>
      <c r="Q117" s="24"/>
      <c r="R117" s="23"/>
      <c r="S117" s="54"/>
      <c r="T117" s="54"/>
      <c r="U117" s="54"/>
      <c r="V117" s="54"/>
      <c r="W117" s="54"/>
      <c r="X117" s="50"/>
      <c r="Y117" s="50"/>
      <c r="Z117" s="54"/>
      <c r="AA117" s="55"/>
      <c r="AB117" s="41">
        <f>D$3/(Data_nieuwveer!AQ117*N$3)</f>
        <v>0.29111451485007434</v>
      </c>
      <c r="AC117" s="53">
        <f>(D$2+D$3)/(Data_nieuwveer!AQ117)</f>
        <v>0.30247605393448368</v>
      </c>
    </row>
    <row r="118" spans="1:32" x14ac:dyDescent="0.3">
      <c r="A118" s="2">
        <f>Data_nieuwveer!A118</f>
        <v>41657</v>
      </c>
      <c r="B118" s="52"/>
      <c r="C118" s="21"/>
      <c r="D118" s="21">
        <f>AVERAGE(Data_nieuwveer!AX118,Data_nieuwveer!BB118,Data_nieuwveer!BF118)</f>
        <v>3.0063333333333335</v>
      </c>
      <c r="E118">
        <f>Data_nieuwveer!BJ118</f>
        <v>2.9870000000000001</v>
      </c>
      <c r="F118">
        <f t="shared" si="8"/>
        <v>2.9981461922111001</v>
      </c>
      <c r="G118" s="21"/>
      <c r="O118">
        <f t="shared" si="6"/>
        <v>2.3105323529411765</v>
      </c>
      <c r="P118" s="23">
        <f t="shared" si="9"/>
        <v>2.3411994530354332</v>
      </c>
      <c r="Q118" s="24"/>
      <c r="R118" s="23"/>
      <c r="S118" s="54"/>
      <c r="T118" s="54"/>
      <c r="U118" s="54"/>
      <c r="V118" s="54"/>
      <c r="W118" s="54"/>
      <c r="X118" s="50"/>
      <c r="Y118" s="50"/>
      <c r="Z118" s="54"/>
      <c r="AA118" s="55"/>
      <c r="AB118" s="41">
        <f>D$3/(Data_nieuwveer!AQ118*N$3)</f>
        <v>0.13748492167539594</v>
      </c>
      <c r="AC118" s="53">
        <f>(D$2+D$3)/(Data_nieuwveer!AQ118)</f>
        <v>0.14285064626640931</v>
      </c>
    </row>
    <row r="119" spans="1:32" x14ac:dyDescent="0.3">
      <c r="A119" s="2">
        <f>Data_nieuwveer!A119</f>
        <v>41658</v>
      </c>
      <c r="B119" s="52"/>
      <c r="C119" s="21"/>
      <c r="D119" s="21">
        <f>AVERAGE(Data_nieuwveer!AX119,Data_nieuwveer!BB119,Data_nieuwveer!BF119)</f>
        <v>3.1720000000000002</v>
      </c>
      <c r="E119">
        <f>Data_nieuwveer!BJ119</f>
        <v>2.8</v>
      </c>
      <c r="F119">
        <f t="shared" si="8"/>
        <v>3.0144681121997805</v>
      </c>
      <c r="G119" s="21"/>
      <c r="O119">
        <f t="shared" si="6"/>
        <v>2.1658823529411766</v>
      </c>
      <c r="P119" s="23">
        <f t="shared" si="9"/>
        <v>2.3539449523207114</v>
      </c>
      <c r="Q119" s="24"/>
      <c r="R119" s="23"/>
      <c r="S119" s="54"/>
      <c r="T119" s="54"/>
      <c r="U119" s="54"/>
      <c r="V119" s="54"/>
      <c r="W119" s="54"/>
      <c r="X119" s="50"/>
      <c r="Y119" s="50"/>
      <c r="Z119" s="54"/>
      <c r="AA119" s="55"/>
      <c r="AB119" s="41">
        <f>D$3/(Data_nieuwveer!AQ119*N$3)</f>
        <v>0.17671809637589742</v>
      </c>
      <c r="AC119" s="53">
        <f>(D$2+D$3)/(Data_nieuwveer!AQ119)</f>
        <v>0.18361500277003992</v>
      </c>
    </row>
    <row r="120" spans="1:32" x14ac:dyDescent="0.3">
      <c r="A120" s="2">
        <f>Data_nieuwveer!A120</f>
        <v>41659</v>
      </c>
      <c r="B120" s="52"/>
      <c r="C120" s="21">
        <f>Data_nieuwveer!AR120*B$8</f>
        <v>34.716349837901561</v>
      </c>
      <c r="D120" s="21">
        <f>AVERAGE(Data_nieuwveer!AX120,Data_nieuwveer!BB120,Data_nieuwveer!BF120)</f>
        <v>2.9666666666666668</v>
      </c>
      <c r="E120">
        <f>Data_nieuwveer!BJ120</f>
        <v>2.7</v>
      </c>
      <c r="F120">
        <f t="shared" si="8"/>
        <v>2.8537405822220654</v>
      </c>
      <c r="G120" s="21"/>
      <c r="O120">
        <f t="shared" si="6"/>
        <v>2.0885294117647062</v>
      </c>
      <c r="P120" s="23">
        <f t="shared" si="9"/>
        <v>2.2284356605292901</v>
      </c>
      <c r="Q120" s="24">
        <f>'Edited data B'!C120*Data_nieuwveer!AQ120*$N$3/($D$3*O120*1000)</f>
        <v>8.1121285561741904E-2</v>
      </c>
      <c r="R120" s="23">
        <f>'Edited data B'!C120*Data_nieuwveer!AQ120/($D$4*P120*1000)</f>
        <v>7.317254855987855E-2</v>
      </c>
      <c r="S120" s="54">
        <f>IF(ISBLANK(Data_nieuwveer!BZ120),0,Data_nieuwveer!AX120*(D$2/3+H$2/3)/(Data_nieuwveer!AZ120*Data_nieuwveer!BA120+(Data_nieuwveer!F120+Data_nieuwveer!BP120)*N$2/3*Data_nieuwveer!BZ120/1000))</f>
        <v>64.684006507418701</v>
      </c>
      <c r="T120" s="54">
        <f>IF(ISBLANK(Data_nieuwveer!BZ120),0,Data_nieuwveer!BB120*(D$2/3+H$2/3)/(Data_nieuwveer!BD120*Data_nieuwveer!BE120+(Data_nieuwveer!F120+Data_nieuwveer!BP120)*N$2/3*Data_nieuwveer!BZ120/1000))</f>
        <v>48.107751461495397</v>
      </c>
      <c r="U120" s="54">
        <f>IF(ISBLANK(Data_nieuwveer!BZ120),0,Data_nieuwveer!BF120*(D$2/3+H$2/3)/(Data_nieuwveer!BH120*Data_nieuwveer!BI120+(Data_nieuwveer!F120+Data_nieuwveer!BP120)*N$2/3*Data_nieuwveer!BZ120/1000))</f>
        <v>26.69801050745248</v>
      </c>
      <c r="V120" s="54">
        <f>AVERAGE(S120:U120)</f>
        <v>46.49658949212219</v>
      </c>
      <c r="W120" s="54">
        <f>V120*D$2/(D$2+H$2)</f>
        <v>22.002958863400391</v>
      </c>
      <c r="X120" s="50">
        <f>IF(ISBLANK(Data_nieuwveer!BZ120),0,Data_nieuwveer!BJ120*(D$3+H$3)/(Data_nieuwveer!BM120*Data_nieuwveer!BN120+(Data_nieuwveer!F120+Data_nieuwveer!BP120)*N$3*Data_nieuwveer!BZ120/1000))</f>
        <v>19.508234291408218</v>
      </c>
      <c r="Y120" s="50">
        <f>X120*D$3/(D$3+H$3)</f>
        <v>9.3578243824320531</v>
      </c>
      <c r="Z120" s="54">
        <f>Y120*$J$2</f>
        <v>5.6146946294592315</v>
      </c>
      <c r="AA120" s="55">
        <f>IF(ISBLANK(Data_nieuwveer!BZ120),0,'Edited data B'!P120*(D$2+H$2+D$3+H$3)/((Data_nieuwveer!AZ120*Data_nieuwveer!BA120+Data_nieuwveer!BD120*Data_nieuwveer!BE120+Data_nieuwveer!BH120*Data_nieuwveer!BI120+Data_nieuwveer!BM120*Data_nieuwveer!BN120)+(Data_nieuwveer!F120+Data_nieuwveer!BP120)*Data_nieuwveer!BZ120/1000))</f>
        <v>22.098853728079366</v>
      </c>
      <c r="AB120" s="41">
        <f>D$3/(Data_nieuwveer!AQ120*N$3)</f>
        <v>0.20490786865042765</v>
      </c>
      <c r="AC120" s="53">
        <f>(D$2+D$3)/(Data_nieuwveer!AQ120)</f>
        <v>0.21290495790437236</v>
      </c>
      <c r="AD120">
        <f>((E120-E119)*($D$3+H$3)+(Data_nieuwveer!F120+Data_nieuwveer!BP120)*N$3*Data_nieuwveer!BZ120/1000+Data_nieuwveer!BM120*Data_nieuwveer!BN120)/(Data_nieuwveer!AQ120*N$3*Data_nieuwveer!AR120/1000-((Data_nieuwveer!F120+Data_nieuwveer!BP120)*N$3+Data_nieuwveer!BM120)*Data_nieuwveer!BR120/1000/$P$2)</f>
        <v>0.25140785569857982</v>
      </c>
      <c r="AE120">
        <f>((F120-F119)*(D$2+H$2+$D$3+H$3)+(Data_nieuwveer!F120+Data_nieuwveer!BP120)*Data_nieuwveer!BZ120/1000+(Data_nieuwveer!AZ120*Data_nieuwveer!BA120+Data_nieuwveer!BD120*Data_nieuwveer!BE120+Data_nieuwveer!BH120*Data_nieuwveer!BI120+Data_nieuwveer!BM120*Data_nieuwveer!BN120))/(Data_nieuwveer!AQ120*Data_nieuwveer!AR120/1000-((Data_nieuwveer!F120+Data_nieuwveer!BP120)+Data_nieuwveer!AZ120+Data_nieuwveer!BD120+Data_nieuwveer!BH120+Data_nieuwveer!BM120)*Data_nieuwveer!BR120/1000/$P$2)</f>
        <v>-0.40982813225191278</v>
      </c>
      <c r="AF120">
        <f>(Data_nieuwveer!AQ120*Data_nieuwveer!AR120-(Data_nieuwveer!BP120+Data_nieuwveer!F120)*Data_nieuwveer!BR120)/(Data_nieuwveer!AQ120*Data_nieuwveer!AR120)</f>
        <v>0.64477251365375055</v>
      </c>
    </row>
    <row r="121" spans="1:32" x14ac:dyDescent="0.3">
      <c r="A121" s="2">
        <f>Data_nieuwveer!A121</f>
        <v>41660</v>
      </c>
      <c r="B121" s="52"/>
      <c r="C121" s="21"/>
      <c r="D121" s="21">
        <f>AVERAGE(Data_nieuwveer!AX121,Data_nieuwveer!BB121,Data_nieuwveer!BF121)</f>
        <v>2.8026666666666671</v>
      </c>
      <c r="E121">
        <f>Data_nieuwveer!BJ121</f>
        <v>3.11</v>
      </c>
      <c r="F121">
        <f t="shared" si="8"/>
        <v>2.9328139789890701</v>
      </c>
      <c r="G121" s="21"/>
      <c r="O121">
        <f t="shared" si="6"/>
        <v>2.4056764705882352</v>
      </c>
      <c r="P121" s="23">
        <f t="shared" si="9"/>
        <v>2.29018268065176</v>
      </c>
      <c r="Q121" s="24"/>
      <c r="R121" s="23"/>
      <c r="S121" s="54"/>
      <c r="T121" s="54"/>
      <c r="U121" s="54"/>
      <c r="V121" s="54"/>
      <c r="W121" s="54"/>
      <c r="X121" s="50"/>
      <c r="Y121" s="50"/>
      <c r="Z121" s="54"/>
      <c r="AA121" s="55"/>
      <c r="AB121" s="41">
        <f>D$3/(Data_nieuwveer!AQ121*N$3)</f>
        <v>0.15390592989829147</v>
      </c>
      <c r="AC121" s="53">
        <f>(D$2+D$3)/(Data_nieuwveer!AQ121)</f>
        <v>0.15991252918710519</v>
      </c>
    </row>
    <row r="122" spans="1:32" x14ac:dyDescent="0.3">
      <c r="A122" s="2">
        <f>Data_nieuwveer!A122</f>
        <v>41661</v>
      </c>
      <c r="B122" s="52"/>
      <c r="C122" s="21"/>
      <c r="D122" s="21">
        <f>AVERAGE(Data_nieuwveer!AX122,Data_nieuwveer!BB122,Data_nieuwveer!BF122)</f>
        <v>3.4209999999999998</v>
      </c>
      <c r="E122">
        <f>Data_nieuwveer!BJ122</f>
        <v>3.6970000000000001</v>
      </c>
      <c r="F122">
        <f t="shared" si="8"/>
        <v>3.5378784974001625</v>
      </c>
      <c r="G122" s="21"/>
      <c r="O122">
        <f t="shared" si="6"/>
        <v>2.8597382352941176</v>
      </c>
      <c r="P122" s="23">
        <f t="shared" si="9"/>
        <v>2.7626668854698337</v>
      </c>
      <c r="Q122" s="24"/>
      <c r="R122" s="23"/>
      <c r="S122" s="54"/>
      <c r="T122" s="54"/>
      <c r="U122" s="54"/>
      <c r="V122" s="54"/>
      <c r="W122" s="54"/>
      <c r="X122" s="50"/>
      <c r="Y122" s="50"/>
      <c r="Z122" s="54"/>
      <c r="AA122" s="55"/>
      <c r="AB122" s="41">
        <f>D$3/(Data_nieuwveer!AQ122*N$3)</f>
        <v>0.22255131925232124</v>
      </c>
      <c r="AC122" s="53">
        <f>(D$2+D$3)/(Data_nieuwveer!AQ122)</f>
        <v>0.23123699235685305</v>
      </c>
    </row>
    <row r="123" spans="1:32" x14ac:dyDescent="0.3">
      <c r="A123" s="2">
        <f>Data_nieuwveer!A123</f>
        <v>41662</v>
      </c>
      <c r="B123" s="52"/>
      <c r="C123" s="21"/>
      <c r="D123" s="21">
        <f>AVERAGE(Data_nieuwveer!AX123,Data_nieuwveer!BB123,Data_nieuwveer!BF123)</f>
        <v>2.85</v>
      </c>
      <c r="E123">
        <f>Data_nieuwveer!BJ123</f>
        <v>3.49</v>
      </c>
      <c r="F123">
        <f t="shared" si="8"/>
        <v>3.1210226026670442</v>
      </c>
      <c r="G123" s="21"/>
      <c r="O123">
        <f t="shared" si="6"/>
        <v>2.6996176470588238</v>
      </c>
      <c r="P123" s="23">
        <f t="shared" si="9"/>
        <v>2.4371514735532367</v>
      </c>
      <c r="Q123" s="24"/>
      <c r="R123" s="23"/>
      <c r="S123" s="54"/>
      <c r="T123" s="54"/>
      <c r="U123" s="54"/>
      <c r="V123" s="54"/>
      <c r="W123" s="54"/>
      <c r="X123" s="50"/>
      <c r="Y123" s="50"/>
      <c r="Z123" s="54"/>
      <c r="AA123" s="55"/>
      <c r="AB123" s="41">
        <f>D$3/(Data_nieuwveer!AQ123*N$3)</f>
        <v>0.20662231777152479</v>
      </c>
      <c r="AC123" s="53">
        <f>(D$2+D$3)/(Data_nieuwveer!AQ123)</f>
        <v>0.21468631808522071</v>
      </c>
    </row>
    <row r="124" spans="1:32" x14ac:dyDescent="0.3">
      <c r="A124" s="2">
        <f>Data_nieuwveer!A124</f>
        <v>41663</v>
      </c>
      <c r="B124" s="52"/>
      <c r="C124" s="21"/>
      <c r="D124" s="21">
        <f>AVERAGE(Data_nieuwveer!AX124,Data_nieuwveer!BB124,Data_nieuwveer!BF124)</f>
        <v>2.9830000000000001</v>
      </c>
      <c r="E124">
        <f>Data_nieuwveer!BJ124</f>
        <v>3.1760000000000002</v>
      </c>
      <c r="F124">
        <f t="shared" si="8"/>
        <v>3.0647302536167804</v>
      </c>
      <c r="G124" s="21"/>
      <c r="O124">
        <f t="shared" si="6"/>
        <v>2.4567294117647061</v>
      </c>
      <c r="P124" s="23">
        <f t="shared" si="9"/>
        <v>2.3931937715742806</v>
      </c>
      <c r="Q124" s="24"/>
      <c r="R124" s="23"/>
      <c r="S124" s="54"/>
      <c r="T124" s="54"/>
      <c r="U124" s="54"/>
      <c r="V124" s="54"/>
      <c r="W124" s="54"/>
      <c r="X124" s="50"/>
      <c r="Y124" s="50"/>
      <c r="Z124" s="54"/>
      <c r="AA124" s="55"/>
      <c r="AB124" s="41">
        <f>D$3/(Data_nieuwveer!AQ124*N$3)</f>
        <v>0.13563718661374716</v>
      </c>
      <c r="AC124" s="53">
        <f>(D$2+D$3)/(Data_nieuwveer!AQ124)</f>
        <v>0.14093079829712565</v>
      </c>
    </row>
    <row r="125" spans="1:32" x14ac:dyDescent="0.3">
      <c r="A125" s="2">
        <f>Data_nieuwveer!A125</f>
        <v>41664</v>
      </c>
      <c r="B125" s="52"/>
      <c r="C125" s="21"/>
      <c r="D125" s="21">
        <f>AVERAGE(Data_nieuwveer!AX125,Data_nieuwveer!BB125,Data_nieuwveer!BF125)</f>
        <v>3.3283333333333331</v>
      </c>
      <c r="E125">
        <f>Data_nieuwveer!BJ125</f>
        <v>3.6760000000000002</v>
      </c>
      <c r="F125">
        <f t="shared" si="8"/>
        <v>3.4755607159279824</v>
      </c>
      <c r="G125" s="21"/>
      <c r="O125">
        <f t="shared" si="6"/>
        <v>2.8434941176470589</v>
      </c>
      <c r="P125" s="23">
        <f t="shared" si="9"/>
        <v>2.7140040296437635</v>
      </c>
      <c r="Q125" s="24"/>
      <c r="R125" s="23"/>
      <c r="S125" s="54"/>
      <c r="T125" s="54"/>
      <c r="U125" s="54"/>
      <c r="V125" s="54"/>
      <c r="W125" s="54"/>
      <c r="X125" s="50"/>
      <c r="Y125" s="50"/>
      <c r="Z125" s="54"/>
      <c r="AA125" s="55"/>
      <c r="AB125" s="41">
        <f>D$3/(Data_nieuwveer!AQ125*N$3)</f>
        <v>0.19896551228999268</v>
      </c>
      <c r="AC125" s="53">
        <f>(D$2+D$3)/(Data_nieuwveer!AQ125)</f>
        <v>0.20673068485617846</v>
      </c>
    </row>
    <row r="126" spans="1:32" x14ac:dyDescent="0.3">
      <c r="A126" s="2">
        <f>Data_nieuwveer!A126</f>
        <v>41665</v>
      </c>
      <c r="B126" s="52"/>
      <c r="C126" s="21">
        <f>Data_nieuwveer!AR126*B$8</f>
        <v>51.705201886236374</v>
      </c>
      <c r="D126" s="21">
        <f>AVERAGE(Data_nieuwveer!AX126,Data_nieuwveer!BB126,Data_nieuwveer!BF126)</f>
        <v>3.1083333333333329</v>
      </c>
      <c r="E126">
        <f>Data_nieuwveer!BJ126</f>
        <v>3.371</v>
      </c>
      <c r="F126">
        <f t="shared" si="8"/>
        <v>3.2195655265112659</v>
      </c>
      <c r="G126" s="21">
        <f>IF(ISBLANK(Data_nieuwveer!AY126),0,AVERAGE(Data_nieuwveer!AX126*(1-Data_nieuwveer!AY126/100),Data_nieuwveer!BB126*(1-Data_nieuwveer!BC126/100),Data_nieuwveer!BF126*(1-Data_nieuwveer!BG126/100)))</f>
        <v>2.4026533333333333</v>
      </c>
      <c r="H126">
        <f>IF(ISBLANK(Data_nieuwveer!BK126),0,Data_nieuwveer!BJ126*(1-Data_nieuwveer!BK126/100))</f>
        <v>2.5956700000000001</v>
      </c>
      <c r="I126">
        <f>(M126*$D$2+N126*$D$3)/$D$4</f>
        <v>0.77105868204166805</v>
      </c>
      <c r="J126">
        <f>(Data_nieuwveer!AX126*(1-Data_nieuwveer!AY126/100)/Data_nieuwveer!AX126)</f>
        <v>0.77</v>
      </c>
      <c r="K126">
        <f>(Data_nieuwveer!BB126*(1-Data_nieuwveer!BC126/100)/Data_nieuwveer!BB126)</f>
        <v>0.77</v>
      </c>
      <c r="L126">
        <f>(Data_nieuwveer!BF126*(1-Data_nieuwveer!BG126/100)/Data_nieuwveer!BF126)</f>
        <v>0.78</v>
      </c>
      <c r="M126">
        <f>(Data_nieuwveer!BJ126*(1-Data_nieuwveer!BK126/100)/Data_nieuwveer!BJ126)</f>
        <v>0.77</v>
      </c>
      <c r="N126">
        <f>AVERAGE(J126:M126)</f>
        <v>0.77250000000000008</v>
      </c>
      <c r="O126">
        <f t="shared" si="6"/>
        <v>2.6075676470588238</v>
      </c>
      <c r="P126" s="23">
        <f t="shared" si="9"/>
        <v>2.5141019037904155</v>
      </c>
      <c r="Q126" s="24">
        <f>'Edited data B'!C126*Data_nieuwveer!AQ126*$N$3/($D$3*O126*1000)</f>
        <v>0.14173517888285631</v>
      </c>
      <c r="R126" s="23">
        <f>'Edited data B'!C126*Data_nieuwveer!AQ126/($D$4*P126*1000)</f>
        <v>0.1414826625940106</v>
      </c>
      <c r="S126" s="54">
        <f>IF(ISBLANK(Data_nieuwveer!BZ126),0,Data_nieuwveer!AX126*(D$2/3+H$2/3)/(Data_nieuwveer!AZ126*Data_nieuwveer!BA126+(Data_nieuwveer!F126+Data_nieuwveer!BP126)*N$2/3*Data_nieuwveer!BZ126/1000))</f>
        <v>47.900376091511262</v>
      </c>
      <c r="T126" s="54">
        <f>IF(ISBLANK(Data_nieuwveer!BZ126),0,Data_nieuwveer!BB126*(D$2/3+H$2/3)/(Data_nieuwveer!BD126*Data_nieuwveer!BE126+(Data_nieuwveer!F126+Data_nieuwveer!BP126)*N$2/3*Data_nieuwveer!BZ126/1000))</f>
        <v>28.944687279018769</v>
      </c>
      <c r="U126" s="54">
        <f>IF(ISBLANK(Data_nieuwveer!BZ126),0,Data_nieuwveer!BF126*(D$2/3+H$2/3)/(Data_nieuwveer!BH126*Data_nieuwveer!BI126+(Data_nieuwveer!F126+Data_nieuwveer!BP126)*N$2/3*Data_nieuwveer!BZ126/1000))</f>
        <v>18.948004416893784</v>
      </c>
      <c r="V126" s="54">
        <f>AVERAGE(S126:U126)</f>
        <v>31.931022595807935</v>
      </c>
      <c r="W126" s="54">
        <f>V126*D$2/(D$2+H$2)</f>
        <v>15.110290546383112</v>
      </c>
      <c r="X126" s="50">
        <f>IF(ISBLANK(Data_nieuwveer!BZ126),0,Data_nieuwveer!BJ126*(D$3+H$3)/(Data_nieuwveer!BM126*Data_nieuwveer!BN126+(Data_nieuwveer!F126+Data_nieuwveer!BP126)*N$3*Data_nieuwveer!BZ126/1000))</f>
        <v>24.23476725429197</v>
      </c>
      <c r="Y126" s="50">
        <f>X126*D$3/(D$3+H$3)</f>
        <v>11.625075469524139</v>
      </c>
      <c r="Z126" s="54">
        <f>Y126*$J$2</f>
        <v>6.9750452817144835</v>
      </c>
      <c r="AA126" s="55">
        <f>IF(ISBLANK(Data_nieuwveer!BZ126),0,'Edited data B'!P126*(D$2+H$2+D$3+H$3)/((Data_nieuwveer!AZ126*Data_nieuwveer!BA126+Data_nieuwveer!BD126*Data_nieuwveer!BE126+Data_nieuwveer!BH126*Data_nieuwveer!BI126+Data_nieuwveer!BM126*Data_nieuwveer!BN126)+(Data_nieuwveer!F126+Data_nieuwveer!BP126)*Data_nieuwveer!BZ126/1000))</f>
        <v>20.607078195778168</v>
      </c>
      <c r="AB126" s="41">
        <f>D$3/(Data_nieuwveer!AQ126*N$3)</f>
        <v>0.1399010577464169</v>
      </c>
      <c r="AC126" s="53">
        <f>(D$2+D$3)/(Data_nieuwveer!AQ126)</f>
        <v>0.1453610786469712</v>
      </c>
      <c r="AD126">
        <f>((E126-E125)*($D$3+H$3)+(Data_nieuwveer!F126+Data_nieuwveer!BP126)*N$3*Data_nieuwveer!BZ126/1000+Data_nieuwveer!BM126*Data_nieuwveer!BN126)/(Data_nieuwveer!AQ126*N$3*Data_nieuwveer!AR126/1000-((Data_nieuwveer!F126+Data_nieuwveer!BP126)*N$3+Data_nieuwveer!BM126)*Data_nieuwveer!BR126/1000/$P$2)</f>
        <v>-0.44515748011941997</v>
      </c>
      <c r="AE126">
        <f>((F126-F125)*(D$2+H$2+$D$3+H$3)+(Data_nieuwveer!F126+Data_nieuwveer!BP126)*Data_nieuwveer!BZ126/1000+(Data_nieuwveer!AZ126*Data_nieuwveer!BA126+Data_nieuwveer!BD126*Data_nieuwveer!BE126+Data_nieuwveer!BH126*Data_nieuwveer!BI126+Data_nieuwveer!BM126*Data_nieuwveer!BN126))/(Data_nieuwveer!AQ126*Data_nieuwveer!AR126/1000-((Data_nieuwveer!F126+Data_nieuwveer!BP126)+Data_nieuwveer!AZ126+Data_nieuwveer!BD126+Data_nieuwveer!BH126+Data_nieuwveer!BM126)*Data_nieuwveer!BR126/1000/$P$2)</f>
        <v>-0.37632682825940783</v>
      </c>
      <c r="AF126">
        <f>(Data_nieuwveer!AQ126*Data_nieuwveer!AR126-(Data_nieuwveer!BP126+Data_nieuwveer!F126)*Data_nieuwveer!BR126)/(Data_nieuwveer!AQ126*Data_nieuwveer!AR126)</f>
        <v>0.73909531152365038</v>
      </c>
    </row>
    <row r="127" spans="1:32" x14ac:dyDescent="0.3">
      <c r="A127" s="2">
        <f>Data_nieuwveer!A127</f>
        <v>41666</v>
      </c>
      <c r="B127" s="52"/>
      <c r="C127" s="21"/>
      <c r="D127" s="21">
        <f>AVERAGE(Data_nieuwveer!AX127,Data_nieuwveer!BB127,Data_nieuwveer!BF127)</f>
        <v>3.24</v>
      </c>
      <c r="E127">
        <f>Data_nieuwveer!BJ127</f>
        <v>3.07</v>
      </c>
      <c r="F127">
        <f t="shared" si="8"/>
        <v>3.1680096211665667</v>
      </c>
      <c r="G127" s="21"/>
      <c r="O127">
        <f t="shared" si="6"/>
        <v>2.3747352941176469</v>
      </c>
      <c r="P127" s="23">
        <f t="shared" si="9"/>
        <v>2.4738428071168346</v>
      </c>
      <c r="Q127" s="24"/>
      <c r="R127" s="23"/>
      <c r="S127" s="54"/>
      <c r="T127" s="54"/>
      <c r="U127" s="54"/>
      <c r="V127" s="54"/>
      <c r="W127" s="54"/>
      <c r="X127" s="50"/>
      <c r="Y127" s="50"/>
      <c r="Z127" s="54"/>
      <c r="AA127" s="55"/>
      <c r="AB127" s="41">
        <f>D$3/(Data_nieuwveer!AQ127*N$3)</f>
        <v>0.1288435815028745</v>
      </c>
      <c r="AC127" s="53">
        <f>(D$2+D$3)/(Data_nieuwveer!AQ127)</f>
        <v>0.13387205419093021</v>
      </c>
    </row>
    <row r="128" spans="1:32" x14ac:dyDescent="0.3">
      <c r="A128" s="2">
        <f>Data_nieuwveer!A128</f>
        <v>41667</v>
      </c>
      <c r="B128" s="52"/>
      <c r="C128" s="21"/>
      <c r="D128" s="21">
        <f>AVERAGE(Data_nieuwveer!AX128,Data_nieuwveer!BB128,Data_nieuwveer!BF128)</f>
        <v>3.4159999999999999</v>
      </c>
      <c r="E128">
        <f>Data_nieuwveer!BJ128</f>
        <v>3.8730000000000002</v>
      </c>
      <c r="F128">
        <f t="shared" si="8"/>
        <v>3.6095270772169363</v>
      </c>
      <c r="G128" s="21"/>
      <c r="O128">
        <f t="shared" si="6"/>
        <v>2.9958794117647063</v>
      </c>
      <c r="P128" s="23">
        <f t="shared" si="9"/>
        <v>2.8186159970620497</v>
      </c>
      <c r="Q128" s="24"/>
      <c r="R128" s="23"/>
      <c r="S128" s="54"/>
      <c r="T128" s="54"/>
      <c r="U128" s="54"/>
      <c r="V128" s="54"/>
      <c r="W128" s="54"/>
      <c r="X128" s="50"/>
      <c r="Y128" s="50"/>
      <c r="Z128" s="54"/>
      <c r="AA128" s="55"/>
      <c r="AB128" s="41">
        <f>D$3/(Data_nieuwveer!AQ128*N$3)</f>
        <v>0.19161520542520072</v>
      </c>
      <c r="AC128" s="53">
        <f>(D$2+D$3)/(Data_nieuwveer!AQ128)</f>
        <v>0.19909351218955679</v>
      </c>
    </row>
    <row r="129" spans="1:32" x14ac:dyDescent="0.3">
      <c r="A129" s="16">
        <f>Data_nieuwveer!A129</f>
        <v>41668</v>
      </c>
      <c r="B129" s="52"/>
      <c r="C129" s="21"/>
      <c r="D129" s="21">
        <f>AVERAGE(Data_nieuwveer!AX129,Data_nieuwveer!BB129,Data_nieuwveer!BF129)</f>
        <v>3.4403333333333332</v>
      </c>
      <c r="E129">
        <f>Data_nieuwveer!BJ129</f>
        <v>3.8370000000000002</v>
      </c>
      <c r="F129">
        <f t="shared" si="8"/>
        <v>3.6083108839446782</v>
      </c>
      <c r="G129" s="21"/>
      <c r="O129">
        <f t="shared" si="6"/>
        <v>2.9680323529411767</v>
      </c>
      <c r="P129" s="23">
        <f t="shared" si="9"/>
        <v>2.8176662931979775</v>
      </c>
      <c r="Q129" s="24"/>
      <c r="R129" s="23"/>
      <c r="S129" s="54"/>
      <c r="T129" s="54"/>
      <c r="U129" s="54"/>
      <c r="V129" s="54"/>
      <c r="W129" s="54"/>
      <c r="X129" s="50"/>
      <c r="Y129" s="50"/>
      <c r="Z129" s="54"/>
      <c r="AA129" s="55"/>
      <c r="AB129" s="41">
        <f>D$3/(Data_nieuwveer!AQ129*N$3)</f>
        <v>0.20294788412930254</v>
      </c>
      <c r="AC129" s="53">
        <f>(D$2+D$3)/(Data_nieuwveer!AQ129)</f>
        <v>0.21086847963386113</v>
      </c>
    </row>
    <row r="130" spans="1:32" x14ac:dyDescent="0.3">
      <c r="A130" s="2">
        <f>Data_nieuwveer!A130</f>
        <v>41669</v>
      </c>
      <c r="B130" s="52"/>
      <c r="C130" s="21"/>
      <c r="D130" s="21">
        <f>AVERAGE(Data_nieuwveer!AX130,Data_nieuwveer!BB130,Data_nieuwveer!BF130)</f>
        <v>3.5066666666666664</v>
      </c>
      <c r="E130">
        <f>Data_nieuwveer!BJ130</f>
        <v>3.85</v>
      </c>
      <c r="F130">
        <f t="shared" si="8"/>
        <v>3.6520590003890914</v>
      </c>
      <c r="G130" s="21"/>
      <c r="O130">
        <f t="shared" si="6"/>
        <v>2.978088235294118</v>
      </c>
      <c r="P130" s="23">
        <f t="shared" si="9"/>
        <v>2.8518284253038355</v>
      </c>
      <c r="Q130" s="24"/>
      <c r="R130" s="23"/>
      <c r="S130" s="54"/>
      <c r="T130" s="54"/>
      <c r="U130" s="54"/>
      <c r="V130" s="54"/>
      <c r="W130" s="54"/>
      <c r="X130" s="50"/>
      <c r="Y130" s="50"/>
      <c r="Z130" s="54"/>
      <c r="AA130" s="55"/>
      <c r="AB130" s="41">
        <f>D$3/(Data_nieuwveer!AQ130*N$3)</f>
        <v>0.20679725940083726</v>
      </c>
      <c r="AC130" s="53">
        <f>(D$2+D$3)/(Data_nieuwveer!AQ130)</f>
        <v>0.21486808728944792</v>
      </c>
    </row>
    <row r="131" spans="1:32" x14ac:dyDescent="0.3">
      <c r="A131" s="2">
        <f>Data_nieuwveer!A131</f>
        <v>41670</v>
      </c>
      <c r="B131" s="52"/>
      <c r="C131" s="21"/>
      <c r="D131" s="21">
        <f>AVERAGE(Data_nieuwveer!AX131,Data_nieuwveer!BB131,Data_nieuwveer!BF131)</f>
        <v>3.2646666666666668</v>
      </c>
      <c r="E131">
        <f>Data_nieuwveer!BJ131</f>
        <v>3.6230000000000002</v>
      </c>
      <c r="F131">
        <f t="shared" si="8"/>
        <v>3.4164110926391005</v>
      </c>
      <c r="G131" s="21"/>
      <c r="O131">
        <f t="shared" si="6"/>
        <v>2.8024970588235298</v>
      </c>
      <c r="P131" s="23">
        <f t="shared" si="9"/>
        <v>2.6678151326343573</v>
      </c>
      <c r="Q131" s="24"/>
      <c r="R131" s="23"/>
      <c r="S131" s="54"/>
      <c r="T131" s="54"/>
      <c r="U131" s="54"/>
      <c r="V131" s="54"/>
      <c r="W131" s="54"/>
      <c r="X131" s="50"/>
      <c r="Y131" s="50"/>
      <c r="Z131" s="54"/>
      <c r="AA131" s="55"/>
      <c r="AB131" s="41">
        <f>D$3/(Data_nieuwveer!AQ131*N$3)</f>
        <v>0.20666351389150989</v>
      </c>
      <c r="AC131" s="53">
        <f>(D$2+D$3)/(Data_nieuwveer!AQ131)</f>
        <v>0.21472912199631017</v>
      </c>
    </row>
    <row r="132" spans="1:32" x14ac:dyDescent="0.3">
      <c r="A132" s="2">
        <f>Data_nieuwveer!A132</f>
        <v>41671</v>
      </c>
      <c r="B132" s="52"/>
      <c r="C132" s="21">
        <f>Data_nieuwveer!AR132*B$8</f>
        <v>48.01197318007663</v>
      </c>
      <c r="D132" s="21">
        <f>AVERAGE(Data_nieuwveer!AX132,Data_nieuwveer!BB132,Data_nieuwveer!BF132)</f>
        <v>3.1113333333333331</v>
      </c>
      <c r="E132">
        <f>Data_nieuwveer!BJ132</f>
        <v>3.4780000000000002</v>
      </c>
      <c r="F132">
        <f t="shared" si="8"/>
        <v>3.2666066994446603</v>
      </c>
      <c r="G132" s="21"/>
      <c r="O132">
        <f t="shared" si="6"/>
        <v>2.6903352941176473</v>
      </c>
      <c r="P132" s="23">
        <f t="shared" si="9"/>
        <v>2.5508355255957573</v>
      </c>
      <c r="Q132" s="24">
        <f>'Edited data B'!C132*Data_nieuwveer!AQ132*$N$3/($D$3*O132*1000)</f>
        <v>0.10296814802504413</v>
      </c>
      <c r="R132" s="23">
        <f>'Edited data B'!C132*Data_nieuwveer!AQ132/($D$4*P132*1000)</f>
        <v>0.10452007556492365</v>
      </c>
      <c r="S132" s="54">
        <f>IF(ISBLANK(Data_nieuwveer!BZ132),0,Data_nieuwveer!AX132*(D$2/3+H$2/3)/(Data_nieuwveer!AZ132*Data_nieuwveer!BA132+(Data_nieuwveer!F132+Data_nieuwveer!BP132)*N$2/3*Data_nieuwveer!BZ132/1000))</f>
        <v>33.075661652372531</v>
      </c>
      <c r="T132" s="54">
        <f>IF(ISBLANK(Data_nieuwveer!BZ132),0,Data_nieuwveer!BB132*(D$2/3+H$2/3)/(Data_nieuwveer!BD132*Data_nieuwveer!BE132+(Data_nieuwveer!F132+Data_nieuwveer!BP132)*N$2/3*Data_nieuwveer!BZ132/1000))</f>
        <v>21.435768171848647</v>
      </c>
      <c r="U132" s="54">
        <f>IF(ISBLANK(Data_nieuwveer!BZ132),0,Data_nieuwveer!BF132*(D$2/3+H$2/3)/(Data_nieuwveer!BH132*Data_nieuwveer!BI132+(Data_nieuwveer!F132+Data_nieuwveer!BP132)*N$2/3*Data_nieuwveer!BZ132/1000))</f>
        <v>35.250968973471608</v>
      </c>
      <c r="V132" s="54">
        <f>AVERAGE(S132:U132)</f>
        <v>29.920799599230929</v>
      </c>
      <c r="W132" s="54">
        <f>V132*D$2/(D$2+H$2)</f>
        <v>14.159019616986468</v>
      </c>
      <c r="X132" s="50">
        <f>IF(ISBLANK(Data_nieuwveer!BZ132),0,Data_nieuwveer!BJ132*(D$3+H$3)/(Data_nieuwveer!BM132*Data_nieuwveer!BN132+(Data_nieuwveer!F132+Data_nieuwveer!BP132)*N$3*Data_nieuwveer!BZ132/1000))</f>
        <v>27.506880211811147</v>
      </c>
      <c r="Y132" s="50">
        <f>X132*D$3/(D$3+H$3)</f>
        <v>13.194661827702662</v>
      </c>
      <c r="Z132" s="54">
        <f>Y132*$J$2</f>
        <v>7.9167970966215968</v>
      </c>
      <c r="AA132" s="55">
        <f>IF(ISBLANK(Data_nieuwveer!BZ132),0,'Edited data B'!P132*(D$2+H$2+D$3+H$3)/((Data_nieuwveer!AZ132*Data_nieuwveer!BA132+Data_nieuwveer!BD132*Data_nieuwveer!BE132+Data_nieuwveer!BH132*Data_nieuwveer!BI132+Data_nieuwveer!BM132*Data_nieuwveer!BN132)+(Data_nieuwveer!F132+Data_nieuwveer!BP132)*Data_nieuwveer!BZ132/1000))</f>
        <v>21.748894672643896</v>
      </c>
      <c r="AB132" s="41">
        <f>D$3/(Data_nieuwveer!AQ132*N$3)</f>
        <v>0.17331663324593477</v>
      </c>
      <c r="AC132" s="53">
        <f>(D$2+D$3)/(Data_nieuwveer!AQ132)</f>
        <v>0.18008078825076526</v>
      </c>
      <c r="AD132">
        <f>((E132-E131)*($D$3+H$3)+(Data_nieuwveer!F132+Data_nieuwveer!BP132)*N$3*Data_nieuwveer!BZ132/1000+Data_nieuwveer!BM132*Data_nieuwveer!BN132)/(Data_nieuwveer!AQ132*N$3*Data_nieuwveer!AR132/1000-((Data_nieuwveer!F132+Data_nieuwveer!BP132)*N$3+Data_nieuwveer!BM132)*Data_nieuwveer!BR132/1000/$P$2)</f>
        <v>-6.8536618311973066E-2</v>
      </c>
      <c r="AE132">
        <f>((F132-F131)*(D$2+H$2+$D$3+H$3)+(Data_nieuwveer!F132+Data_nieuwveer!BP132)*Data_nieuwveer!BZ132/1000+(Data_nieuwveer!AZ132*Data_nieuwveer!BA132+Data_nieuwveer!BD132*Data_nieuwveer!BE132+Data_nieuwveer!BH132*Data_nieuwveer!BI132+Data_nieuwveer!BM132*Data_nieuwveer!BN132))/(Data_nieuwveer!AQ132*Data_nieuwveer!AR132/1000-((Data_nieuwveer!F132+Data_nieuwveer!BP132)+Data_nieuwveer!AZ132+Data_nieuwveer!BD132+Data_nieuwveer!BH132+Data_nieuwveer!BM132)*Data_nieuwveer!BR132/1000/$P$2)</f>
        <v>-0.12567967461114818</v>
      </c>
      <c r="AF132">
        <f>(Data_nieuwveer!AQ132*Data_nieuwveer!AR132-(Data_nieuwveer!BP132+Data_nieuwveer!F132)*Data_nieuwveer!BR132)/(Data_nieuwveer!AQ132*Data_nieuwveer!AR132)</f>
        <v>0.71177117382958299</v>
      </c>
    </row>
    <row r="133" spans="1:32" x14ac:dyDescent="0.3">
      <c r="A133" s="2">
        <f>Data_nieuwveer!A133</f>
        <v>41672</v>
      </c>
      <c r="B133" s="52"/>
      <c r="C133" s="21"/>
      <c r="D133" s="21">
        <f>AVERAGE(Data_nieuwveer!AX133,Data_nieuwveer!BB133,Data_nieuwveer!BF133)</f>
        <v>3.0503333333333331</v>
      </c>
      <c r="E133">
        <f>Data_nieuwveer!BJ133</f>
        <v>3.3540000000000001</v>
      </c>
      <c r="F133">
        <f t="shared" si="8"/>
        <v>3.1789279119946232</v>
      </c>
      <c r="G133" s="21"/>
      <c r="O133">
        <f t="shared" si="6"/>
        <v>2.5944176470588238</v>
      </c>
      <c r="P133" s="23">
        <f t="shared" si="9"/>
        <v>2.4823687077487433</v>
      </c>
      <c r="Q133" s="24"/>
      <c r="R133" s="23"/>
      <c r="S133" s="54"/>
      <c r="T133" s="54"/>
      <c r="U133" s="54"/>
      <c r="V133" s="54"/>
      <c r="W133" s="54"/>
      <c r="X133" s="50"/>
      <c r="Y133" s="50"/>
      <c r="Z133" s="54"/>
      <c r="AA133" s="55"/>
      <c r="AB133" s="41">
        <f>D$3/(Data_nieuwveer!AQ133*N$3)</f>
        <v>0.13248524480444704</v>
      </c>
      <c r="AC133" s="53">
        <f>(D$2+D$3)/(Data_nieuwveer!AQ133)</f>
        <v>0.13765584334958819</v>
      </c>
    </row>
    <row r="134" spans="1:32" x14ac:dyDescent="0.3">
      <c r="A134" s="2">
        <f>Data_nieuwveer!A134</f>
        <v>41673</v>
      </c>
      <c r="B134" s="52"/>
      <c r="C134" s="21"/>
      <c r="D134" s="21">
        <f>AVERAGE(Data_nieuwveer!AX134,Data_nieuwveer!BB134,Data_nieuwveer!BF134)</f>
        <v>3.53</v>
      </c>
      <c r="E134">
        <f>Data_nieuwveer!BJ134</f>
        <v>3.78</v>
      </c>
      <c r="F134">
        <f t="shared" si="8"/>
        <v>3.6358682041668136</v>
      </c>
      <c r="G134" s="21"/>
      <c r="O134">
        <f t="shared" si="6"/>
        <v>2.923941176470588</v>
      </c>
      <c r="P134" s="23">
        <f t="shared" si="9"/>
        <v>2.8391853182537918</v>
      </c>
      <c r="Q134" s="24"/>
      <c r="R134" s="23"/>
      <c r="S134" s="54"/>
      <c r="T134" s="54"/>
      <c r="U134" s="54"/>
      <c r="V134" s="54"/>
      <c r="W134" s="54"/>
      <c r="X134" s="50"/>
      <c r="Y134" s="50"/>
      <c r="Z134" s="54"/>
      <c r="AA134" s="55"/>
      <c r="AB134" s="41">
        <f>D$3/(Data_nieuwveer!AQ134*N$3)</f>
        <v>0.19833137249451335</v>
      </c>
      <c r="AC134" s="53">
        <f>(D$2+D$3)/(Data_nieuwveer!AQ134)</f>
        <v>0.2060717960231081</v>
      </c>
    </row>
    <row r="135" spans="1:32" x14ac:dyDescent="0.3">
      <c r="A135" s="2">
        <f>Data_nieuwveer!A135</f>
        <v>41674</v>
      </c>
      <c r="B135" s="52"/>
      <c r="C135" s="21"/>
      <c r="D135" s="21">
        <f>AVERAGE(Data_nieuwveer!AX135,Data_nieuwveer!BB135,Data_nieuwveer!BF135)</f>
        <v>3.329333333333333</v>
      </c>
      <c r="E135">
        <f>Data_nieuwveer!BJ135</f>
        <v>3.6240000000000001</v>
      </c>
      <c r="F135">
        <f t="shared" si="8"/>
        <v>3.4541166566446182</v>
      </c>
      <c r="G135" s="21"/>
      <c r="O135">
        <f t="shared" si="6"/>
        <v>2.8032705882352942</v>
      </c>
      <c r="P135" s="23">
        <f t="shared" si="9"/>
        <v>2.6972587421739598</v>
      </c>
      <c r="Q135" s="24"/>
      <c r="R135" s="23"/>
      <c r="S135" s="54"/>
      <c r="T135" s="54"/>
      <c r="U135" s="54"/>
      <c r="V135" s="54"/>
      <c r="W135" s="54"/>
      <c r="X135" s="50"/>
      <c r="Y135" s="50"/>
      <c r="Z135" s="54"/>
      <c r="AA135" s="55"/>
      <c r="AB135" s="41">
        <f>D$3/(Data_nieuwveer!AQ135*N$3)</f>
        <v>0.1810865148538891</v>
      </c>
      <c r="AC135" s="53">
        <f>(D$2+D$3)/(Data_nieuwveer!AQ135)</f>
        <v>0.18815391071091644</v>
      </c>
    </row>
    <row r="136" spans="1:32" x14ac:dyDescent="0.3">
      <c r="A136" s="16">
        <f>Data_nieuwveer!A136</f>
        <v>41675</v>
      </c>
      <c r="B136" s="52"/>
      <c r="C136" s="21"/>
      <c r="D136" s="21">
        <f>AVERAGE(Data_nieuwveer!AX136,Data_nieuwveer!BB136,Data_nieuwveer!BF136)</f>
        <v>3.3186666666666667</v>
      </c>
      <c r="E136">
        <f>Data_nieuwveer!BJ136</f>
        <v>3.6120000000000001</v>
      </c>
      <c r="F136">
        <f t="shared" si="8"/>
        <v>3.4428853595557287</v>
      </c>
      <c r="G136" s="21"/>
      <c r="O136">
        <f t="shared" si="6"/>
        <v>2.7939882352941177</v>
      </c>
      <c r="P136" s="23">
        <f t="shared" si="9"/>
        <v>2.6884884204766064</v>
      </c>
      <c r="Q136" s="24"/>
      <c r="R136" s="23"/>
      <c r="S136" s="54"/>
      <c r="T136" s="54"/>
      <c r="U136" s="54"/>
      <c r="V136" s="54"/>
      <c r="W136" s="54"/>
      <c r="X136" s="50"/>
      <c r="Y136" s="50"/>
      <c r="Z136" s="54"/>
      <c r="AA136" s="55"/>
      <c r="AB136" s="41">
        <f>D$3/(Data_nieuwveer!AQ136*N$3)</f>
        <v>0.18388192310755902</v>
      </c>
      <c r="AC136" s="53">
        <f>(D$2+D$3)/(Data_nieuwveer!AQ136)</f>
        <v>0.19105841740698901</v>
      </c>
    </row>
    <row r="137" spans="1:32" x14ac:dyDescent="0.3">
      <c r="A137" s="2">
        <f>Data_nieuwveer!A137</f>
        <v>41676</v>
      </c>
      <c r="B137" s="52"/>
      <c r="C137" s="21"/>
      <c r="D137" s="21">
        <f>AVERAGE(Data_nieuwveer!AX137,Data_nieuwveer!BB137,Data_nieuwveer!BF137)</f>
        <v>3.31</v>
      </c>
      <c r="E137">
        <f>Data_nieuwveer!BJ137</f>
        <v>3.55</v>
      </c>
      <c r="F137">
        <f t="shared" ref="F137:F158" si="10">(D137*$D$2+E137*$D$3)/$D$4</f>
        <v>3.4116334760001417</v>
      </c>
      <c r="G137" s="21"/>
      <c r="O137">
        <f t="shared" si="6"/>
        <v>2.7460294117647059</v>
      </c>
      <c r="P137" s="23">
        <f t="shared" si="9"/>
        <v>2.6640843761118762</v>
      </c>
      <c r="Q137" s="24"/>
      <c r="R137" s="23"/>
      <c r="S137" s="54"/>
      <c r="T137" s="54"/>
      <c r="U137" s="54"/>
      <c r="V137" s="54"/>
      <c r="W137" s="54"/>
      <c r="X137" s="50"/>
      <c r="Y137" s="50"/>
      <c r="Z137" s="54"/>
      <c r="AA137" s="55"/>
      <c r="AB137" s="41">
        <f>D$3/(Data_nieuwveer!AQ137*N$3)</f>
        <v>0.17555435775567391</v>
      </c>
      <c r="AC137" s="53">
        <f>(D$2+D$3)/(Data_nieuwveer!AQ137)</f>
        <v>0.18240584607155774</v>
      </c>
    </row>
    <row r="138" spans="1:32" x14ac:dyDescent="0.3">
      <c r="A138" s="2">
        <f>Data_nieuwveer!A138</f>
        <v>41677</v>
      </c>
      <c r="B138" s="52">
        <f>Data_nieuwveer!AS138/Data_nieuwveer!AR138</f>
        <v>0.36428571428571427</v>
      </c>
      <c r="C138" s="21">
        <f>Data_nieuwveer!AR138*B$8</f>
        <v>51.705201886236374</v>
      </c>
      <c r="D138" s="21">
        <f>AVERAGE(Data_nieuwveer!AX138,Data_nieuwveer!BB138,Data_nieuwveer!BF138)</f>
        <v>3.1696666666666666</v>
      </c>
      <c r="E138">
        <f>Data_nieuwveer!BJ138</f>
        <v>3.468</v>
      </c>
      <c r="F138">
        <f t="shared" si="10"/>
        <v>3.2960027236390648</v>
      </c>
      <c r="G138" s="21">
        <f>IF(ISBLANK(Data_nieuwveer!AY138),0,AVERAGE(Data_nieuwveer!AX138*(1-Data_nieuwveer!AY138/100),Data_nieuwveer!BB138*(1-Data_nieuwveer!BC138/100),Data_nieuwveer!BF138*(1-Data_nieuwveer!BG138/100)))</f>
        <v>2.4511266666666667</v>
      </c>
      <c r="H138">
        <f>IF(ISBLANK(Data_nieuwveer!BK138),0,Data_nieuwveer!BJ138*(1-Data_nieuwveer!BK138/100))</f>
        <v>2.6703600000000001</v>
      </c>
      <c r="I138">
        <f>(M138*$D$2+N138*$D$3)/$D$4</f>
        <v>0.77105868204166805</v>
      </c>
      <c r="J138">
        <f>(Data_nieuwveer!AX138*(1-Data_nieuwveer!AY138/100)/Data_nieuwveer!AX138)</f>
        <v>0.77000000000000013</v>
      </c>
      <c r="K138">
        <f>(Data_nieuwveer!BB138*(1-Data_nieuwveer!BC138/100)/Data_nieuwveer!BB138)</f>
        <v>0.77</v>
      </c>
      <c r="L138">
        <f>(Data_nieuwveer!BF138*(1-Data_nieuwveer!BG138/100)/Data_nieuwveer!BF138)</f>
        <v>0.78</v>
      </c>
      <c r="M138">
        <f>(Data_nieuwveer!BJ138*(1-Data_nieuwveer!BK138/100)/Data_nieuwveer!BJ138)</f>
        <v>0.77</v>
      </c>
      <c r="N138">
        <f>AVERAGE(J138:M138)</f>
        <v>0.77250000000000008</v>
      </c>
      <c r="O138">
        <f t="shared" ref="O138:O201" si="11">M$8*E138</f>
        <v>2.6825999999999999</v>
      </c>
      <c r="P138" s="23">
        <f t="shared" ref="P138:P159" si="12">N$8*F138</f>
        <v>2.5737903621357998</v>
      </c>
      <c r="Q138" s="24">
        <f>'Edited data B'!C138*Data_nieuwveer!AQ138*$N$3/($D$3*O138*1000)</f>
        <v>0.12698017698603511</v>
      </c>
      <c r="R138" s="23">
        <f>'Edited data B'!C138*Data_nieuwveer!AQ138/($D$4*P138*1000)</f>
        <v>0.12737715339733363</v>
      </c>
      <c r="S138" s="54">
        <f>IF(ISBLANK(Data_nieuwveer!BZ138),0,Data_nieuwveer!AX138*(D$2/3+H$2/3)/(Data_nieuwveer!AZ138*Data_nieuwveer!BA138+(Data_nieuwveer!F138+Data_nieuwveer!BP138)*N$2/3*Data_nieuwveer!BZ138/1000))</f>
        <v>36.86357390702198</v>
      </c>
      <c r="T138" s="54">
        <f>IF(ISBLANK(Data_nieuwveer!BZ138),0,Data_nieuwveer!BB138*(D$2/3+H$2/3)/(Data_nieuwveer!BD138*Data_nieuwveer!BE138+(Data_nieuwveer!F138+Data_nieuwveer!BP138)*N$2/3*Data_nieuwveer!BZ138/1000))</f>
        <v>27.465376096854509</v>
      </c>
      <c r="U138" s="54">
        <f>IF(ISBLANK(Data_nieuwveer!BZ138),0,Data_nieuwveer!BF138*(D$2/3+H$2/3)/(Data_nieuwveer!BH138*Data_nieuwveer!BI138+(Data_nieuwveer!F138+Data_nieuwveer!BP138)*N$2/3*Data_nieuwveer!BZ138/1000))</f>
        <v>78.029645337327665</v>
      </c>
      <c r="V138" s="54">
        <f>AVERAGE(S138:U138)</f>
        <v>47.45286511373471</v>
      </c>
      <c r="W138" s="54">
        <f>V138*D$2/(D$2+H$2)</f>
        <v>22.455484379663851</v>
      </c>
      <c r="X138" s="50">
        <f>IF(ISBLANK(Data_nieuwveer!BZ138),0,Data_nieuwveer!BJ138*(D$3+H$3)/(Data_nieuwveer!BM138*Data_nieuwveer!BN138+(Data_nieuwveer!F138+Data_nieuwveer!BP138)*N$3*Data_nieuwveer!BZ138/1000))</f>
        <v>47.220575016394974</v>
      </c>
      <c r="Y138" s="50">
        <f>X138*D$3/(D$3+H$3)</f>
        <v>22.651042715613457</v>
      </c>
      <c r="Z138" s="54">
        <f>Y138*$J$2</f>
        <v>13.590625629368073</v>
      </c>
      <c r="AA138" s="55">
        <f>IF(ISBLANK(Data_nieuwveer!BZ138),0,'Edited data B'!P138*(D$2+H$2+D$3+H$3)/((Data_nieuwveer!AZ138*Data_nieuwveer!BA138+Data_nieuwveer!BD138*Data_nieuwveer!BE138+Data_nieuwveer!BH138*Data_nieuwveer!BI138+Data_nieuwveer!BM138*Data_nieuwveer!BN138)+(Data_nieuwveer!F138+Data_nieuwveer!BP138)*Data_nieuwveer!BZ138/1000))</f>
        <v>33.196543476300945</v>
      </c>
      <c r="AB138" s="41">
        <f>D$3/(Data_nieuwveer!AQ138*N$3)</f>
        <v>0.15178973049918459</v>
      </c>
      <c r="AC138" s="53">
        <f>(D$2+D$3)/(Data_nieuwveer!AQ138)</f>
        <v>0.15771373932631783</v>
      </c>
      <c r="AD138">
        <f>((E138-E137)*($D$3+H$3)+(Data_nieuwveer!F138+Data_nieuwveer!BP138)*N$3*Data_nieuwveer!BZ138/1000+Data_nieuwveer!BM138*Data_nieuwveer!BN138)/(Data_nieuwveer!AQ138*N$3*Data_nieuwveer!AR138/1000-((Data_nieuwveer!F138+Data_nieuwveer!BP138)*N$3+Data_nieuwveer!BM138)*Data_nieuwveer!BR138/1000/$P$2)</f>
        <v>-2.5139615415153482E-2</v>
      </c>
      <c r="AE138">
        <f>((F138-F137)*(D$2+H$2+$D$3+H$3)+(Data_nieuwveer!F138+Data_nieuwveer!BP138)*Data_nieuwveer!BZ138/1000+(Data_nieuwveer!AZ138*Data_nieuwveer!BA138+Data_nieuwveer!BD138*Data_nieuwveer!BE138+Data_nieuwveer!BH138*Data_nieuwveer!BI138+Data_nieuwveer!BM138*Data_nieuwveer!BN138))/(Data_nieuwveer!AQ138*Data_nieuwveer!AR138/1000-((Data_nieuwveer!F138+Data_nieuwveer!BP138)+Data_nieuwveer!AZ138+Data_nieuwveer!BD138+Data_nieuwveer!BH138+Data_nieuwveer!BM138)*Data_nieuwveer!BR138/1000/$P$2)</f>
        <v>-0.11719059676283529</v>
      </c>
      <c r="AF138">
        <f>(Data_nieuwveer!AQ138*Data_nieuwveer!AR138-(Data_nieuwveer!BP138+Data_nieuwveer!F138)*Data_nieuwveer!BR138)/(Data_nieuwveer!AQ138*Data_nieuwveer!AR138)</f>
        <v>0.73004800300417749</v>
      </c>
    </row>
    <row r="139" spans="1:32" x14ac:dyDescent="0.3">
      <c r="A139" s="2">
        <f>Data_nieuwveer!A139</f>
        <v>41678</v>
      </c>
      <c r="B139" s="52"/>
      <c r="C139" s="21"/>
      <c r="D139" s="21">
        <f>AVERAGE(Data_nieuwveer!AX139,Data_nieuwveer!BB139,Data_nieuwveer!BF139)</f>
        <v>3.043333333333333</v>
      </c>
      <c r="E139">
        <f>Data_nieuwveer!BJ139</f>
        <v>3.355</v>
      </c>
      <c r="F139">
        <f t="shared" si="10"/>
        <v>3.1753156945279613</v>
      </c>
      <c r="G139" s="21"/>
      <c r="O139">
        <f t="shared" si="11"/>
        <v>2.5951911764705882</v>
      </c>
      <c r="P139" s="23">
        <f t="shared" si="12"/>
        <v>2.4795479908740412</v>
      </c>
      <c r="Q139" s="24"/>
      <c r="R139" s="23"/>
      <c r="S139" s="54"/>
      <c r="T139" s="54"/>
      <c r="U139" s="54"/>
      <c r="V139" s="54"/>
      <c r="W139" s="54"/>
      <c r="X139" s="50"/>
      <c r="Y139" s="50"/>
      <c r="Z139" s="54"/>
      <c r="AA139" s="55"/>
      <c r="AB139" s="41">
        <f>D$3/(Data_nieuwveer!AQ139*N$3)</f>
        <v>0.12096848671898988</v>
      </c>
      <c r="AC139" s="53">
        <f>(D$2+D$3)/(Data_nieuwveer!AQ139)</f>
        <v>0.12568961232328163</v>
      </c>
    </row>
    <row r="140" spans="1:32" x14ac:dyDescent="0.3">
      <c r="A140" s="2">
        <f>Data_nieuwveer!A140</f>
        <v>41679</v>
      </c>
      <c r="B140" s="52"/>
      <c r="C140" s="21"/>
      <c r="D140" s="21">
        <f>AVERAGE(Data_nieuwveer!AX140,Data_nieuwveer!BB140,Data_nieuwveer!BF140)</f>
        <v>3.1753333333333331</v>
      </c>
      <c r="E140">
        <f>Data_nieuwveer!BJ140</f>
        <v>3.512</v>
      </c>
      <c r="F140">
        <f t="shared" si="10"/>
        <v>3.3179025149446426</v>
      </c>
      <c r="G140" s="21"/>
      <c r="O140">
        <f t="shared" si="11"/>
        <v>2.7166352941176473</v>
      </c>
      <c r="P140" s="23">
        <f t="shared" si="12"/>
        <v>2.5908915226994202</v>
      </c>
      <c r="Q140" s="24"/>
      <c r="R140" s="23"/>
      <c r="S140" s="54"/>
      <c r="T140" s="54"/>
      <c r="U140" s="54"/>
      <c r="V140" s="54"/>
      <c r="W140" s="54"/>
      <c r="X140" s="50"/>
      <c r="Y140" s="50"/>
      <c r="Z140" s="54"/>
      <c r="AA140" s="55"/>
      <c r="AB140" s="41">
        <f>D$3/(Data_nieuwveer!AQ140*N$3)</f>
        <v>0.12877686950572551</v>
      </c>
      <c r="AC140" s="53">
        <f>(D$2+D$3)/(Data_nieuwveer!AQ140)</f>
        <v>0.13380273857587713</v>
      </c>
    </row>
    <row r="141" spans="1:32" x14ac:dyDescent="0.3">
      <c r="A141" s="2">
        <f>Data_nieuwveer!A141</f>
        <v>41680</v>
      </c>
      <c r="B141" s="52"/>
      <c r="C141" s="21"/>
      <c r="D141" s="21">
        <f>AVERAGE(Data_nieuwveer!AX141,Data_nieuwveer!BB141,Data_nieuwveer!BF141)</f>
        <v>3.1433333333333331</v>
      </c>
      <c r="E141">
        <f>Data_nieuwveer!BJ141</f>
        <v>3.82</v>
      </c>
      <c r="F141">
        <f t="shared" si="10"/>
        <v>3.42988327261151</v>
      </c>
      <c r="G141" s="21"/>
      <c r="O141">
        <f t="shared" si="11"/>
        <v>2.9548823529411763</v>
      </c>
      <c r="P141" s="23">
        <f t="shared" si="12"/>
        <v>2.6783353202304592</v>
      </c>
      <c r="Q141" s="24"/>
      <c r="R141" s="23"/>
      <c r="S141" s="54"/>
      <c r="T141" s="54"/>
      <c r="U141" s="54"/>
      <c r="V141" s="54"/>
      <c r="W141" s="54"/>
      <c r="X141" s="50"/>
      <c r="Y141" s="50"/>
      <c r="Z141" s="54"/>
      <c r="AA141" s="55"/>
      <c r="AB141" s="41">
        <f>D$3/(Data_nieuwveer!AQ141*N$3)</f>
        <v>0.14812227060404662</v>
      </c>
      <c r="AC141" s="53">
        <f>(D$2+D$3)/(Data_nieuwveer!AQ141)</f>
        <v>0.15390314679157041</v>
      </c>
    </row>
    <row r="142" spans="1:32" x14ac:dyDescent="0.3">
      <c r="A142" s="2">
        <f>Data_nieuwveer!A142</f>
        <v>41681</v>
      </c>
      <c r="B142" s="52"/>
      <c r="C142" s="21"/>
      <c r="D142" s="21">
        <f>AVERAGE(Data_nieuwveer!AX142,Data_nieuwveer!BB142,Data_nieuwveer!BF142)</f>
        <v>3.4683333333333337</v>
      </c>
      <c r="E142">
        <f>Data_nieuwveer!BJ142</f>
        <v>3.8069999999999999</v>
      </c>
      <c r="F142">
        <f t="shared" si="10"/>
        <v>3.6117494605779776</v>
      </c>
      <c r="G142" s="21"/>
      <c r="O142">
        <f t="shared" si="11"/>
        <v>2.9448264705882354</v>
      </c>
      <c r="P142" s="23">
        <f t="shared" si="12"/>
        <v>2.8203514170101567</v>
      </c>
      <c r="Q142" s="24"/>
      <c r="R142" s="23"/>
      <c r="S142" s="54"/>
      <c r="T142" s="54"/>
      <c r="U142" s="54"/>
      <c r="V142" s="54"/>
      <c r="W142" s="54"/>
      <c r="X142" s="50"/>
      <c r="Y142" s="50"/>
      <c r="Z142" s="54"/>
      <c r="AA142" s="55"/>
      <c r="AB142" s="41">
        <f>D$3/(Data_nieuwveer!AQ142*N$3)</f>
        <v>0.175076986639017</v>
      </c>
      <c r="AC142" s="53">
        <f>(D$2+D$3)/(Data_nieuwveer!AQ142)</f>
        <v>0.18190984424319465</v>
      </c>
    </row>
    <row r="143" spans="1:32" x14ac:dyDescent="0.3">
      <c r="A143" s="2">
        <f>Data_nieuwveer!A143</f>
        <v>41682</v>
      </c>
      <c r="B143" s="52"/>
      <c r="C143" s="21"/>
      <c r="D143" s="21">
        <f>AVERAGE(Data_nieuwveer!AX143,Data_nieuwveer!BB143,Data_nieuwveer!BF143)</f>
        <v>3.4363333333333332</v>
      </c>
      <c r="E143">
        <f>Data_nieuwveer!BJ143</f>
        <v>3.72</v>
      </c>
      <c r="F143">
        <f t="shared" si="10"/>
        <v>3.5564584556612786</v>
      </c>
      <c r="G143" s="21"/>
      <c r="O143">
        <f t="shared" si="11"/>
        <v>2.8775294117647063</v>
      </c>
      <c r="P143" s="23">
        <f t="shared" si="12"/>
        <v>2.7771756469943227</v>
      </c>
      <c r="Q143" s="24"/>
      <c r="R143" s="23"/>
      <c r="S143" s="54"/>
      <c r="T143" s="54"/>
      <c r="U143" s="54"/>
      <c r="V143" s="54"/>
      <c r="W143" s="54"/>
      <c r="X143" s="50"/>
      <c r="Y143" s="50"/>
      <c r="Z143" s="54"/>
      <c r="AA143" s="55"/>
      <c r="AB143" s="41">
        <f>D$3/(Data_nieuwveer!AQ143*N$3)</f>
        <v>0.16817161438456715</v>
      </c>
      <c r="AC143" s="53">
        <f>(D$2+D$3)/(Data_nieuwveer!AQ143)</f>
        <v>0.17473497097536614</v>
      </c>
    </row>
    <row r="144" spans="1:32" x14ac:dyDescent="0.3">
      <c r="A144" s="2">
        <f>Data_nieuwveer!A144</f>
        <v>41683</v>
      </c>
      <c r="B144" s="52"/>
      <c r="C144" s="21">
        <f>Data_nieuwveer!AR144*B$8</f>
        <v>44.318744473916887</v>
      </c>
      <c r="D144" s="21">
        <f>AVERAGE(Data_nieuwveer!AX144,Data_nieuwveer!BB144,Data_nieuwveer!BF144)</f>
        <v>3.5166666666666671</v>
      </c>
      <c r="E144">
        <f>Data_nieuwveer!BJ144</f>
        <v>3.83</v>
      </c>
      <c r="F144">
        <f t="shared" si="10"/>
        <v>3.6493548158890738</v>
      </c>
      <c r="G144" s="21"/>
      <c r="O144">
        <f t="shared" si="11"/>
        <v>2.9626176470588237</v>
      </c>
      <c r="P144" s="23">
        <f t="shared" si="12"/>
        <v>2.8497167753486745</v>
      </c>
      <c r="Q144" s="24">
        <f>'Edited data B'!C144*Data_nieuwveer!AQ144*$N$3/($D$3*O144*1000)</f>
        <v>8.7379973572283068E-2</v>
      </c>
      <c r="R144" s="23">
        <f>'Edited data B'!C144*Data_nieuwveer!AQ144/($D$4*P144*1000)</f>
        <v>8.7429637268222837E-2</v>
      </c>
      <c r="S144" s="54">
        <f>IF(ISBLANK(Data_nieuwveer!BZ144),0,Data_nieuwveer!AX144*(D$2/3+H$2/3)/(Data_nieuwveer!AZ144*Data_nieuwveer!BA144+(Data_nieuwveer!F144+Data_nieuwveer!BP144)*N$2/3*Data_nieuwveer!BZ144/1000))</f>
        <v>28.463353365828954</v>
      </c>
      <c r="T144" s="54">
        <f>IF(ISBLANK(Data_nieuwveer!BZ144),0,Data_nieuwveer!BB144*(D$2/3+H$2/3)/(Data_nieuwveer!BD144*Data_nieuwveer!BE144+(Data_nieuwveer!F144+Data_nieuwveer!BP144)*N$2/3*Data_nieuwveer!BZ144/1000))</f>
        <v>22.017749686512495</v>
      </c>
      <c r="U144" s="54">
        <f>IF(ISBLANK(Data_nieuwveer!BZ144),0,Data_nieuwveer!BF144*(D$2/3+H$2/3)/(Data_nieuwveer!BH144*Data_nieuwveer!BI144+(Data_nieuwveer!F144+Data_nieuwveer!BP144)*N$2/3*Data_nieuwveer!BZ144/1000))</f>
        <v>25.132480837092285</v>
      </c>
      <c r="V144" s="54">
        <f>AVERAGE(S144:U144)</f>
        <v>25.204527963144582</v>
      </c>
      <c r="W144" s="54">
        <f>V144*D$2/(D$2+H$2)</f>
        <v>11.92720150019724</v>
      </c>
      <c r="X144" s="50">
        <f>IF(ISBLANK(Data_nieuwveer!BZ144),0,Data_nieuwveer!BJ144*(D$3+H$3)/(Data_nieuwveer!BM144*Data_nieuwveer!BN144+(Data_nieuwveer!F144+Data_nieuwveer!BP144)*N$3*Data_nieuwveer!BZ144/1000))</f>
        <v>32.037284567763237</v>
      </c>
      <c r="Y144" s="50">
        <f>X144*D$3/(D$3+H$3)</f>
        <v>15.367832792902536</v>
      </c>
      <c r="Z144" s="54">
        <f>Y144*$J$2</f>
        <v>9.2206996757415212</v>
      </c>
      <c r="AA144" s="55">
        <f>IF(ISBLANK(Data_nieuwveer!BZ144),0,'Edited data B'!P144*(D$2+H$2+D$3+H$3)/((Data_nieuwveer!AZ144*Data_nieuwveer!BA144+Data_nieuwveer!BD144*Data_nieuwveer!BE144+Data_nieuwveer!BH144*Data_nieuwveer!BI144+Data_nieuwveer!BM144*Data_nieuwveer!BN144)+(Data_nieuwveer!F144+Data_nieuwveer!BP144)*Data_nieuwveer!BZ144/1000))</f>
        <v>21.625386633905087</v>
      </c>
      <c r="AB144" s="41">
        <f>D$3/(Data_nieuwveer!AQ144*N$3)</f>
        <v>0.17119849170342194</v>
      </c>
      <c r="AC144" s="53">
        <f>(D$2+D$3)/(Data_nieuwveer!AQ144)</f>
        <v>0.17787998044912082</v>
      </c>
      <c r="AD144">
        <f>((E144-E143)*($D$3+H$3)+(Data_nieuwveer!F144+Data_nieuwveer!BP144)*N$3*Data_nieuwveer!BZ144/1000+Data_nieuwveer!BM144*Data_nieuwveer!BN144)/(Data_nieuwveer!AQ144*N$3*Data_nieuwveer!AR144/1000-((Data_nieuwveer!F144+Data_nieuwveer!BP144)*N$3+Data_nieuwveer!BM144)*Data_nieuwveer!BR144/1000/$P$2)</f>
        <v>0.91418748797938654</v>
      </c>
      <c r="AE144">
        <f>((F144-F143)*(D$2+H$2+$D$3+H$3)+(Data_nieuwveer!F144+Data_nieuwveer!BP144)*Data_nieuwveer!BZ144/1000+(Data_nieuwveer!AZ144*Data_nieuwveer!BA144+Data_nieuwveer!BD144*Data_nieuwveer!BE144+Data_nieuwveer!BH144*Data_nieuwveer!BI144+Data_nieuwveer!BM144*Data_nieuwveer!BN144))/(Data_nieuwveer!AQ144*Data_nieuwveer!AR144/1000-((Data_nieuwveer!F144+Data_nieuwveer!BP144)+Data_nieuwveer!AZ144+Data_nieuwveer!BD144+Data_nieuwveer!BH144+Data_nieuwveer!BM144)*Data_nieuwveer!BR144/1000/$P$2)</f>
        <v>0.93681376387370152</v>
      </c>
      <c r="AF144">
        <f>(Data_nieuwveer!AQ144*Data_nieuwveer!AR144-(Data_nieuwveer!BP144+Data_nieuwveer!F144)*Data_nieuwveer!BR144)/(Data_nieuwveer!AQ144*Data_nieuwveer!AR144)</f>
        <v>0.70462648897485769</v>
      </c>
    </row>
    <row r="145" spans="1:32" x14ac:dyDescent="0.3">
      <c r="A145" s="2">
        <f>Data_nieuwveer!A145</f>
        <v>41684</v>
      </c>
      <c r="B145" s="52"/>
      <c r="C145" s="21"/>
      <c r="D145" s="21">
        <f>AVERAGE(Data_nieuwveer!AX145,Data_nieuwveer!BB145,Data_nieuwveer!BF145)</f>
        <v>3.7273333333333327</v>
      </c>
      <c r="E145">
        <f>Data_nieuwveer!BJ145</f>
        <v>3.7759999999999998</v>
      </c>
      <c r="F145">
        <f t="shared" si="10"/>
        <v>3.7479423437444725</v>
      </c>
      <c r="G145" s="21"/>
      <c r="O145">
        <f t="shared" si="11"/>
        <v>2.9208470588235294</v>
      </c>
      <c r="P145" s="23">
        <f t="shared" si="12"/>
        <v>2.9267020360710521</v>
      </c>
      <c r="Q145" s="24"/>
      <c r="R145" s="23"/>
      <c r="S145" s="54"/>
      <c r="T145" s="54"/>
      <c r="U145" s="54"/>
      <c r="V145" s="54"/>
      <c r="W145" s="54"/>
      <c r="X145" s="50"/>
      <c r="Y145" s="50"/>
      <c r="Z145" s="54"/>
      <c r="AA145" s="55"/>
      <c r="AB145" s="41">
        <f>D$3/(Data_nieuwveer!AQ145*N$3)</f>
        <v>0.20615267813088803</v>
      </c>
      <c r="AC145" s="53">
        <f>(D$2+D$3)/(Data_nieuwveer!AQ145)</f>
        <v>0.21419834947484695</v>
      </c>
    </row>
    <row r="146" spans="1:32" x14ac:dyDescent="0.3">
      <c r="A146" s="2">
        <f>Data_nieuwveer!A146</f>
        <v>41685</v>
      </c>
      <c r="B146" s="52"/>
      <c r="C146" s="21"/>
      <c r="D146" s="21">
        <f>AVERAGE(Data_nieuwveer!AX146,Data_nieuwveer!BB146,Data_nieuwveer!BF146)</f>
        <v>3.4356666666666666</v>
      </c>
      <c r="E146">
        <f>Data_nieuwveer!BJ146</f>
        <v>3.4049999999999998</v>
      </c>
      <c r="F146">
        <f t="shared" si="10"/>
        <v>3.4226801669555371</v>
      </c>
      <c r="G146" s="21"/>
      <c r="O146">
        <f t="shared" si="11"/>
        <v>2.6338676470588234</v>
      </c>
      <c r="P146" s="23">
        <f t="shared" si="12"/>
        <v>2.6727105421373394</v>
      </c>
      <c r="Q146" s="24"/>
      <c r="R146" s="23"/>
      <c r="S146" s="54"/>
      <c r="T146" s="54"/>
      <c r="U146" s="54"/>
      <c r="V146" s="54"/>
      <c r="W146" s="54"/>
      <c r="X146" s="50"/>
      <c r="Y146" s="50"/>
      <c r="Z146" s="54"/>
      <c r="AA146" s="55"/>
      <c r="AB146" s="41">
        <f>D$3/(Data_nieuwveer!AQ146*N$3)</f>
        <v>0.12651139749126589</v>
      </c>
      <c r="AC146" s="53">
        <f>(D$2+D$3)/(Data_nieuwveer!AQ146)</f>
        <v>0.13144885032820366</v>
      </c>
    </row>
    <row r="147" spans="1:32" x14ac:dyDescent="0.3">
      <c r="A147" s="2">
        <f>Data_nieuwveer!A147</f>
        <v>41686</v>
      </c>
      <c r="B147" s="52"/>
      <c r="C147" s="21"/>
      <c r="D147" s="21">
        <f>AVERAGE(Data_nieuwveer!AX147,Data_nieuwveer!BB147,Data_nieuwveer!BF147)</f>
        <v>3.8043333333333336</v>
      </c>
      <c r="E147">
        <f>Data_nieuwveer!BJ147</f>
        <v>3.8330000000000002</v>
      </c>
      <c r="F147">
        <f t="shared" si="10"/>
        <v>3.8164728874111282</v>
      </c>
      <c r="G147" s="21"/>
      <c r="O147">
        <f t="shared" si="11"/>
        <v>2.964938235294118</v>
      </c>
      <c r="P147" s="23">
        <f t="shared" si="12"/>
        <v>2.9802163282578085</v>
      </c>
      <c r="Q147" s="24"/>
      <c r="R147" s="23"/>
      <c r="S147" s="54"/>
      <c r="T147" s="54"/>
      <c r="U147" s="54"/>
      <c r="V147" s="54"/>
      <c r="W147" s="54"/>
      <c r="X147" s="50"/>
      <c r="Y147" s="50"/>
      <c r="Z147" s="54"/>
      <c r="AA147" s="55"/>
      <c r="AB147" s="41">
        <f>D$3/(Data_nieuwveer!AQ147*N$3)</f>
        <v>0.19216972882462785</v>
      </c>
      <c r="AC147" s="53">
        <f>(D$2+D$3)/(Data_nieuwveer!AQ147)</f>
        <v>0.19966967737925689</v>
      </c>
    </row>
    <row r="148" spans="1:32" x14ac:dyDescent="0.3">
      <c r="A148" s="2">
        <f>Data_nieuwveer!A148</f>
        <v>41687</v>
      </c>
      <c r="B148" s="52"/>
      <c r="C148" s="21"/>
      <c r="D148" s="21">
        <f>AVERAGE(Data_nieuwveer!AX148,Data_nieuwveer!BB148,Data_nieuwveer!BF148)</f>
        <v>3.8029999999999995</v>
      </c>
      <c r="E148">
        <f>Data_nieuwveer!BJ148</f>
        <v>3.85</v>
      </c>
      <c r="F148">
        <f t="shared" si="10"/>
        <v>3.8229032223833608</v>
      </c>
      <c r="G148" s="21"/>
      <c r="O148">
        <f t="shared" si="11"/>
        <v>2.978088235294118</v>
      </c>
      <c r="P148" s="23">
        <f t="shared" si="12"/>
        <v>2.9852376633611253</v>
      </c>
      <c r="Q148" s="24"/>
      <c r="R148" s="23"/>
      <c r="S148" s="54"/>
      <c r="T148" s="54"/>
      <c r="U148" s="54"/>
      <c r="V148" s="54"/>
      <c r="W148" s="54"/>
      <c r="X148" s="50"/>
      <c r="Y148" s="50"/>
      <c r="Z148" s="54"/>
      <c r="AA148" s="55"/>
      <c r="AB148" s="41">
        <f>D$3/(Data_nieuwveer!AQ148*N$3)</f>
        <v>0.20754391984380605</v>
      </c>
      <c r="AC148" s="53">
        <f>(D$2+D$3)/(Data_nieuwveer!AQ148)</f>
        <v>0.21564388819561192</v>
      </c>
    </row>
    <row r="149" spans="1:32" x14ac:dyDescent="0.3">
      <c r="A149" s="2">
        <f>Data_nieuwveer!A149</f>
        <v>41688</v>
      </c>
      <c r="B149" s="52"/>
      <c r="C149" s="21"/>
      <c r="D149" s="21">
        <f>AVERAGE(Data_nieuwveer!AX149,Data_nieuwveer!BB149,Data_nieuwveer!BF149)</f>
        <v>3.6103333333333332</v>
      </c>
      <c r="E149">
        <f>Data_nieuwveer!BJ149</f>
        <v>3.7919999999999998</v>
      </c>
      <c r="F149">
        <f t="shared" si="10"/>
        <v>3.6872642283612183</v>
      </c>
      <c r="G149" s="21"/>
      <c r="O149">
        <f t="shared" si="11"/>
        <v>2.9332235294117646</v>
      </c>
      <c r="P149" s="23">
        <f t="shared" si="12"/>
        <v>2.8793195665585403</v>
      </c>
      <c r="Q149" s="24"/>
      <c r="R149" s="23"/>
      <c r="S149" s="54"/>
      <c r="T149" s="54"/>
      <c r="U149" s="54"/>
      <c r="V149" s="54"/>
      <c r="W149" s="54"/>
      <c r="X149" s="50"/>
      <c r="Y149" s="50"/>
      <c r="Z149" s="54"/>
      <c r="AA149" s="55"/>
      <c r="AB149" s="41">
        <f>D$3/(Data_nieuwveer!AQ149*N$3)</f>
        <v>0.20502220137673813</v>
      </c>
      <c r="AC149" s="53">
        <f>(D$2+D$3)/(Data_nieuwveer!AQ149)</f>
        <v>0.21302375277761243</v>
      </c>
    </row>
    <row r="150" spans="1:32" x14ac:dyDescent="0.3">
      <c r="A150" s="16">
        <f>Data_nieuwveer!A150</f>
        <v>41689</v>
      </c>
      <c r="B150" s="52"/>
      <c r="C150" s="21">
        <f>Data_nieuwveer!AR150*B$8</f>
        <v>36.932287061597407</v>
      </c>
      <c r="D150" s="21">
        <f>AVERAGE(Data_nieuwveer!AX150,Data_nieuwveer!BB150,Data_nieuwveer!BF150)</f>
        <v>3.4440000000000004</v>
      </c>
      <c r="E150">
        <f>Data_nieuwveer!BJ150</f>
        <v>3.7530000000000001</v>
      </c>
      <c r="F150">
        <f t="shared" si="10"/>
        <v>3.5748531003501829</v>
      </c>
      <c r="G150" s="21">
        <f>IF(ISBLANK(Data_nieuwveer!AY150),0,AVERAGE(Data_nieuwveer!AX150*(1-Data_nieuwveer!AY150/100),Data_nieuwveer!BB150*(1-Data_nieuwveer!BC150/100),Data_nieuwveer!BF150*(1-Data_nieuwveer!BG150/100)))</f>
        <v>2.6631</v>
      </c>
      <c r="H150">
        <f>IF(ISBLANK(Data_nieuwveer!BK150),0,Data_nieuwveer!BJ150*(1-Data_nieuwveer!BK150/100))</f>
        <v>2.8898100000000002</v>
      </c>
      <c r="I150">
        <f>(M150*$D$2+N150*$D$3)/$D$4</f>
        <v>0.77105868204166805</v>
      </c>
      <c r="J150">
        <f>(Data_nieuwveer!AX150*(1-Data_nieuwveer!AY150/100)/Data_nieuwveer!AX150)</f>
        <v>0.77</v>
      </c>
      <c r="K150">
        <f>(Data_nieuwveer!BB150*(1-Data_nieuwveer!BC150/100)/Data_nieuwveer!BB150)</f>
        <v>0.77</v>
      </c>
      <c r="L150">
        <f>(Data_nieuwveer!BF150*(1-Data_nieuwveer!BG150/100)/Data_nieuwveer!BF150)</f>
        <v>0.78</v>
      </c>
      <c r="M150">
        <f>(Data_nieuwveer!BJ150*(1-Data_nieuwveer!BK150/100)/Data_nieuwveer!BJ150)</f>
        <v>0.77</v>
      </c>
      <c r="N150">
        <f>AVERAGE(J150:M150)</f>
        <v>0.77250000000000008</v>
      </c>
      <c r="O150">
        <f t="shared" si="11"/>
        <v>2.9030558823529415</v>
      </c>
      <c r="P150" s="23">
        <f t="shared" si="12"/>
        <v>2.7915397004205111</v>
      </c>
      <c r="Q150" s="24">
        <f>'Edited data B'!C150*Data_nieuwveer!AQ150*$N$3/($D$3*O150*1000)</f>
        <v>6.115050173565055E-2</v>
      </c>
      <c r="R150" s="23">
        <f>'Edited data B'!C150*Data_nieuwveer!AQ150/($D$4*P150*1000)</f>
        <v>6.1204657652122164E-2</v>
      </c>
      <c r="S150" s="54">
        <f>IF(ISBLANK(Data_nieuwveer!BZ150),0,Data_nieuwveer!AX150*(D$2/3+H$2/3)/(Data_nieuwveer!AZ150*Data_nieuwveer!BA150+(Data_nieuwveer!F150+Data_nieuwveer!BP150)*N$2/3*Data_nieuwveer!BZ150/1000))</f>
        <v>25.716724303398731</v>
      </c>
      <c r="T150" s="54">
        <f>IF(ISBLANK(Data_nieuwveer!BZ150),0,Data_nieuwveer!BB150*(D$2/3+H$2/3)/(Data_nieuwveer!BD150*Data_nieuwveer!BE150+(Data_nieuwveer!F150+Data_nieuwveer!BP150)*N$2/3*Data_nieuwveer!BZ150/1000))</f>
        <v>24.867322176487136</v>
      </c>
      <c r="U150" s="54">
        <f>IF(ISBLANK(Data_nieuwveer!BZ150),0,Data_nieuwveer!BF150*(D$2/3+H$2/3)/(Data_nieuwveer!BH150*Data_nieuwveer!BI150+(Data_nieuwveer!F150+Data_nieuwveer!BP150)*N$2/3*Data_nieuwveer!BZ150/1000))</f>
        <v>21.406521949840933</v>
      </c>
      <c r="V150" s="54">
        <f>AVERAGE(S150:U150)</f>
        <v>23.996856143242269</v>
      </c>
      <c r="W150" s="54">
        <f>V150*D$2/(D$2+H$2)</f>
        <v>11.355711125009604</v>
      </c>
      <c r="X150" s="50">
        <f>IF(ISBLANK(Data_nieuwveer!BZ150),0,Data_nieuwveer!BJ150*(D$3+H$3)/(Data_nieuwveer!BM150*Data_nieuwveer!BN150+(Data_nieuwveer!F150+Data_nieuwveer!BP150)*N$3*Data_nieuwveer!BZ150/1000))</f>
        <v>40.226735109216776</v>
      </c>
      <c r="Y150" s="50">
        <f>X150*D$3/(D$3+H$3)</f>
        <v>19.296196519254078</v>
      </c>
      <c r="Z150" s="54">
        <f>Y150*$J$2</f>
        <v>11.577717911552446</v>
      </c>
      <c r="AA150" s="55">
        <f>IF(ISBLANK(Data_nieuwveer!BZ150),0,'Edited data B'!P150*(D$2+H$2+D$3+H$3)/((Data_nieuwveer!AZ150*Data_nieuwveer!BA150+Data_nieuwveer!BD150*Data_nieuwveer!BE150+Data_nieuwveer!BH150*Data_nieuwveer!BI150+Data_nieuwveer!BM150*Data_nieuwveer!BN150)+(Data_nieuwveer!F150+Data_nieuwveer!BP150)*Data_nieuwveer!BZ150/1000))</f>
        <v>22.733521740396142</v>
      </c>
      <c r="AB150" s="41">
        <f>D$3/(Data_nieuwveer!AQ150*N$3)</f>
        <v>0.20804188585903227</v>
      </c>
      <c r="AC150" s="53">
        <f>(D$2+D$3)/(Data_nieuwveer!AQ150)</f>
        <v>0.21616128869471335</v>
      </c>
      <c r="AD150">
        <f>((E150-E149)*($D$3+H$3)+(Data_nieuwveer!F150+Data_nieuwveer!BP150)*N$3*Data_nieuwveer!BZ150/1000+Data_nieuwveer!BM150*Data_nieuwveer!BN150)/(Data_nieuwveer!AQ150*N$3*Data_nieuwveer!AR150/1000-((Data_nieuwveer!F150+Data_nieuwveer!BP150)*N$3+Data_nieuwveer!BM150)*Data_nieuwveer!BR150/1000/$P$2)</f>
        <v>0.33797693071493973</v>
      </c>
      <c r="AE150">
        <f>((F150-F149)*(D$2+H$2+$D$3+H$3)+(Data_nieuwveer!F150+Data_nieuwveer!BP150)*Data_nieuwveer!BZ150/1000+(Data_nieuwveer!AZ150*Data_nieuwveer!BA150+Data_nieuwveer!BD150*Data_nieuwveer!BE150+Data_nieuwveer!BH150*Data_nieuwveer!BI150+Data_nieuwveer!BM150*Data_nieuwveer!BN150))/(Data_nieuwveer!AQ150*Data_nieuwveer!AR150/1000-((Data_nieuwveer!F150+Data_nieuwveer!BP150)+Data_nieuwveer!AZ150+Data_nieuwveer!BD150+Data_nieuwveer!BH150+Data_nieuwveer!BM150)*Data_nieuwveer!BR150/1000/$P$2)</f>
        <v>6.7716799918111012E-2</v>
      </c>
      <c r="AF150">
        <f>(Data_nieuwveer!AQ150*Data_nieuwveer!AR150-(Data_nieuwveer!BP150+Data_nieuwveer!F150)*Data_nieuwveer!BR150)/(Data_nieuwveer!AQ150*Data_nieuwveer!AR150)</f>
        <v>0.64679500805128354</v>
      </c>
    </row>
    <row r="151" spans="1:32" x14ac:dyDescent="0.3">
      <c r="A151" s="2">
        <f>Data_nieuwveer!A151</f>
        <v>41690</v>
      </c>
      <c r="B151" s="52"/>
      <c r="C151" s="21"/>
      <c r="D151" s="21">
        <f>AVERAGE(Data_nieuwveer!AX151,Data_nieuwveer!BB151,Data_nieuwveer!BF151)</f>
        <v>3.2766666666666668</v>
      </c>
      <c r="E151">
        <f>Data_nieuwveer!BJ151</f>
        <v>3.74</v>
      </c>
      <c r="F151">
        <f t="shared" si="10"/>
        <v>3.4728757383891624</v>
      </c>
      <c r="G151" s="21"/>
      <c r="O151">
        <f t="shared" si="11"/>
        <v>2.8930000000000002</v>
      </c>
      <c r="P151" s="23">
        <f t="shared" si="12"/>
        <v>2.7119073780656557</v>
      </c>
      <c r="Q151" s="24"/>
      <c r="R151" s="23"/>
      <c r="S151" s="54"/>
      <c r="T151" s="54"/>
      <c r="U151" s="54"/>
      <c r="V151" s="54"/>
      <c r="W151" s="54"/>
      <c r="X151" s="50"/>
      <c r="Y151" s="50"/>
      <c r="Z151" s="54"/>
      <c r="AA151" s="55"/>
      <c r="AB151" s="41">
        <f>D$3/(Data_nieuwveer!AQ151*N$3)</f>
        <v>0.19946939009584827</v>
      </c>
      <c r="AC151" s="53">
        <f>(D$2+D$3)/(Data_nieuwveer!AQ151)</f>
        <v>0.20725422786968589</v>
      </c>
    </row>
    <row r="152" spans="1:32" x14ac:dyDescent="0.3">
      <c r="A152" s="2">
        <f>Data_nieuwveer!A152</f>
        <v>41691</v>
      </c>
      <c r="B152" s="52"/>
      <c r="C152" s="21"/>
      <c r="D152" s="21">
        <f>AVERAGE(Data_nieuwveer!AX152,Data_nieuwveer!BB152,Data_nieuwveer!BF152)</f>
        <v>3.1956666666666664</v>
      </c>
      <c r="E152">
        <f>Data_nieuwveer!BJ152</f>
        <v>3.7069999999999999</v>
      </c>
      <c r="F152">
        <f t="shared" si="10"/>
        <v>3.4122024335891905</v>
      </c>
      <c r="G152" s="21"/>
      <c r="O152">
        <f t="shared" si="11"/>
        <v>2.8674735294117646</v>
      </c>
      <c r="P152" s="23">
        <f t="shared" si="12"/>
        <v>2.6645286650527362</v>
      </c>
      <c r="Q152" s="24"/>
      <c r="R152" s="23"/>
      <c r="S152" s="54"/>
      <c r="T152" s="54"/>
      <c r="U152" s="54"/>
      <c r="V152" s="54"/>
      <c r="W152" s="54"/>
      <c r="X152" s="50"/>
      <c r="Y152" s="50"/>
      <c r="Z152" s="54"/>
      <c r="AA152" s="55"/>
      <c r="AB152" s="41">
        <f>D$3/(Data_nieuwveer!AQ152*N$3)</f>
        <v>0.17148674972649067</v>
      </c>
      <c r="AC152" s="53">
        <f>(D$2+D$3)/(Data_nieuwveer!AQ152)</f>
        <v>0.17817948852888002</v>
      </c>
    </row>
    <row r="153" spans="1:32" x14ac:dyDescent="0.3">
      <c r="A153" s="2">
        <f>Data_nieuwveer!A153</f>
        <v>41692</v>
      </c>
      <c r="B153" s="52"/>
      <c r="C153" s="21"/>
      <c r="D153" s="21">
        <f>AVERAGE(Data_nieuwveer!AX153,Data_nieuwveer!BB153,Data_nieuwveer!BF153)</f>
        <v>3.2543333333333333</v>
      </c>
      <c r="E153">
        <f>Data_nieuwveer!BJ153</f>
        <v>3.8439999999999999</v>
      </c>
      <c r="F153">
        <f t="shared" si="10"/>
        <v>3.5040411375614586</v>
      </c>
      <c r="G153" s="21"/>
      <c r="O153">
        <f t="shared" si="11"/>
        <v>2.9734470588235293</v>
      </c>
      <c r="P153" s="23">
        <f t="shared" si="12"/>
        <v>2.7362438883016691</v>
      </c>
      <c r="Q153" s="24"/>
      <c r="R153" s="23"/>
      <c r="S153" s="54"/>
      <c r="T153" s="54"/>
      <c r="U153" s="54"/>
      <c r="V153" s="54"/>
      <c r="W153" s="54"/>
      <c r="X153" s="50"/>
      <c r="Y153" s="50"/>
      <c r="Z153" s="54"/>
      <c r="AA153" s="55"/>
      <c r="AB153" s="41">
        <f>D$3/(Data_nieuwveer!AQ153*N$3)</f>
        <v>0.16640256583527377</v>
      </c>
      <c r="AC153" s="53">
        <f>(D$2+D$3)/(Data_nieuwveer!AQ153)</f>
        <v>0.17289688047450474</v>
      </c>
    </row>
    <row r="154" spans="1:32" x14ac:dyDescent="0.3">
      <c r="A154" s="2">
        <f>Data_nieuwveer!A154</f>
        <v>41693</v>
      </c>
      <c r="B154" s="52"/>
      <c r="C154" s="21"/>
      <c r="D154" s="21">
        <f>AVERAGE(Data_nieuwveer!AX154,Data_nieuwveer!BB154,Data_nieuwveer!BF154)</f>
        <v>3.1780000000000004</v>
      </c>
      <c r="E154">
        <f>Data_nieuwveer!BJ154</f>
        <v>4.0149999999999997</v>
      </c>
      <c r="F154">
        <f t="shared" si="10"/>
        <v>3.5324467475504933</v>
      </c>
      <c r="G154" s="21"/>
      <c r="O154">
        <f t="shared" si="11"/>
        <v>3.1057205882352941</v>
      </c>
      <c r="P154" s="23">
        <f t="shared" si="12"/>
        <v>2.758425327866636</v>
      </c>
      <c r="Q154" s="24"/>
      <c r="R154" s="23"/>
      <c r="S154" s="54"/>
      <c r="T154" s="54"/>
      <c r="U154" s="54"/>
      <c r="V154" s="54"/>
      <c r="W154" s="54"/>
      <c r="X154" s="50"/>
      <c r="Y154" s="50"/>
      <c r="Z154" s="54"/>
      <c r="AA154" s="55"/>
      <c r="AB154" s="41">
        <f>D$3/(Data_nieuwveer!AQ154*N$3)</f>
        <v>0.20483841265697442</v>
      </c>
      <c r="AC154" s="53">
        <f>(D$2+D$3)/(Data_nieuwveer!AQ154)</f>
        <v>0.21283279120106435</v>
      </c>
    </row>
    <row r="155" spans="1:32" x14ac:dyDescent="0.3">
      <c r="A155" s="2">
        <f>Data_nieuwveer!A155</f>
        <v>41694</v>
      </c>
      <c r="B155" s="52"/>
      <c r="C155" s="21"/>
      <c r="D155" s="21">
        <f>AVERAGE(Data_nieuwveer!AX155,Data_nieuwveer!BB155,Data_nieuwveer!BF155)</f>
        <v>2.92</v>
      </c>
      <c r="E155">
        <f>Data_nieuwveer!BJ155</f>
        <v>3.93</v>
      </c>
      <c r="F155">
        <f t="shared" si="10"/>
        <v>3.3477075448339288</v>
      </c>
      <c r="G155" s="21"/>
      <c r="O155">
        <f t="shared" si="11"/>
        <v>3.0399705882352945</v>
      </c>
      <c r="P155" s="23">
        <f t="shared" si="12"/>
        <v>2.6141657445688482</v>
      </c>
      <c r="Q155" s="24"/>
      <c r="R155" s="23"/>
      <c r="S155" s="54"/>
      <c r="T155" s="54"/>
      <c r="U155" s="54"/>
      <c r="V155" s="54"/>
      <c r="W155" s="54"/>
      <c r="X155" s="50"/>
      <c r="Y155" s="50"/>
      <c r="Z155" s="54"/>
      <c r="AA155" s="55"/>
      <c r="AB155" s="41">
        <f>D$3/(Data_nieuwveer!AQ155*N$3)</f>
        <v>0.20831660365286608</v>
      </c>
      <c r="AC155" s="53">
        <f>(D$2+D$3)/(Data_nieuwveer!AQ155)</f>
        <v>0.21644672810080839</v>
      </c>
    </row>
    <row r="156" spans="1:32" x14ac:dyDescent="0.3">
      <c r="A156" s="2">
        <f>Data_nieuwveer!A156</f>
        <v>41695</v>
      </c>
      <c r="B156" s="52"/>
      <c r="C156" s="21">
        <f>Data_nieuwveer!AR156*B$8</f>
        <v>48.01197318007663</v>
      </c>
      <c r="D156" s="21">
        <f>AVERAGE(Data_nieuwveer!AX156,Data_nieuwveer!BB156,Data_nieuwveer!BF156)</f>
        <v>2.9169999999999998</v>
      </c>
      <c r="E156">
        <f>Data_nieuwveer!BJ156</f>
        <v>3.8839999999999999</v>
      </c>
      <c r="F156">
        <f t="shared" si="10"/>
        <v>3.3264982137172368</v>
      </c>
      <c r="G156" s="21"/>
      <c r="O156">
        <f t="shared" si="11"/>
        <v>3.0043882352941176</v>
      </c>
      <c r="P156" s="23">
        <f t="shared" si="12"/>
        <v>2.5976037521821369</v>
      </c>
      <c r="Q156" s="24">
        <f>'Edited data B'!C156*Data_nieuwveer!AQ156*$N$3/($D$3*O156*1000)</f>
        <v>7.639500399571135E-2</v>
      </c>
      <c r="R156" s="23">
        <f>'Edited data B'!C156*Data_nieuwveer!AQ156/($D$4*P156*1000)</f>
        <v>8.5039553012090485E-2</v>
      </c>
      <c r="S156" s="54">
        <f>IF(ISBLANK(Data_nieuwveer!BZ156),0,Data_nieuwveer!AX156*(D$2/3+H$2/3)/(Data_nieuwveer!AZ156*Data_nieuwveer!BA156+(Data_nieuwveer!F156+Data_nieuwveer!BP156)*N$2/3*Data_nieuwveer!BZ156/1000))</f>
        <v>17.480658101957204</v>
      </c>
      <c r="T156" s="54">
        <f>IF(ISBLANK(Data_nieuwveer!BZ156),0,Data_nieuwveer!BB156*(D$2/3+H$2/3)/(Data_nieuwveer!BD156*Data_nieuwveer!BE156+(Data_nieuwveer!F156+Data_nieuwveer!BP156)*N$2/3*Data_nieuwveer!BZ156/1000))</f>
        <v>20.663252106754747</v>
      </c>
      <c r="U156" s="54">
        <f>IF(ISBLANK(Data_nieuwveer!BZ156),0,Data_nieuwveer!BF156*(D$2/3+H$2/3)/(Data_nieuwveer!BH156*Data_nieuwveer!BI156+(Data_nieuwveer!F156+Data_nieuwveer!BP156)*N$2/3*Data_nieuwveer!BZ156/1000))</f>
        <v>13.599445136578334</v>
      </c>
      <c r="V156" s="54">
        <f>AVERAGE(S156:U156)</f>
        <v>17.247785115096761</v>
      </c>
      <c r="W156" s="54">
        <f>V156*D$2/(D$2+H$2)</f>
        <v>8.1619385532898434</v>
      </c>
      <c r="X156" s="50">
        <f>IF(ISBLANK(Data_nieuwveer!BZ156),0,Data_nieuwveer!BJ156*(D$3+H$3)/(Data_nieuwveer!BM156*Data_nieuwveer!BN156+(Data_nieuwveer!F156+Data_nieuwveer!BP156)*N$3*Data_nieuwveer!BZ156/1000))</f>
        <v>34.151757896952937</v>
      </c>
      <c r="Y156" s="50">
        <f>X156*D$3/(D$3+H$3)</f>
        <v>16.382115776196834</v>
      </c>
      <c r="Z156" s="54">
        <f>Y156*$J$2</f>
        <v>9.8292694657181006</v>
      </c>
      <c r="AA156" s="55">
        <f>IF(ISBLANK(Data_nieuwveer!BZ156),0,'Edited data B'!P156*(D$2+H$2+D$3+H$3)/((Data_nieuwveer!AZ156*Data_nieuwveer!BA156+Data_nieuwveer!BD156*Data_nieuwveer!BE156+Data_nieuwveer!BH156*Data_nieuwveer!BI156+Data_nieuwveer!BM156*Data_nieuwveer!BN156)+(Data_nieuwveer!F156+Data_nieuwveer!BP156)*Data_nieuwveer!BZ156/1000))</f>
        <v>17.542045192178811</v>
      </c>
      <c r="AB156" s="41">
        <f>D$3/(Data_nieuwveer!AQ156*N$3)</f>
        <v>0.209184038971273</v>
      </c>
      <c r="AC156" s="53">
        <f>(D$2+D$3)/(Data_nieuwveer!AQ156)</f>
        <v>0.21734801745180574</v>
      </c>
      <c r="AD156">
        <f>((E156-E155)*($D$3+H$3)+(Data_nieuwveer!F156+Data_nieuwveer!BP156)*N$3*Data_nieuwveer!BZ156/1000+Data_nieuwveer!BM156*Data_nieuwveer!BN156)/(Data_nieuwveer!AQ156*N$3*Data_nieuwveer!AR156/1000-((Data_nieuwveer!F156+Data_nieuwveer!BP156)*N$3+Data_nieuwveer!BM156)*Data_nieuwveer!BR156/1000/$P$2)</f>
        <v>0.29140475167157598</v>
      </c>
      <c r="AE156">
        <f>((F156-F155)*(D$2+H$2+$D$3+H$3)+(Data_nieuwveer!F156+Data_nieuwveer!BP156)*Data_nieuwveer!BZ156/1000+(Data_nieuwveer!AZ156*Data_nieuwveer!BA156+Data_nieuwveer!BD156*Data_nieuwveer!BE156+Data_nieuwveer!BH156*Data_nieuwveer!BI156+Data_nieuwveer!BM156*Data_nieuwveer!BN156))/(Data_nieuwveer!AQ156*Data_nieuwveer!AR156/1000-((Data_nieuwveer!F156+Data_nieuwveer!BP156)+Data_nieuwveer!AZ156+Data_nieuwveer!BD156+Data_nieuwveer!BH156+Data_nieuwveer!BM156)*Data_nieuwveer!BR156/1000/$P$2)</f>
        <v>0.57182498948662641</v>
      </c>
      <c r="AF156">
        <f>(Data_nieuwveer!AQ156*Data_nieuwveer!AR156-(Data_nieuwveer!BP156+Data_nieuwveer!F156)*Data_nieuwveer!BR156)/(Data_nieuwveer!AQ156*Data_nieuwveer!AR156)</f>
        <v>0.74340487627462204</v>
      </c>
    </row>
    <row r="157" spans="1:32" x14ac:dyDescent="0.3">
      <c r="A157" s="16">
        <f>Data_nieuwveer!A157</f>
        <v>41696</v>
      </c>
      <c r="B157" s="52"/>
      <c r="C157" s="21"/>
      <c r="D157" s="21">
        <f>AVERAGE(Data_nieuwveer!AX157,Data_nieuwveer!BB157,Data_nieuwveer!BF157)</f>
        <v>2.8433333333333337</v>
      </c>
      <c r="E157">
        <f>Data_nieuwveer!BJ157</f>
        <v>3.73</v>
      </c>
      <c r="F157">
        <f t="shared" si="10"/>
        <v>3.2188125641116341</v>
      </c>
      <c r="G157" s="21"/>
      <c r="O157">
        <f t="shared" si="11"/>
        <v>2.8852647058823528</v>
      </c>
      <c r="P157" s="23">
        <f t="shared" si="12"/>
        <v>2.5135139287401151</v>
      </c>
      <c r="Q157" s="24"/>
      <c r="R157" s="23"/>
      <c r="S157" s="54"/>
      <c r="T157" s="54"/>
      <c r="U157" s="54"/>
      <c r="V157" s="54"/>
      <c r="W157" s="54"/>
      <c r="X157" s="50"/>
      <c r="Y157" s="50"/>
      <c r="Z157" s="54"/>
      <c r="AA157" s="55"/>
      <c r="AB157" s="41">
        <f>D$3/(Data_nieuwveer!AQ157*N$3)</f>
        <v>0.17308136087518683</v>
      </c>
      <c r="AC157" s="53">
        <f>(D$2+D$3)/(Data_nieuwveer!AQ157)</f>
        <v>0.17983633373313221</v>
      </c>
    </row>
    <row r="158" spans="1:32" x14ac:dyDescent="0.3">
      <c r="A158" s="2">
        <f>Data_nieuwveer!A158</f>
        <v>41697</v>
      </c>
      <c r="B158" s="52"/>
      <c r="C158" s="21"/>
      <c r="D158" s="21">
        <f>AVERAGE(Data_nieuwveer!AX158,Data_nieuwveer!BB158,Data_nieuwveer!BF158)</f>
        <v>2.8533333333333331</v>
      </c>
      <c r="E158">
        <f>Data_nieuwveer!BJ158</f>
        <v>3.96</v>
      </c>
      <c r="F158">
        <f t="shared" si="10"/>
        <v>3.3219765837784303</v>
      </c>
      <c r="G158" s="21"/>
      <c r="O158">
        <f t="shared" si="11"/>
        <v>3.0631764705882354</v>
      </c>
      <c r="P158" s="23">
        <f t="shared" si="12"/>
        <v>2.5940728911563928</v>
      </c>
      <c r="Q158" s="24"/>
      <c r="R158" s="23"/>
      <c r="S158" s="54"/>
      <c r="T158" s="54"/>
      <c r="U158" s="54"/>
      <c r="V158" s="54"/>
      <c r="W158" s="54"/>
      <c r="X158" s="50"/>
      <c r="Y158" s="50"/>
      <c r="Z158" s="54"/>
      <c r="AA158" s="55"/>
      <c r="AB158" s="41">
        <f>D$3/(Data_nieuwveer!AQ158*N$3)</f>
        <v>0.20417036908791031</v>
      </c>
      <c r="AC158" s="53">
        <f>(D$2+D$3)/(Data_nieuwveer!AQ158)</f>
        <v>0.21213867540704121</v>
      </c>
    </row>
    <row r="159" spans="1:32" x14ac:dyDescent="0.3">
      <c r="A159" s="2">
        <f>Data_nieuwveer!A159</f>
        <v>41698</v>
      </c>
      <c r="B159" s="52"/>
      <c r="C159" s="21"/>
      <c r="D159" s="21">
        <f>AVERAGE(Data_nieuwveer!AX159,Data_nieuwveer!BB159,Data_nieuwveer!BF159)</f>
        <v>2.9369999999999998</v>
      </c>
      <c r="E159">
        <f>Data_nieuwveer!BJ159</f>
        <v>3.9079999999999999</v>
      </c>
      <c r="F159">
        <f>(D159*$D$2+E159*$D$3)/$D$4</f>
        <v>3.3481921049839056</v>
      </c>
      <c r="G159" s="21"/>
      <c r="O159">
        <f t="shared" si="11"/>
        <v>3.0229529411764706</v>
      </c>
      <c r="P159" s="23">
        <f t="shared" si="12"/>
        <v>2.6145441290389035</v>
      </c>
      <c r="Q159" s="24"/>
      <c r="R159" s="23"/>
      <c r="S159" s="54"/>
      <c r="T159" s="54"/>
      <c r="U159" s="54"/>
      <c r="V159" s="54"/>
      <c r="W159" s="54"/>
      <c r="X159" s="50"/>
      <c r="Y159" s="50"/>
      <c r="Z159" s="54"/>
      <c r="AA159" s="55"/>
      <c r="AB159" s="41">
        <f>D$3/(Data_nieuwveer!AQ159*N$3)</f>
        <v>0.18444671700712428</v>
      </c>
      <c r="AC159" s="53">
        <f>(D$2+D$3)/(Data_nieuwveer!AQ159)</f>
        <v>0.19164525393114776</v>
      </c>
    </row>
    <row r="160" spans="1:32" x14ac:dyDescent="0.3">
      <c r="A160" s="2">
        <f>Data_nieuwveer!A160</f>
        <v>41699</v>
      </c>
      <c r="B160" s="52"/>
      <c r="C160" s="21"/>
      <c r="D160" s="21">
        <f>AVERAGE(Data_nieuwveer!AX160,Data_nieuwveer!BB160,Data_nieuwveer!BF160)</f>
        <v>2.8803333333333332</v>
      </c>
      <c r="E160">
        <f>Data_nieuwveer!BJ160</f>
        <v>3.8340000000000001</v>
      </c>
      <c r="F160">
        <f t="shared" ref="F160:F220" si="13">(D160*$D$2+E160*$D$3)/$D$4</f>
        <v>3.28418524282834</v>
      </c>
      <c r="G160" s="21"/>
      <c r="O160">
        <f t="shared" si="11"/>
        <v>2.9657117647058824</v>
      </c>
      <c r="P160" s="23">
        <f t="shared" ref="P160:P220" si="14">N$8*F160</f>
        <v>2.5645622999144839</v>
      </c>
      <c r="Q160" s="24"/>
      <c r="R160" s="23"/>
      <c r="S160" s="54"/>
      <c r="T160" s="54"/>
      <c r="U160" s="54"/>
      <c r="V160" s="54"/>
      <c r="W160" s="54"/>
      <c r="X160" s="50"/>
      <c r="Y160" s="50"/>
      <c r="Z160" s="54"/>
      <c r="AA160" s="55"/>
      <c r="AB160" s="41">
        <f>D$3/(Data_nieuwveer!AQ160*N$3)</f>
        <v>0.17587631822583866</v>
      </c>
      <c r="AC160" s="53">
        <f>(D$2+D$3)/(Data_nieuwveer!AQ160)</f>
        <v>0.18274037192846487</v>
      </c>
    </row>
    <row r="161" spans="1:32" x14ac:dyDescent="0.3">
      <c r="A161" s="2">
        <f>Data_nieuwveer!A161</f>
        <v>41700</v>
      </c>
      <c r="B161" s="52"/>
      <c r="C161" s="21"/>
      <c r="D161" s="21">
        <f>AVERAGE(Data_nieuwveer!AX161,Data_nieuwveer!BB161,Data_nieuwveer!BF161)</f>
        <v>2.9093333333333331</v>
      </c>
      <c r="E161">
        <f>Data_nieuwveer!BJ161</f>
        <v>3.8690000000000002</v>
      </c>
      <c r="F161">
        <f t="shared" si="13"/>
        <v>3.3157260797283432</v>
      </c>
      <c r="G161" s="21"/>
      <c r="O161">
        <f t="shared" si="11"/>
        <v>2.9927852941176472</v>
      </c>
      <c r="P161" s="23">
        <f t="shared" si="14"/>
        <v>2.5891919828466925</v>
      </c>
      <c r="Q161" s="24"/>
      <c r="R161" s="23"/>
      <c r="S161" s="54"/>
      <c r="T161" s="54"/>
      <c r="U161" s="54"/>
      <c r="V161" s="54"/>
      <c r="W161" s="54"/>
      <c r="X161" s="50"/>
      <c r="Y161" s="50"/>
      <c r="Z161" s="54"/>
      <c r="AA161" s="55"/>
      <c r="AB161" s="41">
        <f>D$3/(Data_nieuwveer!AQ161*N$3)</f>
        <v>0.18617392386005913</v>
      </c>
      <c r="AC161" s="53">
        <f>(D$2+D$3)/(Data_nieuwveer!AQ161)</f>
        <v>0.19343986974916486</v>
      </c>
    </row>
    <row r="162" spans="1:32" x14ac:dyDescent="0.3">
      <c r="A162" s="2">
        <f>Data_nieuwveer!A162</f>
        <v>41701</v>
      </c>
      <c r="B162" s="52">
        <f>Data_nieuwveer!AS162/Data_nieuwveer!AR162</f>
        <v>0.51666666666666672</v>
      </c>
      <c r="C162" s="21">
        <f>Data_nieuwveer!AR162*B$8</f>
        <v>44.318744473916887</v>
      </c>
      <c r="D162" s="21">
        <f>AVERAGE(Data_nieuwveer!AX162,Data_nieuwveer!BB162,Data_nieuwveer!BF162)</f>
        <v>2.7866666666666666</v>
      </c>
      <c r="E162">
        <f>Data_nieuwveer!BJ162</f>
        <v>3.7</v>
      </c>
      <c r="F162">
        <f t="shared" si="13"/>
        <v>3.1734385058894272</v>
      </c>
      <c r="G162" s="21">
        <f>IF(ISBLANK(Data_nieuwveer!AY162),0,AVERAGE(Data_nieuwveer!AX162*(1-Data_nieuwveer!AY162/100),Data_nieuwveer!BB162*(1-Data_nieuwveer!BC162/100),Data_nieuwveer!BF162*(1-Data_nieuwveer!BG162/100)))</f>
        <v>2.2090333333333336</v>
      </c>
      <c r="H162">
        <f>IF(ISBLANK(Data_nieuwveer!BK162),0,Data_nieuwveer!BJ162*(1-Data_nieuwveer!BK162/100))</f>
        <v>2.8860000000000001</v>
      </c>
      <c r="I162">
        <f t="shared" ref="I162:I210" si="15">(M162*$D$2+N162*$D$3)/$D$4</f>
        <v>0.78423472816667261</v>
      </c>
      <c r="J162">
        <f>(Data_nieuwveer!AX162*(1-Data_nieuwveer!AY162/100)/Data_nieuwveer!AX162)</f>
        <v>0.79</v>
      </c>
      <c r="K162">
        <f>(Data_nieuwveer!BB162*(1-Data_nieuwveer!BC162/100)/Data_nieuwveer!BB162)</f>
        <v>0.79000000000000015</v>
      </c>
      <c r="L162">
        <f>(Data_nieuwveer!BF162*(1-Data_nieuwveer!BG162/100)/Data_nieuwveer!BF162)</f>
        <v>0.8</v>
      </c>
      <c r="M162">
        <f>(Data_nieuwveer!BJ162*(1-Data_nieuwveer!BK162/100)/Data_nieuwveer!BJ162)</f>
        <v>0.78</v>
      </c>
      <c r="N162">
        <f t="shared" ref="N162:N210" si="16">AVERAGE(J162:M162)</f>
        <v>0.79</v>
      </c>
      <c r="O162">
        <f t="shared" si="11"/>
        <v>2.862058823529412</v>
      </c>
      <c r="P162" s="23">
        <f t="shared" si="14"/>
        <v>2.4780821273930682</v>
      </c>
      <c r="Q162" s="24">
        <f>'Edited data B'!C162*Data_nieuwveer!AQ162*$N$3/($D$3*O162*1000)</f>
        <v>7.4742576537981886E-2</v>
      </c>
      <c r="R162" s="23">
        <f>'Edited data B'!C162*Data_nieuwveer!AQ162/($D$4*P162*1000)</f>
        <v>8.3081396133216912E-2</v>
      </c>
      <c r="S162" s="54">
        <f>IF(ISBLANK(Data_nieuwveer!BZ162),0,Data_nieuwveer!AX162*(D$2/3+H$2/3)/(Data_nieuwveer!AZ162*Data_nieuwveer!BA162+(Data_nieuwveer!F162+Data_nieuwveer!BP162)*N$2/3*Data_nieuwveer!BZ162/1000))</f>
        <v>30.112786801235792</v>
      </c>
      <c r="T162" s="54">
        <f>IF(ISBLANK(Data_nieuwveer!BZ162),0,Data_nieuwveer!BB162*(D$2/3+H$2/3)/(Data_nieuwveer!BD162*Data_nieuwveer!BE162+(Data_nieuwveer!F162+Data_nieuwveer!BP162)*N$2/3*Data_nieuwveer!BZ162/1000))</f>
        <v>27.695768730947204</v>
      </c>
      <c r="U162" s="54">
        <f>IF(ISBLANK(Data_nieuwveer!BZ162),0,Data_nieuwveer!BF162*(D$2/3+H$2/3)/(Data_nieuwveer!BH162*Data_nieuwveer!BI162+(Data_nieuwveer!F162+Data_nieuwveer!BP162)*N$2/3*Data_nieuwveer!BZ162/1000))</f>
        <v>22.633062017611103</v>
      </c>
      <c r="V162" s="54">
        <f t="shared" ref="V162:V216" si="17">AVERAGE(S162:U162)</f>
        <v>26.813872516598035</v>
      </c>
      <c r="W162" s="54">
        <f t="shared" ref="W162:W216" si="18">V162*D$2/(D$2+H$2)</f>
        <v>12.68877008820461</v>
      </c>
      <c r="X162" s="50">
        <f>IF(ISBLANK(Data_nieuwveer!BZ162),0,Data_nieuwveer!BJ162*(D$3+H$3)/(Data_nieuwveer!BM162*Data_nieuwveer!BN162+(Data_nieuwveer!F162+Data_nieuwveer!BP162)*N$3*Data_nieuwveer!BZ162/1000))</f>
        <v>28.075575267836758</v>
      </c>
      <c r="Y162" s="50">
        <f t="shared" ref="Y162:Y216" si="19">X162*D$3/(D$3+H$3)</f>
        <v>13.467456811705333</v>
      </c>
      <c r="Z162" s="54">
        <f t="shared" ref="Z162:Z216" si="20">Y162*$J$2</f>
        <v>8.0804740870231999</v>
      </c>
      <c r="AA162" s="55">
        <f>IF(ISBLANK(Data_nieuwveer!BZ162),0,'Edited data B'!P162*(D$2+H$2+D$3+H$3)/((Data_nieuwveer!AZ162*Data_nieuwveer!BA162+Data_nieuwveer!BD162*Data_nieuwveer!BE162+Data_nieuwveer!BH162*Data_nieuwveer!BI162+Data_nieuwveer!BM162*Data_nieuwveer!BN162)+(Data_nieuwveer!F162+Data_nieuwveer!BP162)*Data_nieuwveer!BZ162/1000))</f>
        <v>21.429607392374677</v>
      </c>
      <c r="AB162" s="41">
        <f>D$3/(Data_nieuwveer!AQ162*N$3)</f>
        <v>0.20717666043129296</v>
      </c>
      <c r="AC162" s="53">
        <f>(D$2+D$3)/(Data_nieuwveer!AQ162)</f>
        <v>0.21526229548140299</v>
      </c>
      <c r="AD162">
        <f>((E162-E161)*($D$3+H$3)+(Data_nieuwveer!F162+Data_nieuwveer!BP162)*N$3*Data_nieuwveer!BZ162/1000+Data_nieuwveer!BM162*Data_nieuwveer!BN162)/(Data_nieuwveer!AQ162*N$3*Data_nieuwveer!AR162/1000-((Data_nieuwveer!F162+Data_nieuwveer!BP162)*N$3+Data_nieuwveer!BM162)*Data_nieuwveer!BR162/1000/$P$2)</f>
        <v>-0.1794226057867904</v>
      </c>
      <c r="AE162">
        <f>((F162-F161)*(D$2+H$2+$D$3+H$3)+(Data_nieuwveer!F162+Data_nieuwveer!BP162)*Data_nieuwveer!BZ162/1000+(Data_nieuwveer!AZ162*Data_nieuwveer!BA162+Data_nieuwveer!BD162*Data_nieuwveer!BE162+Data_nieuwveer!BH162*Data_nieuwveer!BI162+Data_nieuwveer!BM162*Data_nieuwveer!BN162))/(Data_nieuwveer!AQ162*Data_nieuwveer!AR162/1000-((Data_nieuwveer!F162+Data_nieuwveer!BP162)+Data_nieuwveer!AZ162+Data_nieuwveer!BD162+Data_nieuwveer!BH162+Data_nieuwveer!BM162)*Data_nieuwveer!BR162/1000/$P$2)</f>
        <v>-0.13446881042347653</v>
      </c>
      <c r="AF162">
        <f>(Data_nieuwveer!AQ162*Data_nieuwveer!AR162-(Data_nieuwveer!BP162+Data_nieuwveer!F162)*Data_nieuwveer!BR162)/(Data_nieuwveer!AQ162*Data_nieuwveer!AR162)</f>
        <v>0.70515971638463504</v>
      </c>
    </row>
    <row r="163" spans="1:32" x14ac:dyDescent="0.3">
      <c r="A163" s="2">
        <f>Data_nieuwveer!A163</f>
        <v>41702</v>
      </c>
      <c r="B163" s="52"/>
      <c r="C163" s="21"/>
      <c r="D163" s="21">
        <f>AVERAGE(Data_nieuwveer!AX163,Data_nieuwveer!BB163,Data_nieuwveer!BF163)</f>
        <v>2.8539999999999996</v>
      </c>
      <c r="E163">
        <f>Data_nieuwveer!BJ163</f>
        <v>3.8620000000000001</v>
      </c>
      <c r="F163">
        <f t="shared" si="13"/>
        <v>3.2808605992005941</v>
      </c>
      <c r="G163" s="21"/>
      <c r="O163">
        <f t="shared" si="11"/>
        <v>2.9873705882352941</v>
      </c>
      <c r="P163" s="23">
        <f t="shared" si="14"/>
        <v>2.5619661443757589</v>
      </c>
      <c r="Q163" s="24"/>
      <c r="R163" s="23"/>
      <c r="S163" s="54"/>
      <c r="T163" s="54"/>
      <c r="U163" s="54"/>
      <c r="V163" s="54"/>
      <c r="W163" s="54"/>
      <c r="X163" s="50"/>
      <c r="Y163" s="50"/>
      <c r="Z163" s="54"/>
      <c r="AA163" s="55"/>
      <c r="AB163" s="41">
        <f>D$3/(Data_nieuwveer!AQ163*N$3)</f>
        <v>0.20779564186041635</v>
      </c>
      <c r="AC163" s="53">
        <f>(D$2+D$3)/(Data_nieuwveer!AQ163)</f>
        <v>0.2159054343514672</v>
      </c>
    </row>
    <row r="164" spans="1:32" x14ac:dyDescent="0.3">
      <c r="A164" s="2">
        <f>Data_nieuwveer!A164</f>
        <v>41703</v>
      </c>
      <c r="B164" s="52"/>
      <c r="C164" s="21"/>
      <c r="D164" s="21">
        <f>AVERAGE(Data_nieuwveer!AX164,Data_nieuwveer!BB164,Data_nieuwveer!BF164)</f>
        <v>2.8266666666666667</v>
      </c>
      <c r="E164">
        <f>Data_nieuwveer!BJ164</f>
        <v>3.7650000000000001</v>
      </c>
      <c r="F164">
        <f t="shared" si="13"/>
        <v>3.2240253263061085</v>
      </c>
      <c r="G164" s="21"/>
      <c r="O164">
        <f t="shared" si="11"/>
        <v>2.9123382352941181</v>
      </c>
      <c r="P164" s="23">
        <f t="shared" si="14"/>
        <v>2.5175844827478588</v>
      </c>
      <c r="Q164" s="24"/>
      <c r="R164" s="23"/>
      <c r="S164" s="54"/>
      <c r="T164" s="54"/>
      <c r="U164" s="54"/>
      <c r="V164" s="54"/>
      <c r="W164" s="54"/>
      <c r="X164" s="50"/>
      <c r="Y164" s="50"/>
      <c r="Z164" s="54"/>
      <c r="AA164" s="55"/>
      <c r="AB164" s="41">
        <f>D$3/(Data_nieuwveer!AQ164*N$3)</f>
        <v>0.21038051776592478</v>
      </c>
      <c r="AC164" s="53">
        <f>(D$2+D$3)/(Data_nieuwveer!AQ164)</f>
        <v>0.21859119209944891</v>
      </c>
    </row>
    <row r="165" spans="1:32" x14ac:dyDescent="0.3">
      <c r="A165" s="2">
        <f>Data_nieuwveer!A165</f>
        <v>41704</v>
      </c>
      <c r="B165" s="52"/>
      <c r="C165" s="21"/>
      <c r="D165" s="21">
        <f>AVERAGE(Data_nieuwveer!AX165,Data_nieuwveer!BB165,Data_nieuwveer!BF165)</f>
        <v>2.9433333333333334</v>
      </c>
      <c r="E165">
        <f>Data_nieuwveer!BJ165</f>
        <v>3.6</v>
      </c>
      <c r="F165">
        <f t="shared" si="13"/>
        <v>3.2214138162781647</v>
      </c>
      <c r="G165" s="21"/>
      <c r="O165">
        <f t="shared" si="11"/>
        <v>2.7847058823529411</v>
      </c>
      <c r="P165" s="23">
        <f t="shared" si="14"/>
        <v>2.5155452006525088</v>
      </c>
      <c r="Q165" s="24"/>
      <c r="R165" s="23"/>
      <c r="S165" s="54"/>
      <c r="T165" s="54"/>
      <c r="U165" s="54"/>
      <c r="V165" s="54"/>
      <c r="W165" s="54"/>
      <c r="X165" s="50"/>
      <c r="Y165" s="50"/>
      <c r="Z165" s="54"/>
      <c r="AA165" s="55"/>
      <c r="AB165" s="41">
        <f>D$3/(Data_nieuwveer!AQ165*N$3)</f>
        <v>0.20982985144823302</v>
      </c>
      <c r="AC165" s="53">
        <f>(D$2+D$3)/(Data_nieuwveer!AQ165)</f>
        <v>0.218019034524634</v>
      </c>
    </row>
    <row r="166" spans="1:32" x14ac:dyDescent="0.3">
      <c r="A166" s="2">
        <f>Data_nieuwveer!A166</f>
        <v>41705</v>
      </c>
      <c r="B166" s="52"/>
      <c r="C166" s="21"/>
      <c r="D166" s="21">
        <f>AVERAGE(Data_nieuwveer!AX166,Data_nieuwveer!BB166,Data_nieuwveer!BF166)</f>
        <v>2.8516666666666666</v>
      </c>
      <c r="E166">
        <f>Data_nieuwveer!BJ166</f>
        <v>3.5419999999999998</v>
      </c>
      <c r="F166">
        <f t="shared" si="13"/>
        <v>3.1440040677726291</v>
      </c>
      <c r="G166" s="21"/>
      <c r="O166">
        <f t="shared" si="11"/>
        <v>2.7398411764705881</v>
      </c>
      <c r="P166" s="23">
        <f t="shared" si="14"/>
        <v>2.4550972940989215</v>
      </c>
      <c r="Q166" s="24"/>
      <c r="R166" s="23"/>
      <c r="S166" s="54"/>
      <c r="T166" s="54"/>
      <c r="U166" s="54"/>
      <c r="V166" s="54"/>
      <c r="W166" s="54"/>
      <c r="X166" s="50"/>
      <c r="Y166" s="50"/>
      <c r="Z166" s="54"/>
      <c r="AA166" s="55"/>
      <c r="AB166" s="41">
        <f>D$3/(Data_nieuwveer!AQ166*N$3)</f>
        <v>0.21677605479965398</v>
      </c>
      <c r="AC166" s="53">
        <f>(D$2+D$3)/(Data_nieuwveer!AQ166)</f>
        <v>0.22523633243451785</v>
      </c>
    </row>
    <row r="167" spans="1:32" x14ac:dyDescent="0.3">
      <c r="A167" s="2">
        <f>Data_nieuwveer!A167</f>
        <v>41706</v>
      </c>
      <c r="B167" s="52"/>
      <c r="C167" s="21"/>
      <c r="D167" s="21">
        <f>AVERAGE(Data_nieuwveer!AX167,Data_nieuwveer!BB167,Data_nieuwveer!BF167)</f>
        <v>2.8983333333333334</v>
      </c>
      <c r="E167">
        <f>Data_nieuwveer!BJ167</f>
        <v>3.488</v>
      </c>
      <c r="F167">
        <f t="shared" si="13"/>
        <v>3.1480411375614592</v>
      </c>
      <c r="G167" s="21"/>
      <c r="O167">
        <f t="shared" si="11"/>
        <v>2.6980705882352942</v>
      </c>
      <c r="P167" s="23">
        <f t="shared" si="14"/>
        <v>2.4582497706546107</v>
      </c>
      <c r="Q167" s="24"/>
      <c r="R167" s="23"/>
      <c r="S167" s="54"/>
      <c r="T167" s="54"/>
      <c r="U167" s="54"/>
      <c r="V167" s="54"/>
      <c r="W167" s="54"/>
      <c r="X167" s="50"/>
      <c r="Y167" s="50"/>
      <c r="Z167" s="54"/>
      <c r="AA167" s="55"/>
      <c r="AB167" s="41">
        <f>D$3/(Data_nieuwveer!AQ167*N$3)</f>
        <v>0.21686823287605028</v>
      </c>
      <c r="AC167" s="53">
        <f>(D$2+D$3)/(Data_nieuwveer!AQ167)</f>
        <v>0.22533210801211825</v>
      </c>
    </row>
    <row r="168" spans="1:32" x14ac:dyDescent="0.3">
      <c r="A168" s="2">
        <f>Data_nieuwveer!A168</f>
        <v>41707</v>
      </c>
      <c r="B168" s="52"/>
      <c r="C168" s="21">
        <f>Data_nieuwveer!AR168*B$8</f>
        <v>55.39843059239611</v>
      </c>
      <c r="D168" s="21">
        <f>AVERAGE(Data_nieuwveer!AX168,Data_nieuwveer!BB168,Data_nieuwveer!BF168)</f>
        <v>2.9723333333333333</v>
      </c>
      <c r="E168">
        <f>Data_nieuwveer!BJ168</f>
        <v>3.573</v>
      </c>
      <c r="F168">
        <f t="shared" si="13"/>
        <v>3.2266993385447984</v>
      </c>
      <c r="G168" s="21"/>
      <c r="O168">
        <f t="shared" si="11"/>
        <v>2.7638205882352942</v>
      </c>
      <c r="P168" s="23">
        <f t="shared" si="14"/>
        <v>2.5196725717166006</v>
      </c>
      <c r="Q168" s="24">
        <f>'Edited data B'!C168*Data_nieuwveer!AQ168*$N$3/($D$3*O168*1000)</f>
        <v>9.351493393886641E-2</v>
      </c>
      <c r="R168" s="23">
        <f>'Edited data B'!C168*Data_nieuwveer!AQ168/($D$4*P168*1000)</f>
        <v>9.8723279022860294E-2</v>
      </c>
      <c r="S168" s="54">
        <f>IF(ISBLANK(Data_nieuwveer!BZ168),0,Data_nieuwveer!AX168*(D$2/3+H$2/3)/(Data_nieuwveer!AZ168*Data_nieuwveer!BA168+(Data_nieuwveer!F168+Data_nieuwveer!BP168)*N$2/3*Data_nieuwveer!BZ168/1000))</f>
        <v>44.685852107302402</v>
      </c>
      <c r="T168" s="54">
        <f>IF(ISBLANK(Data_nieuwveer!BZ168),0,Data_nieuwveer!BB168*(D$2/3+H$2/3)/(Data_nieuwveer!BD168*Data_nieuwveer!BE168+(Data_nieuwveer!F168+Data_nieuwveer!BP168)*N$2/3*Data_nieuwveer!BZ168/1000))</f>
        <v>40.769625088739339</v>
      </c>
      <c r="U168" s="54">
        <f>IF(ISBLANK(Data_nieuwveer!BZ168),0,Data_nieuwveer!BF168*(D$2/3+H$2/3)/(Data_nieuwveer!BH168*Data_nieuwveer!BI168+(Data_nieuwveer!F168+Data_nieuwveer!BP168)*N$2/3*Data_nieuwveer!BZ168/1000))</f>
        <v>51.575494307805776</v>
      </c>
      <c r="V168" s="54">
        <f t="shared" si="17"/>
        <v>45.676990501282511</v>
      </c>
      <c r="W168" s="54">
        <f t="shared" si="18"/>
        <v>21.615111000214952</v>
      </c>
      <c r="X168" s="50">
        <f>IF(ISBLANK(Data_nieuwveer!BZ168),0,Data_nieuwveer!BJ168*(D$3+H$3)/(Data_nieuwveer!BM168*Data_nieuwveer!BN168+(Data_nieuwveer!F168+Data_nieuwveer!BP168)*N$3*Data_nieuwveer!BZ168/1000))</f>
        <v>30.757720147424777</v>
      </c>
      <c r="Y168" s="50">
        <f t="shared" si="19"/>
        <v>14.754043817812702</v>
      </c>
      <c r="Z168" s="54">
        <f t="shared" si="20"/>
        <v>8.852426290687621</v>
      </c>
      <c r="AA168" s="55">
        <f>IF(ISBLANK(Data_nieuwveer!BZ168),0,'Edited data B'!P168*(D$2+H$2+D$3+H$3)/((Data_nieuwveer!AZ168*Data_nieuwveer!BA168+Data_nieuwveer!BD168*Data_nieuwveer!BE168+Data_nieuwveer!BH168*Data_nieuwveer!BI168+Data_nieuwveer!BM168*Data_nieuwveer!BN168)+(Data_nieuwveer!F168+Data_nieuwveer!BP168)*Data_nieuwveer!BZ168/1000))</f>
        <v>28.900207447889187</v>
      </c>
      <c r="AB168" s="41">
        <f>D$3/(Data_nieuwveer!AQ168*N$3)</f>
        <v>0.2143416859989547</v>
      </c>
      <c r="AC168" s="53">
        <f>(D$2+D$3)/(Data_nieuwveer!AQ168)</f>
        <v>0.22270695574220159</v>
      </c>
      <c r="AD168">
        <f>((E168-E167)*($D$3+H$3)+(Data_nieuwveer!F168+Data_nieuwveer!BP168)*N$3*Data_nieuwveer!BZ168/1000+Data_nieuwveer!BM168*Data_nieuwveer!BN168)/(Data_nieuwveer!AQ168*N$3*Data_nieuwveer!AR168/1000-((Data_nieuwveer!F168+Data_nieuwveer!BP168)*N$3+Data_nieuwveer!BM168)*Data_nieuwveer!BR168/1000/$P$2)</f>
        <v>0.77436668744854886</v>
      </c>
      <c r="AE168">
        <f>((F168-F167)*(D$2+H$2+$D$3+H$3)+(Data_nieuwveer!F168+Data_nieuwveer!BP168)*Data_nieuwveer!BZ168/1000+(Data_nieuwveer!AZ168*Data_nieuwveer!BA168+Data_nieuwveer!BD168*Data_nieuwveer!BE168+Data_nieuwveer!BH168*Data_nieuwveer!BI168+Data_nieuwveer!BM168*Data_nieuwveer!BN168))/(Data_nieuwveer!AQ168*Data_nieuwveer!AR168/1000-((Data_nieuwveer!F168+Data_nieuwveer!BP168)+Data_nieuwveer!AZ168+Data_nieuwveer!BD168+Data_nieuwveer!BH168+Data_nieuwveer!BM168)*Data_nieuwveer!BR168/1000/$P$2)</f>
        <v>0.66792170498083814</v>
      </c>
      <c r="AF168">
        <f>(Data_nieuwveer!AQ168*Data_nieuwveer!AR168-(Data_nieuwveer!BP168+Data_nieuwveer!F168)*Data_nieuwveer!BR168)/(Data_nieuwveer!AQ168*Data_nieuwveer!AR168)</f>
        <v>0.73699399045973013</v>
      </c>
    </row>
    <row r="169" spans="1:32" x14ac:dyDescent="0.3">
      <c r="A169" s="2">
        <f>Data_nieuwveer!A169</f>
        <v>41708</v>
      </c>
      <c r="B169" s="52"/>
      <c r="C169" s="21"/>
      <c r="D169" s="21">
        <f>AVERAGE(Data_nieuwveer!AX169,Data_nieuwveer!BB169,Data_nieuwveer!BF169)</f>
        <v>2.9866666666666668</v>
      </c>
      <c r="E169">
        <f>Data_nieuwveer!BJ169</f>
        <v>3.6</v>
      </c>
      <c r="F169">
        <f t="shared" si="13"/>
        <v>3.2463966608892507</v>
      </c>
      <c r="G169" s="21"/>
      <c r="O169">
        <f t="shared" si="11"/>
        <v>2.7847058823529411</v>
      </c>
      <c r="P169" s="23">
        <f t="shared" si="14"/>
        <v>2.5350538631355772</v>
      </c>
      <c r="Q169" s="24"/>
      <c r="R169" s="23"/>
      <c r="S169" s="54"/>
      <c r="T169" s="54"/>
      <c r="U169" s="54"/>
      <c r="V169" s="54"/>
      <c r="W169" s="54"/>
      <c r="X169" s="50"/>
      <c r="Y169" s="50"/>
      <c r="Z169" s="54"/>
      <c r="AA169" s="55"/>
      <c r="AB169" s="41">
        <f>D$3/(Data_nieuwveer!AQ169*N$3)</f>
        <v>0.21469008091656955</v>
      </c>
      <c r="AC169" s="53">
        <f>(D$2+D$3)/(Data_nieuwveer!AQ169)</f>
        <v>0.22306894772307287</v>
      </c>
    </row>
    <row r="170" spans="1:32" x14ac:dyDescent="0.3">
      <c r="A170" s="2">
        <f>Data_nieuwveer!A170</f>
        <v>41709</v>
      </c>
      <c r="B170" s="52"/>
      <c r="C170" s="21"/>
      <c r="D170" s="21">
        <f>AVERAGE(Data_nieuwveer!AX170,Data_nieuwveer!BB170,Data_nieuwveer!BF170)</f>
        <v>3.0836666666666663</v>
      </c>
      <c r="E170">
        <f>Data_nieuwveer!BJ170</f>
        <v>3.6779999999999999</v>
      </c>
      <c r="F170">
        <f t="shared" si="13"/>
        <v>3.3353506773725723</v>
      </c>
      <c r="G170" s="21"/>
      <c r="O170">
        <f t="shared" si="11"/>
        <v>2.8450411764705881</v>
      </c>
      <c r="P170" s="23">
        <f t="shared" si="14"/>
        <v>2.6045164848306417</v>
      </c>
      <c r="Q170" s="24"/>
      <c r="R170" s="23"/>
      <c r="S170" s="54"/>
      <c r="T170" s="54"/>
      <c r="U170" s="54"/>
      <c r="V170" s="54"/>
      <c r="W170" s="54"/>
      <c r="X170" s="50"/>
      <c r="Y170" s="50"/>
      <c r="Z170" s="54"/>
      <c r="AA170" s="55"/>
      <c r="AB170" s="41">
        <f>D$3/(Data_nieuwveer!AQ170*N$3)</f>
        <v>0.22340090520285258</v>
      </c>
      <c r="AC170" s="53">
        <f>(D$2+D$3)/(Data_nieuwveer!AQ170)</f>
        <v>0.23211973571964015</v>
      </c>
    </row>
    <row r="171" spans="1:32" x14ac:dyDescent="0.3">
      <c r="A171" s="2">
        <f>Data_nieuwveer!A171</f>
        <v>41710</v>
      </c>
      <c r="B171" s="52"/>
      <c r="C171" s="21"/>
      <c r="D171" s="21">
        <f>AVERAGE(Data_nieuwveer!AX171,Data_nieuwveer!BB171,Data_nieuwveer!BF171)</f>
        <v>3.1656666666666666</v>
      </c>
      <c r="E171">
        <f>Data_nieuwveer!BJ171</f>
        <v>3.7250000000000001</v>
      </c>
      <c r="F171">
        <f t="shared" si="13"/>
        <v>3.4025291287892192</v>
      </c>
      <c r="G171" s="21"/>
      <c r="O171">
        <f t="shared" si="11"/>
        <v>2.8813970588235294</v>
      </c>
      <c r="P171" s="23">
        <f t="shared" si="14"/>
        <v>2.6569749520398176</v>
      </c>
      <c r="Q171" s="24"/>
      <c r="R171" s="23"/>
      <c r="S171" s="54"/>
      <c r="T171" s="54"/>
      <c r="U171" s="54"/>
      <c r="V171" s="54"/>
      <c r="W171" s="54"/>
      <c r="X171" s="50"/>
      <c r="Y171" s="50"/>
      <c r="Z171" s="54"/>
      <c r="AA171" s="55"/>
      <c r="AB171" s="41">
        <f>D$3/(Data_nieuwveer!AQ171*N$3)</f>
        <v>0.21998458931879633</v>
      </c>
      <c r="AC171" s="53">
        <f>(D$2+D$3)/(Data_nieuwveer!AQ171)</f>
        <v>0.22857008877697496</v>
      </c>
    </row>
    <row r="172" spans="1:32" x14ac:dyDescent="0.3">
      <c r="A172" s="2">
        <f>Data_nieuwveer!A172</f>
        <v>41711</v>
      </c>
      <c r="B172" s="52"/>
      <c r="C172" s="21"/>
      <c r="D172" s="21">
        <f>AVERAGE(Data_nieuwveer!AX172,Data_nieuwveer!BB172,Data_nieuwveer!BF172)</f>
        <v>3.33</v>
      </c>
      <c r="E172">
        <f>Data_nieuwveer!BJ172</f>
        <v>3.76</v>
      </c>
      <c r="F172">
        <f t="shared" si="13"/>
        <v>3.5120933111669195</v>
      </c>
      <c r="G172" s="21"/>
      <c r="O172">
        <f t="shared" si="11"/>
        <v>2.9084705882352941</v>
      </c>
      <c r="P172" s="23">
        <f t="shared" si="14"/>
        <v>2.7425316885729925</v>
      </c>
      <c r="Q172" s="24"/>
      <c r="R172" s="23"/>
      <c r="S172" s="54"/>
      <c r="T172" s="54"/>
      <c r="U172" s="54"/>
      <c r="V172" s="54"/>
      <c r="W172" s="54"/>
      <c r="X172" s="50"/>
      <c r="Y172" s="50"/>
      <c r="Z172" s="54"/>
      <c r="AA172" s="55"/>
      <c r="AB172" s="41">
        <f>D$3/(Data_nieuwveer!AQ172*N$3)</f>
        <v>0.21627876736133003</v>
      </c>
      <c r="AC172" s="53">
        <f>(D$2+D$3)/(Data_nieuwveer!AQ172)</f>
        <v>0.22471963699563574</v>
      </c>
    </row>
    <row r="173" spans="1:32" x14ac:dyDescent="0.3">
      <c r="A173" s="2">
        <f>Data_nieuwveer!A173</f>
        <v>41712</v>
      </c>
      <c r="B173" s="52"/>
      <c r="C173" s="21"/>
      <c r="D173" s="21">
        <f>AVERAGE(Data_nieuwveer!AX173,Data_nieuwveer!BB173,Data_nieuwveer!BF173)</f>
        <v>3.2610000000000006</v>
      </c>
      <c r="E173">
        <f>Data_nieuwveer!BJ173</f>
        <v>3.7090000000000001</v>
      </c>
      <c r="F173">
        <f t="shared" si="13"/>
        <v>3.4507158218669312</v>
      </c>
      <c r="G173" s="21">
        <f>IF(ISBLANK(Data_nieuwveer!AY173),0,AVERAGE(Data_nieuwveer!AX173*(1-Data_nieuwveer!AY173/100),Data_nieuwveer!BB173*(1-Data_nieuwveer!BC173/100),Data_nieuwveer!BF173*(1-Data_nieuwveer!BG173/100)))</f>
        <v>2.6330266666666664</v>
      </c>
      <c r="H173">
        <f>IF(ISBLANK(Data_nieuwveer!BK173),0,Data_nieuwveer!BJ173*(1-Data_nieuwveer!BK173/100))</f>
        <v>3.0784699999999998</v>
      </c>
      <c r="I173">
        <f t="shared" si="15"/>
        <v>0.82258922570832294</v>
      </c>
      <c r="J173">
        <f>(Data_nieuwveer!AX173*(1-Data_nieuwveer!AY173/100)/Data_nieuwveer!AX173)</f>
        <v>0.78</v>
      </c>
      <c r="K173">
        <f>(Data_nieuwveer!BB173*(1-Data_nieuwveer!BC173/100)/Data_nieuwveer!BB173)</f>
        <v>0.76999999999999991</v>
      </c>
      <c r="L173">
        <f>(Data_nieuwveer!BF173*(1-Data_nieuwveer!BG173/100)/Data_nieuwveer!BF173)</f>
        <v>0.87</v>
      </c>
      <c r="M173">
        <f>(Data_nieuwveer!BJ173*(1-Data_nieuwveer!BK173/100)/Data_nieuwveer!BJ173)</f>
        <v>0.83</v>
      </c>
      <c r="N173">
        <f t="shared" si="16"/>
        <v>0.8125</v>
      </c>
      <c r="O173">
        <f t="shared" si="11"/>
        <v>2.8690205882352942</v>
      </c>
      <c r="P173" s="23">
        <f t="shared" si="14"/>
        <v>2.6946030903107956</v>
      </c>
      <c r="Q173" s="24"/>
      <c r="R173" s="23"/>
      <c r="S173" s="54"/>
      <c r="T173" s="54"/>
      <c r="U173" s="54"/>
      <c r="V173" s="54"/>
      <c r="W173" s="54"/>
      <c r="X173" s="50"/>
      <c r="Y173" s="50"/>
      <c r="Z173" s="54"/>
      <c r="AA173" s="55"/>
      <c r="AB173" s="41">
        <f>D$3/(Data_nieuwveer!AQ173*N$3)</f>
        <v>0.21402791744972544</v>
      </c>
      <c r="AC173" s="53">
        <f>(D$2+D$3)/(Data_nieuwveer!AQ173)</f>
        <v>0.22238094151831964</v>
      </c>
    </row>
    <row r="174" spans="1:32" x14ac:dyDescent="0.3">
      <c r="A174" s="2">
        <f>Data_nieuwveer!A174</f>
        <v>41713</v>
      </c>
      <c r="B174" s="52"/>
      <c r="C174" s="21">
        <f>Data_nieuwveer!AR174*B$8</f>
        <v>55.39843059239611</v>
      </c>
      <c r="D174" s="21">
        <f>AVERAGE(Data_nieuwveer!AX174,Data_nieuwveer!BB174,Data_nieuwveer!BF174)</f>
        <v>3.254</v>
      </c>
      <c r="E174">
        <f>Data_nieuwveer!BJ174</f>
        <v>3.6779999999999999</v>
      </c>
      <c r="F174">
        <f t="shared" si="13"/>
        <v>3.4335524742669166</v>
      </c>
      <c r="G174" s="21"/>
      <c r="O174">
        <f t="shared" si="11"/>
        <v>2.8450411764705881</v>
      </c>
      <c r="P174" s="23">
        <f t="shared" si="14"/>
        <v>2.681200535052549</v>
      </c>
      <c r="Q174" s="24">
        <f>'Edited data B'!C174*Data_nieuwveer!AQ174*$N$3/($D$3*O174*1000)</f>
        <v>9.1707175355669954E-2</v>
      </c>
      <c r="R174" s="23">
        <f>'Edited data B'!C174*Data_nieuwveer!AQ174/($D$4*P174*1000)</f>
        <v>9.3655963723428035E-2</v>
      </c>
      <c r="S174" s="54">
        <f>IF(ISBLANK(Data_nieuwveer!BZ174),0,Data_nieuwveer!AX174*(D$2/3+H$2/3)/(Data_nieuwveer!AZ174*Data_nieuwveer!BA174+(Data_nieuwveer!F174+Data_nieuwveer!BP174)*N$2/3*Data_nieuwveer!BZ174/1000))</f>
        <v>50.919551304154716</v>
      </c>
      <c r="T174" s="54">
        <f>IF(ISBLANK(Data_nieuwveer!BZ174),0,Data_nieuwveer!BB174*(D$2/3+H$2/3)/(Data_nieuwveer!BD174*Data_nieuwveer!BE174+(Data_nieuwveer!F174+Data_nieuwveer!BP174)*N$2/3*Data_nieuwveer!BZ174/1000))</f>
        <v>26.261463013997417</v>
      </c>
      <c r="U174" s="54">
        <f>IF(ISBLANK(Data_nieuwveer!BZ174),0,Data_nieuwveer!BF174*(D$2/3+H$2/3)/(Data_nieuwveer!BH174*Data_nieuwveer!BI174+(Data_nieuwveer!F174+Data_nieuwveer!BP174)*N$2/3*Data_nieuwveer!BZ174/1000))</f>
        <v>45.31840487544396</v>
      </c>
      <c r="V174" s="54">
        <f t="shared" si="17"/>
        <v>40.833139731198699</v>
      </c>
      <c r="W174" s="54">
        <f t="shared" si="18"/>
        <v>19.322920317010936</v>
      </c>
      <c r="X174" s="50">
        <f>IF(ISBLANK(Data_nieuwveer!BZ174),0,Data_nieuwveer!BJ174*(D$3+H$3)/(Data_nieuwveer!BM174*Data_nieuwveer!BN174+(Data_nieuwveer!F174+Data_nieuwveer!BP174)*N$3*Data_nieuwveer!BZ174/1000))</f>
        <v>29.665330417833747</v>
      </c>
      <c r="Y174" s="50">
        <f t="shared" si="19"/>
        <v>14.230039897520058</v>
      </c>
      <c r="Z174" s="54">
        <f t="shared" si="20"/>
        <v>8.5380239385120351</v>
      </c>
      <c r="AA174" s="55">
        <f>IF(ISBLANK(Data_nieuwveer!BZ174),0,'Edited data B'!P174*(D$2+H$2+D$3+H$3)/((Data_nieuwveer!AZ174*Data_nieuwveer!BA174+Data_nieuwveer!BD174*Data_nieuwveer!BE174+Data_nieuwveer!BH174*Data_nieuwveer!BI174+Data_nieuwveer!BM174*Data_nieuwveer!BN174)+(Data_nieuwveer!F174+Data_nieuwveer!BP174)*Data_nieuwveer!BZ174/1000))</f>
        <v>26.232398865816222</v>
      </c>
      <c r="AB174" s="41">
        <f>D$3/(Data_nieuwveer!AQ174*N$3)</f>
        <v>0.21232717823352018</v>
      </c>
      <c r="AC174" s="53">
        <f>(D$2+D$3)/(Data_nieuwveer!AQ174)</f>
        <v>0.22061382630884843</v>
      </c>
      <c r="AD174">
        <f>((E174-E173)*($D$3+H$3)+(Data_nieuwveer!F174+Data_nieuwveer!BP174)*N$3*Data_nieuwveer!BZ174/1000+Data_nieuwveer!BM174*Data_nieuwveer!BN174)/(Data_nieuwveer!AQ174*N$3*Data_nieuwveer!AR174/1000-((Data_nieuwveer!F174+Data_nieuwveer!BP174)*N$3+Data_nieuwveer!BM174)*Data_nieuwveer!BR174/1000/$P$2)</f>
        <v>0.36466836177624873</v>
      </c>
      <c r="AE174">
        <f>((F174-F173)*(D$2+H$2+$D$3+H$3)+(Data_nieuwveer!F174+Data_nieuwveer!BP174)*Data_nieuwveer!BZ174/1000+(Data_nieuwveer!AZ174*Data_nieuwveer!BA174+Data_nieuwveer!BD174*Data_nieuwveer!BE174+Data_nieuwveer!BH174*Data_nieuwveer!BI174+Data_nieuwveer!BM174*Data_nieuwveer!BN174))/(Data_nieuwveer!AQ174*Data_nieuwveer!AR174/1000-((Data_nieuwveer!F174+Data_nieuwveer!BP174)+Data_nieuwveer!AZ174+Data_nieuwveer!BD174+Data_nieuwveer!BH174+Data_nieuwveer!BM174)*Data_nieuwveer!BR174/1000/$P$2)</f>
        <v>0.34895924691324143</v>
      </c>
      <c r="AF174">
        <f>(Data_nieuwveer!AQ174*Data_nieuwveer!AR174-(Data_nieuwveer!BP174+Data_nieuwveer!F174)*Data_nieuwveer!BR174)/(Data_nieuwveer!AQ174*Data_nieuwveer!AR174)</f>
        <v>0.71204361657575543</v>
      </c>
    </row>
    <row r="175" spans="1:32" x14ac:dyDescent="0.3">
      <c r="A175" s="2">
        <f>Data_nieuwveer!A175</f>
        <v>41714</v>
      </c>
      <c r="B175" s="52"/>
      <c r="C175" s="21"/>
      <c r="D175" s="21">
        <f>AVERAGE(Data_nieuwveer!AX175,Data_nieuwveer!BB175,Data_nieuwveer!BF175)</f>
        <v>3.4516666666666667</v>
      </c>
      <c r="E175">
        <f>Data_nieuwveer!BJ175</f>
        <v>3.754</v>
      </c>
      <c r="F175">
        <f t="shared" si="13"/>
        <v>3.5796966149057341</v>
      </c>
      <c r="G175" s="21"/>
      <c r="O175">
        <f t="shared" si="11"/>
        <v>2.9038294117647059</v>
      </c>
      <c r="P175" s="23">
        <f t="shared" si="14"/>
        <v>2.795321915463155</v>
      </c>
      <c r="Q175" s="24"/>
      <c r="R175" s="23"/>
      <c r="S175" s="54"/>
      <c r="T175" s="54"/>
      <c r="U175" s="54"/>
      <c r="V175" s="54"/>
      <c r="W175" s="54"/>
      <c r="X175" s="50"/>
      <c r="Y175" s="50"/>
      <c r="Z175" s="54"/>
      <c r="AA175" s="55"/>
      <c r="AB175" s="41">
        <f>D$3/(Data_nieuwveer!AQ175*N$3)</f>
        <v>0.25503027621789848</v>
      </c>
      <c r="AC175" s="53">
        <f>(D$2+D$3)/(Data_nieuwveer!AQ175)</f>
        <v>0.26498352933016467</v>
      </c>
    </row>
    <row r="176" spans="1:32" x14ac:dyDescent="0.3">
      <c r="A176" s="2">
        <f>Data_nieuwveer!A176</f>
        <v>41715</v>
      </c>
      <c r="B176" s="52"/>
      <c r="C176" s="21"/>
      <c r="D176" s="21">
        <f>AVERAGE(Data_nieuwveer!AX176,Data_nieuwveer!BB176,Data_nieuwveer!BF176)</f>
        <v>3.5266666666666668</v>
      </c>
      <c r="E176">
        <f>Data_nieuwveer!BJ176</f>
        <v>3.87</v>
      </c>
      <c r="F176">
        <f t="shared" si="13"/>
        <v>3.6720590003890914</v>
      </c>
      <c r="G176" s="21"/>
      <c r="O176">
        <f t="shared" si="11"/>
        <v>2.9935588235294119</v>
      </c>
      <c r="P176" s="23">
        <f t="shared" si="14"/>
        <v>2.8674460723626591</v>
      </c>
      <c r="Q176" s="24"/>
      <c r="R176" s="23"/>
      <c r="S176" s="54"/>
      <c r="T176" s="54"/>
      <c r="U176" s="54"/>
      <c r="V176" s="54"/>
      <c r="W176" s="54"/>
      <c r="X176" s="50"/>
      <c r="Y176" s="50"/>
      <c r="Z176" s="54"/>
      <c r="AA176" s="55"/>
      <c r="AB176" s="41">
        <f>D$3/(Data_nieuwveer!AQ176*N$3)</f>
        <v>0.21330250032506717</v>
      </c>
      <c r="AC176" s="53">
        <f>(D$2+D$3)/(Data_nieuwveer!AQ176)</f>
        <v>0.22162721300898666</v>
      </c>
    </row>
    <row r="177" spans="1:32" x14ac:dyDescent="0.3">
      <c r="A177" s="2">
        <f>Data_nieuwveer!A177</f>
        <v>41716</v>
      </c>
      <c r="B177" s="52"/>
      <c r="C177" s="21"/>
      <c r="D177" s="21">
        <f>AVERAGE(Data_nieuwveer!AX177,Data_nieuwveer!BB177,Data_nieuwveer!BF177)</f>
        <v>3.4250000000000003</v>
      </c>
      <c r="E177">
        <f>Data_nieuwveer!BJ177</f>
        <v>3.782</v>
      </c>
      <c r="F177">
        <f t="shared" si="13"/>
        <v>3.5761797955502108</v>
      </c>
      <c r="G177" s="21"/>
      <c r="O177">
        <f t="shared" si="11"/>
        <v>2.9254882352941176</v>
      </c>
      <c r="P177" s="23">
        <f t="shared" si="14"/>
        <v>2.7925756932899448</v>
      </c>
      <c r="Q177" s="24"/>
      <c r="R177" s="23"/>
      <c r="S177" s="54"/>
      <c r="T177" s="54"/>
      <c r="U177" s="54"/>
      <c r="V177" s="54"/>
      <c r="W177" s="54"/>
      <c r="X177" s="50"/>
      <c r="Y177" s="50"/>
      <c r="Z177" s="54"/>
      <c r="AA177" s="55"/>
      <c r="AB177" s="41">
        <f>D$3/(Data_nieuwveer!AQ177*N$3)</f>
        <v>0.19614021869601617</v>
      </c>
      <c r="AC177" s="53">
        <f>(D$2+D$3)/(Data_nieuwveer!AQ177)</f>
        <v>0.20379512646276582</v>
      </c>
    </row>
    <row r="178" spans="1:32" x14ac:dyDescent="0.3">
      <c r="A178" s="2">
        <f>Data_nieuwveer!A178</f>
        <v>41717</v>
      </c>
      <c r="B178" s="52"/>
      <c r="C178" s="21"/>
      <c r="D178" s="21">
        <f>AVERAGE(Data_nieuwveer!AX178,Data_nieuwveer!BB178,Data_nieuwveer!BF178)</f>
        <v>3.2646666666666668</v>
      </c>
      <c r="E178">
        <f>Data_nieuwveer!BJ178</f>
        <v>3.6110000000000002</v>
      </c>
      <c r="F178">
        <f t="shared" si="13"/>
        <v>3.411329418839093</v>
      </c>
      <c r="G178" s="21"/>
      <c r="O178">
        <f t="shared" si="11"/>
        <v>2.7932147058823533</v>
      </c>
      <c r="P178" s="23">
        <f t="shared" si="14"/>
        <v>2.6638469432405278</v>
      </c>
      <c r="Q178" s="24"/>
      <c r="R178" s="23"/>
      <c r="S178" s="54"/>
      <c r="T178" s="54"/>
      <c r="U178" s="54"/>
      <c r="V178" s="54"/>
      <c r="W178" s="54"/>
      <c r="X178" s="50"/>
      <c r="Y178" s="50"/>
      <c r="Z178" s="54"/>
      <c r="AA178" s="55"/>
      <c r="AB178" s="41">
        <f>D$3/(Data_nieuwveer!AQ178*N$3)</f>
        <v>0.19966399345064745</v>
      </c>
      <c r="AC178" s="53">
        <f>(D$2+D$3)/(Data_nieuwveer!AQ178)</f>
        <v>0.20745642615194052</v>
      </c>
    </row>
    <row r="179" spans="1:32" x14ac:dyDescent="0.3">
      <c r="A179" s="2">
        <f>Data_nieuwveer!A179</f>
        <v>41718</v>
      </c>
      <c r="B179" s="52"/>
      <c r="C179" s="21"/>
      <c r="D179" s="21">
        <f>AVERAGE(Data_nieuwveer!AX179,Data_nieuwveer!BB179,Data_nieuwveer!BF179)</f>
        <v>3.3566666666666669</v>
      </c>
      <c r="E179">
        <f>Data_nieuwveer!BJ179</f>
        <v>3.82</v>
      </c>
      <c r="F179">
        <f t="shared" si="13"/>
        <v>3.552875738389162</v>
      </c>
      <c r="G179" s="21"/>
      <c r="O179">
        <f t="shared" si="11"/>
        <v>2.9548823529411763</v>
      </c>
      <c r="P179" s="23">
        <f t="shared" si="14"/>
        <v>2.7743779663009493</v>
      </c>
      <c r="Q179" s="24"/>
      <c r="R179" s="23"/>
      <c r="S179" s="54"/>
      <c r="T179" s="54"/>
      <c r="U179" s="54"/>
      <c r="V179" s="54"/>
      <c r="W179" s="54"/>
      <c r="X179" s="50"/>
      <c r="Y179" s="50"/>
      <c r="Z179" s="54"/>
      <c r="AA179" s="55"/>
      <c r="AB179" s="41">
        <f>D$3/(Data_nieuwveer!AQ179*N$3)</f>
        <v>0.23433245237484551</v>
      </c>
      <c r="AC179" s="53">
        <f>(D$2+D$3)/(Data_nieuwveer!AQ179)</f>
        <v>0.24347791637815511</v>
      </c>
    </row>
    <row r="180" spans="1:32" x14ac:dyDescent="0.3">
      <c r="A180" s="2">
        <f>Data_nieuwveer!A180</f>
        <v>41719</v>
      </c>
      <c r="B180" s="52"/>
      <c r="C180" s="21">
        <f>Data_nieuwveer!AR180*B$8</f>
        <v>59.091659298555854</v>
      </c>
      <c r="D180" s="21">
        <f>AVERAGE(Data_nieuwveer!AX180,Data_nieuwveer!BB180,Data_nieuwveer!BF180)</f>
        <v>3.266</v>
      </c>
      <c r="E180">
        <f>Data_nieuwveer!BJ180</f>
        <v>3.7589999999999999</v>
      </c>
      <c r="F180">
        <f t="shared" si="13"/>
        <v>3.4747720986169575</v>
      </c>
      <c r="G180" s="21"/>
      <c r="O180">
        <f t="shared" si="11"/>
        <v>2.9076970588235294</v>
      </c>
      <c r="P180" s="23">
        <f t="shared" si="14"/>
        <v>2.7133882123023603</v>
      </c>
      <c r="Q180" s="24">
        <f>'Edited data B'!C180*Data_nieuwveer!AQ180*$N$3/($D$3*O180*1000)</f>
        <v>9.6050861222003708E-2</v>
      </c>
      <c r="R180" s="23">
        <f>'Edited data B'!C180*Data_nieuwveer!AQ180/($D$4*P180*1000)</f>
        <v>9.9062970709675346E-2</v>
      </c>
      <c r="S180" s="54">
        <f>IF(ISBLANK(Data_nieuwveer!BZ180),0,Data_nieuwveer!AX180*(D$2/3+H$2/3)/(Data_nieuwveer!AZ180*Data_nieuwveer!BA180+(Data_nieuwveer!F180+Data_nieuwveer!BP180)*N$2/3*Data_nieuwveer!BZ180/1000))</f>
        <v>34.664168390806083</v>
      </c>
      <c r="T180" s="54">
        <f>IF(ISBLANK(Data_nieuwveer!BZ180),0,Data_nieuwveer!BB180*(D$2/3+H$2/3)/(Data_nieuwveer!BD180*Data_nieuwveer!BE180+(Data_nieuwveer!F180+Data_nieuwveer!BP180)*N$2/3*Data_nieuwveer!BZ180/1000))</f>
        <v>22.959786372641048</v>
      </c>
      <c r="U180" s="54">
        <f>IF(ISBLANK(Data_nieuwveer!BZ180),0,Data_nieuwveer!BF180*(D$2/3+H$2/3)/(Data_nieuwveer!BH180*Data_nieuwveer!BI180+(Data_nieuwveer!F180+Data_nieuwveer!BP180)*N$2/3*Data_nieuwveer!BZ180/1000))</f>
        <v>22.587084748451481</v>
      </c>
      <c r="V180" s="54">
        <f t="shared" si="17"/>
        <v>26.737013170632867</v>
      </c>
      <c r="W180" s="54">
        <f t="shared" si="18"/>
        <v>12.652398968386759</v>
      </c>
      <c r="X180" s="50">
        <f>IF(ISBLANK(Data_nieuwveer!BZ180),0,Data_nieuwveer!BJ180*(D$3+H$3)/(Data_nieuwveer!BM180*Data_nieuwveer!BN180+(Data_nieuwveer!F180+Data_nieuwveer!BP180)*N$3*Data_nieuwveer!BZ180/1000))</f>
        <v>27.692233199854265</v>
      </c>
      <c r="Y180" s="50">
        <f t="shared" si="19"/>
        <v>13.283573037449125</v>
      </c>
      <c r="Z180" s="54">
        <f t="shared" si="20"/>
        <v>7.9701438224694749</v>
      </c>
      <c r="AA180" s="55">
        <f>IF(ISBLANK(Data_nieuwveer!BZ180),0,'Edited data B'!P180*(D$2+H$2+D$3+H$3)/((Data_nieuwveer!AZ180*Data_nieuwveer!BA180+Data_nieuwveer!BD180*Data_nieuwveer!BE180+Data_nieuwveer!BH180*Data_nieuwveer!BI180+Data_nieuwveer!BM180*Data_nieuwveer!BN180)+(Data_nieuwveer!F180+Data_nieuwveer!BP180)*Data_nieuwveer!BZ180/1000))</f>
        <v>20.77389569549414</v>
      </c>
      <c r="AB180" s="41">
        <f>D$3/(Data_nieuwveer!AQ180*N$3)</f>
        <v>0.21158056122503802</v>
      </c>
      <c r="AC180" s="53">
        <f>(D$2+D$3)/(Data_nieuwveer!AQ180)</f>
        <v>0.21983807053232057</v>
      </c>
      <c r="AD180">
        <f>((E180-E179)*($D$3+H$3)+(Data_nieuwveer!F180+Data_nieuwveer!BP180)*N$3*Data_nieuwveer!BZ180/1000+Data_nieuwveer!BM180*Data_nieuwveer!BN180)/(Data_nieuwveer!AQ180*N$3*Data_nieuwveer!AR180/1000-((Data_nieuwveer!F180+Data_nieuwveer!BP180)*N$3+Data_nieuwveer!BM180)*Data_nieuwveer!BR180/1000/$P$2)</f>
        <v>0.26824719646378481</v>
      </c>
      <c r="AE180">
        <f>((F180-F179)*(D$2+H$2+$D$3+H$3)+(Data_nieuwveer!F180+Data_nieuwveer!BP180)*Data_nieuwveer!BZ180/1000+(Data_nieuwveer!AZ180*Data_nieuwveer!BA180+Data_nieuwveer!BD180*Data_nieuwveer!BE180+Data_nieuwveer!BH180*Data_nieuwveer!BI180+Data_nieuwveer!BM180*Data_nieuwveer!BN180))/(Data_nieuwveer!AQ180*Data_nieuwveer!AR180/1000-((Data_nieuwveer!F180+Data_nieuwveer!BP180)+Data_nieuwveer!AZ180+Data_nieuwveer!BD180+Data_nieuwveer!BH180+Data_nieuwveer!BM180)*Data_nieuwveer!BR180/1000/$P$2)</f>
        <v>0.19724138267613053</v>
      </c>
      <c r="AF180">
        <f>(Data_nieuwveer!AQ180*Data_nieuwveer!AR180-(Data_nieuwveer!BP180+Data_nieuwveer!F180)*Data_nieuwveer!BR180)/(Data_nieuwveer!AQ180*Data_nieuwveer!AR180)</f>
        <v>0.73034435673005738</v>
      </c>
    </row>
    <row r="181" spans="1:32" x14ac:dyDescent="0.3">
      <c r="A181" s="2">
        <f>Data_nieuwveer!A181</f>
        <v>41720</v>
      </c>
      <c r="B181" s="52"/>
      <c r="C181" s="21"/>
      <c r="D181" s="21">
        <f>AVERAGE(Data_nieuwveer!AX181,Data_nieuwveer!BB181,Data_nieuwveer!BF181)</f>
        <v>3.1969999999999996</v>
      </c>
      <c r="E181">
        <f>Data_nieuwveer!BJ181</f>
        <v>3.2719999999999998</v>
      </c>
      <c r="F181">
        <f t="shared" si="13"/>
        <v>3.2287604612500438</v>
      </c>
      <c r="G181" s="21"/>
      <c r="O181">
        <f t="shared" si="11"/>
        <v>2.5309882352941178</v>
      </c>
      <c r="P181" s="23">
        <f t="shared" si="14"/>
        <v>2.5212820660643733</v>
      </c>
      <c r="Q181" s="24"/>
      <c r="R181" s="23"/>
      <c r="S181" s="54"/>
      <c r="T181" s="54"/>
      <c r="U181" s="54"/>
      <c r="V181" s="54"/>
      <c r="W181" s="54"/>
      <c r="X181" s="50"/>
      <c r="Y181" s="50"/>
      <c r="Z181" s="54"/>
      <c r="AA181" s="55"/>
      <c r="AB181" s="41">
        <f>D$3/(Data_nieuwveer!AQ181*N$3)</f>
        <v>0.12158110273004009</v>
      </c>
      <c r="AC181" s="53">
        <f>(D$2+D$3)/(Data_nieuwveer!AQ181)</f>
        <v>0.12632613734744602</v>
      </c>
    </row>
    <row r="182" spans="1:32" x14ac:dyDescent="0.3">
      <c r="A182" s="2">
        <f>Data_nieuwveer!A182</f>
        <v>41721</v>
      </c>
      <c r="B182" s="52"/>
      <c r="C182" s="21"/>
      <c r="D182" s="21">
        <f>AVERAGE(Data_nieuwveer!AX182,Data_nieuwveer!BB182,Data_nieuwveer!BF182)</f>
        <v>3.5539999999999998</v>
      </c>
      <c r="E182">
        <f>Data_nieuwveer!BJ182</f>
        <v>3.8380000000000001</v>
      </c>
      <c r="F182">
        <f t="shared" si="13"/>
        <v>3.6742662799335006</v>
      </c>
      <c r="G182" s="21"/>
      <c r="O182">
        <f t="shared" si="11"/>
        <v>2.9688058823529415</v>
      </c>
      <c r="P182" s="23">
        <f t="shared" si="14"/>
        <v>2.8691696980068961</v>
      </c>
      <c r="Q182" s="24"/>
      <c r="R182" s="23"/>
      <c r="S182" s="54"/>
      <c r="T182" s="54"/>
      <c r="U182" s="54"/>
      <c r="V182" s="54"/>
      <c r="W182" s="54"/>
      <c r="X182" s="50"/>
      <c r="Y182" s="50"/>
      <c r="Z182" s="54"/>
      <c r="AA182" s="55"/>
      <c r="AB182" s="41">
        <f>D$3/(Data_nieuwveer!AQ182*N$3)</f>
        <v>0.1977112462589356</v>
      </c>
      <c r="AC182" s="53">
        <f>(D$2+D$3)/(Data_nieuwveer!AQ182)</f>
        <v>0.20542746766739076</v>
      </c>
    </row>
    <row r="183" spans="1:32" x14ac:dyDescent="0.3">
      <c r="A183" s="2">
        <f>Data_nieuwveer!A183</f>
        <v>41722</v>
      </c>
      <c r="B183" s="52"/>
      <c r="C183" s="21"/>
      <c r="D183" s="21">
        <f>AVERAGE(Data_nieuwveer!AX183,Data_nieuwveer!BB183,Data_nieuwveer!BF183)</f>
        <v>3.5133333333333332</v>
      </c>
      <c r="E183">
        <f>Data_nieuwveer!BJ183</f>
        <v>3.92</v>
      </c>
      <c r="F183">
        <f t="shared" si="13"/>
        <v>3.6855456121113508</v>
      </c>
      <c r="G183" s="21"/>
      <c r="O183">
        <f t="shared" si="11"/>
        <v>3.0322352941176471</v>
      </c>
      <c r="P183" s="23">
        <f t="shared" si="14"/>
        <v>2.8779775294575409</v>
      </c>
      <c r="Q183" s="24"/>
      <c r="R183" s="23"/>
      <c r="S183" s="54"/>
      <c r="T183" s="54"/>
      <c r="U183" s="54"/>
      <c r="V183" s="54"/>
      <c r="W183" s="54"/>
      <c r="X183" s="50"/>
      <c r="Y183" s="50"/>
      <c r="Z183" s="54"/>
      <c r="AA183" s="55"/>
      <c r="AB183" s="41">
        <f>D$3/(Data_nieuwveer!AQ183*N$3)</f>
        <v>0.19333309583872957</v>
      </c>
      <c r="AC183" s="53">
        <f>(D$2+D$3)/(Data_nieuwveer!AQ183)</f>
        <v>0.20087844796867343</v>
      </c>
    </row>
    <row r="184" spans="1:32" x14ac:dyDescent="0.3">
      <c r="A184" s="2">
        <f>Data_nieuwveer!A184</f>
        <v>41723</v>
      </c>
      <c r="B184" s="52"/>
      <c r="C184" s="21"/>
      <c r="D184" s="21">
        <f>AVERAGE(Data_nieuwveer!AX184,Data_nieuwveer!BB184,Data_nieuwveer!BF184)</f>
        <v>3.3063333333333333</v>
      </c>
      <c r="E184">
        <f>Data_nieuwveer!BJ184</f>
        <v>3.746</v>
      </c>
      <c r="F184">
        <f t="shared" si="13"/>
        <v>3.4925202150613703</v>
      </c>
      <c r="G184" s="21"/>
      <c r="O184">
        <f t="shared" si="11"/>
        <v>2.8976411764705885</v>
      </c>
      <c r="P184" s="23">
        <f t="shared" si="14"/>
        <v>2.7272474032317473</v>
      </c>
      <c r="Q184" s="24"/>
      <c r="R184" s="23"/>
      <c r="S184" s="54"/>
      <c r="T184" s="54"/>
      <c r="U184" s="54"/>
      <c r="V184" s="54"/>
      <c r="W184" s="54"/>
      <c r="X184" s="50"/>
      <c r="Y184" s="50"/>
      <c r="Z184" s="54"/>
      <c r="AA184" s="55"/>
      <c r="AB184" s="41">
        <f>D$3/(Data_nieuwveer!AQ184*N$3)</f>
        <v>0.21091574606547528</v>
      </c>
      <c r="AC184" s="53">
        <f>(D$2+D$3)/(Data_nieuwveer!AQ184)</f>
        <v>0.21914730914529759</v>
      </c>
    </row>
    <row r="185" spans="1:32" x14ac:dyDescent="0.3">
      <c r="A185" s="2">
        <f>Data_nieuwveer!A185</f>
        <v>41724</v>
      </c>
      <c r="B185" s="52"/>
      <c r="C185" s="21"/>
      <c r="D185" s="21">
        <f>AVERAGE(Data_nieuwveer!AX185,Data_nieuwveer!BB185,Data_nieuwveer!BF185)</f>
        <v>3.1346666666666665</v>
      </c>
      <c r="E185">
        <f>Data_nieuwveer!BJ185</f>
        <v>3.6389999999999998</v>
      </c>
      <c r="F185">
        <f t="shared" si="13"/>
        <v>3.3482381238725196</v>
      </c>
      <c r="G185" s="21"/>
      <c r="O185">
        <f t="shared" si="11"/>
        <v>2.8148735294117646</v>
      </c>
      <c r="P185" s="23">
        <f t="shared" si="14"/>
        <v>2.6145800643769244</v>
      </c>
      <c r="Q185" s="24"/>
      <c r="R185" s="23"/>
      <c r="S185" s="54"/>
      <c r="T185" s="54"/>
      <c r="U185" s="54"/>
      <c r="V185" s="54"/>
      <c r="W185" s="54"/>
      <c r="X185" s="50"/>
      <c r="Y185" s="50"/>
      <c r="Z185" s="54"/>
      <c r="AA185" s="55"/>
      <c r="AB185" s="41">
        <f>D$3/(Data_nieuwveer!AQ185*N$3)</f>
        <v>0.21306439997847287</v>
      </c>
      <c r="AC185" s="53">
        <f>(D$2+D$3)/(Data_nieuwveer!AQ185)</f>
        <v>0.22137982014602564</v>
      </c>
    </row>
    <row r="186" spans="1:32" x14ac:dyDescent="0.3">
      <c r="A186" s="2">
        <f>Data_nieuwveer!A186</f>
        <v>41725</v>
      </c>
      <c r="B186" s="52"/>
      <c r="C186" s="21">
        <f>Data_nieuwveer!AR186*B$8</f>
        <v>59.091659298555854</v>
      </c>
      <c r="D186" s="21">
        <f>AVERAGE(Data_nieuwveer!AX186,Data_nieuwveer!BB186,Data_nieuwveer!BF186)</f>
        <v>3.1316666666666664</v>
      </c>
      <c r="E186">
        <f>Data_nieuwveer!BJ186</f>
        <v>3.5270000000000001</v>
      </c>
      <c r="F186">
        <f t="shared" si="13"/>
        <v>3.2990795868557883</v>
      </c>
      <c r="G186" s="21">
        <f>IF(ISBLANK(Data_nieuwveer!AY186),0,AVERAGE(Data_nieuwveer!AX186*(1-Data_nieuwveer!AY186/100),Data_nieuwveer!BB186*(1-Data_nieuwveer!BC186/100),Data_nieuwveer!BF186*(1-Data_nieuwveer!BG186/100)))</f>
        <v>2.4634099999999997</v>
      </c>
      <c r="H186">
        <f>IF(ISBLANK(Data_nieuwveer!BK186),0,Data_nieuwveer!BJ186*(1-Data_nieuwveer!BK186/100))</f>
        <v>2.7863300000000004</v>
      </c>
      <c r="I186">
        <f t="shared" si="15"/>
        <v>0.788941317958332</v>
      </c>
      <c r="J186">
        <f>(Data_nieuwveer!AX186*(1-Data_nieuwveer!AY186/100)/Data_nieuwveer!AX186)</f>
        <v>0.78</v>
      </c>
      <c r="K186">
        <f>(Data_nieuwveer!BB186*(1-Data_nieuwveer!BC186/100)/Data_nieuwveer!BB186)</f>
        <v>0.79</v>
      </c>
      <c r="L186">
        <f>(Data_nieuwveer!BF186*(1-Data_nieuwveer!BG186/100)/Data_nieuwveer!BF186)</f>
        <v>0.79</v>
      </c>
      <c r="M186">
        <f>(Data_nieuwveer!BJ186*(1-Data_nieuwveer!BK186/100)/Data_nieuwveer!BJ186)</f>
        <v>0.79</v>
      </c>
      <c r="N186">
        <f t="shared" si="16"/>
        <v>0.78750000000000009</v>
      </c>
      <c r="O186">
        <f t="shared" si="11"/>
        <v>2.7282382352941177</v>
      </c>
      <c r="P186" s="23">
        <f t="shared" si="14"/>
        <v>2.5761930303241529</v>
      </c>
      <c r="Q186" s="24">
        <f>'Edited data B'!C186*Data_nieuwveer!AQ186*$N$3/($D$3*O186*1000)</f>
        <v>0.11062989049555899</v>
      </c>
      <c r="R186" s="23">
        <f>'Edited data B'!C186*Data_nieuwveer!AQ186/($D$4*P186*1000)</f>
        <v>0.11275848542039112</v>
      </c>
      <c r="S186" s="54">
        <f>IF(ISBLANK(Data_nieuwveer!BZ186),0,Data_nieuwveer!AX186*(D$2/3+H$2/3)/(Data_nieuwveer!AZ186*Data_nieuwveer!BA186+(Data_nieuwveer!F186+Data_nieuwveer!BP186)*N$2/3*Data_nieuwveer!BZ186/1000))</f>
        <v>23.243717952241781</v>
      </c>
      <c r="T186" s="54">
        <f>IF(ISBLANK(Data_nieuwveer!BZ186),0,Data_nieuwveer!BB186*(D$2/3+H$2/3)/(Data_nieuwveer!BD186*Data_nieuwveer!BE186+(Data_nieuwveer!F186+Data_nieuwveer!BP186)*N$2/3*Data_nieuwveer!BZ186/1000))</f>
        <v>22.992954672583462</v>
      </c>
      <c r="U186" s="54">
        <f>IF(ISBLANK(Data_nieuwveer!BZ186),0,Data_nieuwveer!BF186*(D$2/3+H$2/3)/(Data_nieuwveer!BH186*Data_nieuwveer!BI186+(Data_nieuwveer!F186+Data_nieuwveer!BP186)*N$2/3*Data_nieuwveer!BZ186/1000))</f>
        <v>21.737483018984875</v>
      </c>
      <c r="V186" s="54">
        <f t="shared" si="17"/>
        <v>22.65805188127004</v>
      </c>
      <c r="W186" s="54">
        <f t="shared" si="18"/>
        <v>10.722166698975711</v>
      </c>
      <c r="X186" s="50">
        <f>IF(ISBLANK(Data_nieuwveer!BZ186),0,Data_nieuwveer!BJ186*(D$3+H$3)/(Data_nieuwveer!BM186*Data_nieuwveer!BN186+(Data_nieuwveer!F186+Data_nieuwveer!BP186)*N$3*Data_nieuwveer!BZ186/1000))</f>
        <v>28.019245753299447</v>
      </c>
      <c r="Y186" s="50">
        <f t="shared" si="19"/>
        <v>13.440436339390216</v>
      </c>
      <c r="Z186" s="54">
        <f t="shared" si="20"/>
        <v>8.0642618036341283</v>
      </c>
      <c r="AA186" s="55">
        <f>IF(ISBLANK(Data_nieuwveer!BZ186),0,'Edited data B'!P186*(D$2+H$2+D$3+H$3)/((Data_nieuwveer!AZ186*Data_nieuwveer!BA186+Data_nieuwveer!BD186*Data_nieuwveer!BE186+Data_nieuwveer!BH186*Data_nieuwveer!BI186+Data_nieuwveer!BM186*Data_nieuwveer!BN186)+(Data_nieuwveer!F186+Data_nieuwveer!BP186)*Data_nieuwveer!BZ186/1000))</f>
        <v>19.362587936400178</v>
      </c>
      <c r="AB186" s="41">
        <f>D$3/(Data_nieuwveer!AQ186*N$3)</f>
        <v>0.19578139179310311</v>
      </c>
      <c r="AC186" s="53">
        <f>(D$2+D$3)/(Data_nieuwveer!AQ186)</f>
        <v>0.20342229535987635</v>
      </c>
      <c r="AD186">
        <f>((E186-E185)*($D$3+H$3)+(Data_nieuwveer!F186+Data_nieuwveer!BP186)*N$3*Data_nieuwveer!BZ186/1000+Data_nieuwveer!BM186*Data_nieuwveer!BN186)/(Data_nieuwveer!AQ186*N$3*Data_nieuwveer!AR186/1000-((Data_nieuwveer!F186+Data_nieuwveer!BP186)*N$3+Data_nieuwveer!BM186)*Data_nieuwveer!BR186/1000/$P$2)</f>
        <v>4.4839895304389775E-2</v>
      </c>
      <c r="AE186">
        <f>((F186-F185)*(D$2+H$2+$D$3+H$3)+(Data_nieuwveer!F186+Data_nieuwveer!BP186)*Data_nieuwveer!BZ186/1000+(Data_nieuwveer!AZ186*Data_nieuwveer!BA186+Data_nieuwveer!BD186*Data_nieuwveer!BE186+Data_nieuwveer!BH186*Data_nieuwveer!BI186+Data_nieuwveer!BM186*Data_nieuwveer!BN186))/(Data_nieuwveer!AQ186*Data_nieuwveer!AR186/1000-((Data_nieuwveer!F186+Data_nieuwveer!BP186)+Data_nieuwveer!AZ186+Data_nieuwveer!BD186+Data_nieuwveer!BH186+Data_nieuwveer!BM186)*Data_nieuwveer!BR186/1000/$P$2)</f>
        <v>0.28375005634180078</v>
      </c>
      <c r="AF186">
        <f>(Data_nieuwveer!AQ186*Data_nieuwveer!AR186-(Data_nieuwveer!BP186+Data_nieuwveer!F186)*Data_nieuwveer!BR186)/(Data_nieuwveer!AQ186*Data_nieuwveer!AR186)</f>
        <v>0.75517514061689384</v>
      </c>
    </row>
    <row r="187" spans="1:32" x14ac:dyDescent="0.3">
      <c r="A187" s="2">
        <f>Data_nieuwveer!A187</f>
        <v>41726</v>
      </c>
      <c r="B187" s="52"/>
      <c r="C187" s="21"/>
      <c r="D187" s="21">
        <f>AVERAGE(Data_nieuwveer!AX187,Data_nieuwveer!BB187,Data_nieuwveer!BF187)</f>
        <v>3.1140000000000003</v>
      </c>
      <c r="E187">
        <f>Data_nieuwveer!BJ187</f>
        <v>3.6360000000000001</v>
      </c>
      <c r="F187">
        <f t="shared" si="13"/>
        <v>3.3350528103003079</v>
      </c>
      <c r="G187" s="21"/>
      <c r="O187">
        <f t="shared" si="11"/>
        <v>2.8125529411764707</v>
      </c>
      <c r="P187" s="23">
        <f t="shared" si="14"/>
        <v>2.6042838856903883</v>
      </c>
      <c r="Q187" s="24"/>
      <c r="R187" s="23"/>
      <c r="S187" s="54"/>
      <c r="T187" s="54"/>
      <c r="U187" s="54"/>
      <c r="V187" s="54"/>
      <c r="W187" s="54"/>
      <c r="X187" s="50"/>
      <c r="Y187" s="50"/>
      <c r="Z187" s="54"/>
      <c r="AA187" s="55"/>
      <c r="AB187" s="41">
        <f>D$3/(Data_nieuwveer!AQ187*N$3)</f>
        <v>0.21626054590794835</v>
      </c>
      <c r="AC187" s="53">
        <f>(D$2+D$3)/(Data_nieuwveer!AQ187)</f>
        <v>0.22470070440026627</v>
      </c>
    </row>
    <row r="188" spans="1:32" x14ac:dyDescent="0.3">
      <c r="A188" s="2">
        <f>Data_nieuwveer!A188</f>
        <v>41727</v>
      </c>
      <c r="B188" s="52"/>
      <c r="C188" s="21"/>
      <c r="D188" s="21">
        <f>AVERAGE(Data_nieuwveer!AX188,Data_nieuwveer!BB188,Data_nieuwveer!BF188)</f>
        <v>3.0396666666666667</v>
      </c>
      <c r="E188">
        <f>Data_nieuwveer!BJ188</f>
        <v>3.5640000000000001</v>
      </c>
      <c r="F188">
        <f t="shared" si="13"/>
        <v>3.2617075802058646</v>
      </c>
      <c r="G188" s="21"/>
      <c r="O188">
        <f t="shared" si="11"/>
        <v>2.756858823529412</v>
      </c>
      <c r="P188" s="23">
        <f t="shared" si="14"/>
        <v>2.5470098898372275</v>
      </c>
      <c r="Q188" s="24"/>
      <c r="R188" s="23"/>
      <c r="S188" s="54"/>
      <c r="T188" s="54"/>
      <c r="U188" s="54"/>
      <c r="V188" s="54"/>
      <c r="W188" s="54"/>
      <c r="X188" s="50"/>
      <c r="Y188" s="50"/>
      <c r="Z188" s="54"/>
      <c r="AA188" s="55"/>
      <c r="AB188" s="41">
        <f>D$3/(Data_nieuwveer!AQ188*N$3)</f>
        <v>0.21469592532885762</v>
      </c>
      <c r="AC188" s="53">
        <f>(D$2+D$3)/(Data_nieuwveer!AQ188)</f>
        <v>0.22307502022951375</v>
      </c>
    </row>
    <row r="189" spans="1:32" x14ac:dyDescent="0.3">
      <c r="A189" s="2">
        <f>Data_nieuwveer!A189</f>
        <v>41728</v>
      </c>
      <c r="B189" s="52"/>
      <c r="C189" s="21"/>
      <c r="D189" s="21">
        <f>AVERAGE(Data_nieuwveer!AX189,Data_nieuwveer!BB189,Data_nieuwveer!BF189)</f>
        <v>2.9753333333333334</v>
      </c>
      <c r="E189">
        <f>Data_nieuwveer!BJ189</f>
        <v>3.52</v>
      </c>
      <c r="F189">
        <f t="shared" si="13"/>
        <v>3.2059848608114323</v>
      </c>
      <c r="G189" s="21"/>
      <c r="O189">
        <f t="shared" si="11"/>
        <v>2.7228235294117646</v>
      </c>
      <c r="P189" s="23">
        <f t="shared" si="14"/>
        <v>2.5034970016042219</v>
      </c>
      <c r="Q189" s="24"/>
      <c r="R189" s="23"/>
      <c r="S189" s="54"/>
      <c r="T189" s="54"/>
      <c r="U189" s="54"/>
      <c r="V189" s="54"/>
      <c r="W189" s="54"/>
      <c r="X189" s="50"/>
      <c r="Y189" s="50"/>
      <c r="Z189" s="54"/>
      <c r="AA189" s="55"/>
      <c r="AB189" s="41">
        <f>D$3/(Data_nieuwveer!AQ189*N$3)</f>
        <v>0.21680878761583566</v>
      </c>
      <c r="AC189" s="53">
        <f>(D$2+D$3)/(Data_nieuwveer!AQ189)</f>
        <v>0.22527034273825658</v>
      </c>
    </row>
    <row r="190" spans="1:32" x14ac:dyDescent="0.3">
      <c r="A190" s="2">
        <f>Data_nieuwveer!A190</f>
        <v>41729</v>
      </c>
      <c r="B190" s="52"/>
      <c r="C190" s="21"/>
      <c r="D190" s="21">
        <f>AVERAGE(Data_nieuwveer!AX190,Data_nieuwveer!BB190,Data_nieuwveer!BF190)</f>
        <v>2.7866666666666666</v>
      </c>
      <c r="E190">
        <f>Data_nieuwveer!BJ190</f>
        <v>3.39</v>
      </c>
      <c r="F190">
        <f t="shared" si="13"/>
        <v>3.0421619327225775</v>
      </c>
      <c r="G190" s="21"/>
      <c r="O190">
        <f t="shared" si="11"/>
        <v>2.6222647058823529</v>
      </c>
      <c r="P190" s="23">
        <f t="shared" si="14"/>
        <v>2.3755705680524839</v>
      </c>
      <c r="Q190" s="24"/>
      <c r="R190" s="23"/>
      <c r="S190" s="54"/>
      <c r="T190" s="54"/>
      <c r="U190" s="54"/>
      <c r="V190" s="54"/>
      <c r="W190" s="54"/>
      <c r="X190" s="50"/>
      <c r="Y190" s="50"/>
      <c r="Z190" s="54"/>
      <c r="AA190" s="55"/>
      <c r="AB190" s="41">
        <f>D$3/(Data_nieuwveer!AQ190*N$3)</f>
        <v>0.22138283797783015</v>
      </c>
      <c r="AC190" s="53">
        <f>(D$2+D$3)/(Data_nieuwveer!AQ190)</f>
        <v>0.23002290790906649</v>
      </c>
    </row>
    <row r="191" spans="1:32" x14ac:dyDescent="0.3">
      <c r="A191" s="2">
        <f>Data_nieuwveer!A191</f>
        <v>41730</v>
      </c>
      <c r="B191" s="52"/>
      <c r="C191" s="21"/>
      <c r="D191" s="21">
        <f>AVERAGE(Data_nieuwveer!AX191,Data_nieuwveer!BB191,Data_nieuwveer!BF191)</f>
        <v>2.8026666666666671</v>
      </c>
      <c r="E191">
        <f>Data_nieuwveer!BJ191</f>
        <v>3.3959999999999999</v>
      </c>
      <c r="F191">
        <f t="shared" si="13"/>
        <v>3.0539272045559054</v>
      </c>
      <c r="G191" s="21"/>
      <c r="O191">
        <f t="shared" si="11"/>
        <v>2.6269058823529412</v>
      </c>
      <c r="P191" s="23">
        <f t="shared" si="14"/>
        <v>2.3847578612046858</v>
      </c>
      <c r="Q191" s="24"/>
      <c r="R191" s="23"/>
      <c r="S191" s="54"/>
      <c r="T191" s="54"/>
      <c r="U191" s="54"/>
      <c r="V191" s="54"/>
      <c r="W191" s="54"/>
      <c r="X191" s="50"/>
      <c r="Y191" s="50"/>
      <c r="Z191" s="54"/>
      <c r="AA191" s="55"/>
      <c r="AB191" s="41">
        <f>D$3/(Data_nieuwveer!AQ191*N$3)</f>
        <v>0.21996707181862424</v>
      </c>
      <c r="AC191" s="53">
        <f>(D$2+D$3)/(Data_nieuwveer!AQ191)</f>
        <v>0.22855188760851183</v>
      </c>
    </row>
    <row r="192" spans="1:32" x14ac:dyDescent="0.3">
      <c r="A192" s="2">
        <f>Data_nieuwveer!A192</f>
        <v>41731</v>
      </c>
      <c r="B192" s="52"/>
      <c r="C192" s="21">
        <f>Data_nieuwveer!AR192*B$8</f>
        <v>59.091659298555854</v>
      </c>
      <c r="D192" s="21">
        <f>AVERAGE(Data_nieuwveer!AX192,Data_nieuwveer!BB192,Data_nieuwveer!BF192)</f>
        <v>2.7769999999999997</v>
      </c>
      <c r="E192">
        <f>Data_nieuwveer!BJ192</f>
        <v>3.3330000000000002</v>
      </c>
      <c r="F192">
        <f t="shared" si="13"/>
        <v>3.0124508860669943</v>
      </c>
      <c r="G192" s="21"/>
      <c r="O192">
        <f t="shared" si="11"/>
        <v>2.5781735294117651</v>
      </c>
      <c r="P192" s="23">
        <f t="shared" si="14"/>
        <v>2.3523697360317271</v>
      </c>
      <c r="Q192" s="24">
        <f>'Edited data B'!C192*Data_nieuwveer!AQ192*$N$3/($D$3*O192*1000)</f>
        <v>0.10566509622840539</v>
      </c>
      <c r="R192" s="23">
        <f>'Edited data B'!C192*Data_nieuwveer!AQ192/($D$4*P192*1000)</f>
        <v>0.11145793066138955</v>
      </c>
      <c r="S192" s="54">
        <f>IF(ISBLANK(Data_nieuwveer!BZ192),0,Data_nieuwveer!AX192*(D$2/3+H$2/3)/(Data_nieuwveer!AZ192*Data_nieuwveer!BA192+(Data_nieuwveer!F192+Data_nieuwveer!BP192)*N$2/3*Data_nieuwveer!BZ192/1000))</f>
        <v>27.783931426681708</v>
      </c>
      <c r="T192" s="54">
        <f>IF(ISBLANK(Data_nieuwveer!BZ192),0,Data_nieuwveer!BB192*(D$2/3+H$2/3)/(Data_nieuwveer!BD192*Data_nieuwveer!BE192+(Data_nieuwveer!F192+Data_nieuwveer!BP192)*N$2/3*Data_nieuwveer!BZ192/1000))</f>
        <v>26.417804794773009</v>
      </c>
      <c r="U192" s="54">
        <f>IF(ISBLANK(Data_nieuwveer!BZ192),0,Data_nieuwveer!BF192*(D$2/3+H$2/3)/(Data_nieuwveer!BH192*Data_nieuwveer!BI192+(Data_nieuwveer!F192+Data_nieuwveer!BP192)*N$2/3*Data_nieuwveer!BZ192/1000))</f>
        <v>33.124852041602551</v>
      </c>
      <c r="V192" s="54">
        <f t="shared" si="17"/>
        <v>29.108862754352419</v>
      </c>
      <c r="W192" s="54">
        <f t="shared" si="18"/>
        <v>13.774797608605233</v>
      </c>
      <c r="X192" s="50">
        <f>IF(ISBLANK(Data_nieuwveer!BZ192),0,Data_nieuwveer!BJ192*(D$3+H$3)/(Data_nieuwveer!BM192*Data_nieuwveer!BN192+(Data_nieuwveer!F192+Data_nieuwveer!BP192)*N$3*Data_nieuwveer!BZ192/1000))</f>
        <v>25.321005829263793</v>
      </c>
      <c r="Y192" s="50">
        <f t="shared" si="19"/>
        <v>12.146128767847829</v>
      </c>
      <c r="Z192" s="54">
        <f t="shared" si="20"/>
        <v>7.2876772607086968</v>
      </c>
      <c r="AA192" s="55">
        <f>IF(ISBLANK(Data_nieuwveer!BZ192),0,'Edited data B'!P192*(D$2+H$2+D$3+H$3)/((Data_nieuwveer!AZ192*Data_nieuwveer!BA192+Data_nieuwveer!BD192*Data_nieuwveer!BE192+Data_nieuwveer!BH192*Data_nieuwveer!BI192+Data_nieuwveer!BM192*Data_nieuwveer!BN192)+(Data_nieuwveer!F192+Data_nieuwveer!BP192)*Data_nieuwveer!BZ192/1000))</f>
        <v>21.14797999412097</v>
      </c>
      <c r="AB192" s="41">
        <f>D$3/(Data_nieuwveer!AQ192*N$3)</f>
        <v>0.21691145483085292</v>
      </c>
      <c r="AC192" s="53">
        <f>(D$2+D$3)/(Data_nieuwveer!AQ192)</f>
        <v>0.22537701682176234</v>
      </c>
      <c r="AD192">
        <f>((E192-E191)*($D$3+H$3)+(Data_nieuwveer!F192+Data_nieuwveer!BP192)*N$3*Data_nieuwveer!BZ192/1000+Data_nieuwveer!BM192*Data_nieuwveer!BN192)/(Data_nieuwveer!AQ192*N$3*Data_nieuwveer!AR192/1000-((Data_nieuwveer!F192+Data_nieuwveer!BP192)*N$3+Data_nieuwveer!BM192)*Data_nieuwveer!BR192/1000/$P$2)</f>
        <v>0.25078971608486311</v>
      </c>
      <c r="AE192">
        <f>((F192-F191)*(D$2+H$2+$D$3+H$3)+(Data_nieuwveer!F192+Data_nieuwveer!BP192)*Data_nieuwveer!BZ192/1000+(Data_nieuwveer!AZ192*Data_nieuwveer!BA192+Data_nieuwveer!BD192*Data_nieuwveer!BE192+Data_nieuwveer!BH192*Data_nieuwveer!BI192+Data_nieuwveer!BM192*Data_nieuwveer!BN192))/(Data_nieuwveer!AQ192*Data_nieuwveer!AR192/1000-((Data_nieuwveer!F192+Data_nieuwveer!BP192)+Data_nieuwveer!AZ192+Data_nieuwveer!BD192+Data_nieuwveer!BH192+Data_nieuwveer!BM192)*Data_nieuwveer!BR192/1000/$P$2)</f>
        <v>0.26665214050594838</v>
      </c>
      <c r="AF192">
        <f>(Data_nieuwveer!AQ192*Data_nieuwveer!AR192-(Data_nieuwveer!BP192+Data_nieuwveer!F192)*Data_nieuwveer!BR192)/(Data_nieuwveer!AQ192*Data_nieuwveer!AR192)</f>
        <v>0.73733186010377982</v>
      </c>
    </row>
    <row r="193" spans="1:32" x14ac:dyDescent="0.3">
      <c r="A193" s="2">
        <f>Data_nieuwveer!A193</f>
        <v>41732</v>
      </c>
      <c r="B193" s="52"/>
      <c r="C193" s="21"/>
      <c r="D193" s="21">
        <f>AVERAGE(Data_nieuwveer!AX193,Data_nieuwveer!BB193,Data_nieuwveer!BF193)</f>
        <v>2.9599999999999995</v>
      </c>
      <c r="E193">
        <f>Data_nieuwveer!BJ193</f>
        <v>3.23</v>
      </c>
      <c r="F193">
        <f t="shared" si="13"/>
        <v>3.0743376605001589</v>
      </c>
      <c r="G193" s="21"/>
      <c r="O193">
        <f t="shared" si="11"/>
        <v>2.4984999999999999</v>
      </c>
      <c r="P193" s="23">
        <f t="shared" si="14"/>
        <v>2.4006960260670365</v>
      </c>
      <c r="Q193" s="24"/>
      <c r="R193" s="23"/>
      <c r="S193" s="54"/>
      <c r="T193" s="54"/>
      <c r="U193" s="54"/>
      <c r="V193" s="54"/>
      <c r="W193" s="54"/>
      <c r="X193" s="50"/>
      <c r="Y193" s="50"/>
      <c r="Z193" s="54"/>
      <c r="AA193" s="55"/>
      <c r="AB193" s="41">
        <f>D$3/(Data_nieuwveer!AQ193*N$3)</f>
        <v>0.21745614095633478</v>
      </c>
      <c r="AC193" s="53">
        <f>(D$2+D$3)/(Data_nieuwveer!AQ193)</f>
        <v>0.22594296081103221</v>
      </c>
    </row>
    <row r="194" spans="1:32" x14ac:dyDescent="0.3">
      <c r="A194" s="2">
        <f>Data_nieuwveer!A194</f>
        <v>41733</v>
      </c>
      <c r="B194" s="52"/>
      <c r="C194" s="21"/>
      <c r="D194" s="21">
        <f>AVERAGE(Data_nieuwveer!AX194,Data_nieuwveer!BB194,Data_nieuwveer!BF194)</f>
        <v>2.7530000000000001</v>
      </c>
      <c r="E194">
        <f>Data_nieuwveer!BJ194</f>
        <v>3.2679999999999998</v>
      </c>
      <c r="F194">
        <f t="shared" si="13"/>
        <v>2.9710885005836372</v>
      </c>
      <c r="G194" s="21"/>
      <c r="O194">
        <f t="shared" si="11"/>
        <v>2.5278941176470586</v>
      </c>
      <c r="P194" s="23">
        <f t="shared" si="14"/>
        <v>2.3200705791322234</v>
      </c>
      <c r="Q194" s="24"/>
      <c r="R194" s="23"/>
      <c r="S194" s="54"/>
      <c r="T194" s="54"/>
      <c r="U194" s="54"/>
      <c r="V194" s="54"/>
      <c r="W194" s="54"/>
      <c r="X194" s="50"/>
      <c r="Y194" s="50"/>
      <c r="Z194" s="54"/>
      <c r="AA194" s="55"/>
      <c r="AB194" s="41">
        <f>D$3/(Data_nieuwveer!AQ194*N$3)</f>
        <v>0.22218930253901942</v>
      </c>
      <c r="AC194" s="53">
        <f>(D$2+D$3)/(Data_nieuwveer!AQ194)</f>
        <v>0.23086084695251188</v>
      </c>
    </row>
    <row r="195" spans="1:32" x14ac:dyDescent="0.3">
      <c r="A195" s="2">
        <f>Data_nieuwveer!A195</f>
        <v>41734</v>
      </c>
      <c r="B195" s="52"/>
      <c r="C195" s="21"/>
      <c r="D195" s="21">
        <f>AVERAGE(Data_nieuwveer!AX195,Data_nieuwveer!BB195,Data_nieuwveer!BF195)</f>
        <v>2.7570000000000001</v>
      </c>
      <c r="E195">
        <f>Data_nieuwveer!BJ195</f>
        <v>3.26</v>
      </c>
      <c r="F195">
        <f t="shared" si="13"/>
        <v>2.9700068267836297</v>
      </c>
      <c r="G195" s="21"/>
      <c r="O195">
        <f t="shared" si="11"/>
        <v>2.5217058823529412</v>
      </c>
      <c r="P195" s="23">
        <f t="shared" si="14"/>
        <v>2.3192259191501585</v>
      </c>
      <c r="Q195" s="24"/>
      <c r="R195" s="23"/>
      <c r="S195" s="54"/>
      <c r="T195" s="54"/>
      <c r="U195" s="54"/>
      <c r="V195" s="54"/>
      <c r="W195" s="54"/>
      <c r="X195" s="50"/>
      <c r="Y195" s="50"/>
      <c r="Z195" s="54"/>
      <c r="AA195" s="55"/>
      <c r="AB195" s="41">
        <f>D$3/(Data_nieuwveer!AQ195*N$3)</f>
        <v>0.22409788248091406</v>
      </c>
      <c r="AC195" s="53">
        <f>(D$2+D$3)/(Data_nieuwveer!AQ195)</f>
        <v>0.23284391443968303</v>
      </c>
    </row>
    <row r="196" spans="1:32" x14ac:dyDescent="0.3">
      <c r="A196" s="2">
        <f>Data_nieuwveer!A196</f>
        <v>41735</v>
      </c>
      <c r="B196" s="52"/>
      <c r="C196" s="21"/>
      <c r="D196" s="21">
        <f>AVERAGE(Data_nieuwveer!AX196,Data_nieuwveer!BB196,Data_nieuwveer!BF196)</f>
        <v>2.8266666666666667</v>
      </c>
      <c r="E196">
        <f>Data_nieuwveer!BJ196</f>
        <v>3.1880000000000002</v>
      </c>
      <c r="F196">
        <f t="shared" si="13"/>
        <v>2.979681511089102</v>
      </c>
      <c r="G196" s="21"/>
      <c r="O196">
        <f t="shared" si="11"/>
        <v>2.4660117647058826</v>
      </c>
      <c r="P196" s="23">
        <f t="shared" si="14"/>
        <v>2.3267807093945789</v>
      </c>
      <c r="Q196" s="24"/>
      <c r="R196" s="23"/>
      <c r="S196" s="54"/>
      <c r="T196" s="54"/>
      <c r="U196" s="54"/>
      <c r="V196" s="54"/>
      <c r="W196" s="54"/>
      <c r="X196" s="50"/>
      <c r="Y196" s="50"/>
      <c r="Z196" s="54"/>
      <c r="AA196" s="55"/>
      <c r="AB196" s="41">
        <f>D$3/(Data_nieuwveer!AQ196*N$3)</f>
        <v>0.22111783153517794</v>
      </c>
      <c r="AC196" s="53">
        <f>(D$2+D$3)/(Data_nieuwveer!AQ196)</f>
        <v>0.2297475588661583</v>
      </c>
    </row>
    <row r="197" spans="1:32" x14ac:dyDescent="0.3">
      <c r="A197" s="2">
        <f>Data_nieuwveer!A197</f>
        <v>41736</v>
      </c>
      <c r="B197" s="52"/>
      <c r="C197" s="21"/>
      <c r="D197" s="21">
        <f>AVERAGE(Data_nieuwveer!AX197,Data_nieuwveer!BB197,Data_nieuwveer!BF197)</f>
        <v>2.7766666666666668</v>
      </c>
      <c r="E197">
        <f>Data_nieuwveer!BJ197</f>
        <v>2.96</v>
      </c>
      <c r="F197">
        <f t="shared" si="13"/>
        <v>2.8543033497223305</v>
      </c>
      <c r="G197" s="21"/>
      <c r="O197">
        <f t="shared" si="11"/>
        <v>2.2896470588235296</v>
      </c>
      <c r="P197" s="23">
        <f t="shared" si="14"/>
        <v>2.2288751157390556</v>
      </c>
      <c r="Q197" s="24"/>
      <c r="R197" s="23"/>
      <c r="S197" s="54"/>
      <c r="T197" s="54"/>
      <c r="U197" s="54"/>
      <c r="V197" s="54"/>
      <c r="W197" s="54"/>
      <c r="X197" s="50"/>
      <c r="Y197" s="50"/>
      <c r="Z197" s="54"/>
      <c r="AA197" s="55"/>
      <c r="AB197" s="41">
        <f>D$3/(Data_nieuwveer!AQ197*N$3)</f>
        <v>0.19860360366338381</v>
      </c>
      <c r="AC197" s="53">
        <f>(D$2+D$3)/(Data_nieuwveer!AQ197)</f>
        <v>0.20635465175690865</v>
      </c>
    </row>
    <row r="198" spans="1:32" x14ac:dyDescent="0.3">
      <c r="A198" s="2">
        <f>Data_nieuwveer!A198</f>
        <v>41737</v>
      </c>
      <c r="B198" s="52">
        <f>Data_nieuwveer!AS198/Data_nieuwveer!AR198</f>
        <v>0.38571428571428573</v>
      </c>
      <c r="C198" s="21">
        <f>Data_nieuwveer!AR198*B$8</f>
        <v>77.557802829354557</v>
      </c>
      <c r="D198" s="21">
        <f>AVERAGE(Data_nieuwveer!AX198,Data_nieuwveer!BB198,Data_nieuwveer!BF198)</f>
        <v>2.581</v>
      </c>
      <c r="E198">
        <f>Data_nieuwveer!BJ198</f>
        <v>3.2949999999999999</v>
      </c>
      <c r="F198">
        <f t="shared" si="13"/>
        <v>2.8833595911004211</v>
      </c>
      <c r="G198" s="21">
        <f>IF(ISBLANK(Data_nieuwveer!AY198),0,AVERAGE(Data_nieuwveer!AX198*(1-Data_nieuwveer!AY198/100),Data_nieuwveer!BB198*(1-Data_nieuwveer!BC198/100),Data_nieuwveer!BF198*(1-Data_nieuwveer!BG198/100)))</f>
        <v>2.0306933333333332</v>
      </c>
      <c r="H198">
        <f>IF(ISBLANK(Data_nieuwveer!BK198),0,Data_nieuwveer!BJ198*(1-Data_nieuwveer!BK198/100))</f>
        <v>2.4053499999999999</v>
      </c>
      <c r="I198">
        <f t="shared" si="15"/>
        <v>0.74799759470835836</v>
      </c>
      <c r="J198">
        <f>(Data_nieuwveer!AX198*(1-Data_nieuwveer!AY198/100)/Data_nieuwveer!AX198)</f>
        <v>0.78</v>
      </c>
      <c r="K198">
        <f>(Data_nieuwveer!BB198*(1-Data_nieuwveer!BC198/100)/Data_nieuwveer!BB198)</f>
        <v>0.79</v>
      </c>
      <c r="L198">
        <f>(Data_nieuwveer!BF198*(1-Data_nieuwveer!BG198/100)/Data_nieuwveer!BF198)</f>
        <v>0.79</v>
      </c>
      <c r="M198">
        <f>(Data_nieuwveer!BJ198*(1-Data_nieuwveer!BK198/100)/Data_nieuwveer!BJ198)</f>
        <v>0.73</v>
      </c>
      <c r="N198">
        <f t="shared" si="16"/>
        <v>0.77250000000000008</v>
      </c>
      <c r="O198">
        <f t="shared" si="11"/>
        <v>2.548779411764706</v>
      </c>
      <c r="P198" s="23">
        <f t="shared" si="14"/>
        <v>2.2515646218740057</v>
      </c>
      <c r="Q198" s="24">
        <f>'Edited data B'!C198*Data_nieuwveer!AQ198*$N$3/($D$3*O198*1000)</f>
        <v>0.15305516019854321</v>
      </c>
      <c r="R198" s="23">
        <f>'Edited data B'!C198*Data_nieuwveer!AQ198/($D$4*P198*1000)</f>
        <v>0.16675108622408308</v>
      </c>
      <c r="S198" s="54">
        <f>IF(ISBLANK(Data_nieuwveer!BZ198),0,Data_nieuwveer!AX198*(D$2/3+H$2/3)/(Data_nieuwveer!AZ198*Data_nieuwveer!BA198+(Data_nieuwveer!F198+Data_nieuwveer!BP198)*N$2/3*Data_nieuwveer!BZ198/1000))</f>
        <v>42.828598731517786</v>
      </c>
      <c r="T198" s="54">
        <f>IF(ISBLANK(Data_nieuwveer!BZ198),0,Data_nieuwveer!BB198*(D$2/3+H$2/3)/(Data_nieuwveer!BD198*Data_nieuwveer!BE198+(Data_nieuwveer!F198+Data_nieuwveer!BP198)*N$2/3*Data_nieuwveer!BZ198/1000))</f>
        <v>59.326606394371183</v>
      </c>
      <c r="U198" s="54">
        <f>IF(ISBLANK(Data_nieuwveer!BZ198),0,Data_nieuwveer!BF198*(D$2/3+H$2/3)/(Data_nieuwveer!BH198*Data_nieuwveer!BI198+(Data_nieuwveer!F198+Data_nieuwveer!BP198)*N$2/3*Data_nieuwveer!BZ198/1000))</f>
        <v>39.079856316163443</v>
      </c>
      <c r="V198" s="54">
        <f t="shared" si="17"/>
        <v>47.078353814017476</v>
      </c>
      <c r="W198" s="54">
        <f t="shared" si="18"/>
        <v>22.278259408723713</v>
      </c>
      <c r="X198" s="50">
        <f>IF(ISBLANK(Data_nieuwveer!BZ198),0,Data_nieuwveer!BJ198*(D$3+H$3)/(Data_nieuwveer!BM198*Data_nieuwveer!BN198+(Data_nieuwveer!F198+Data_nieuwveer!BP198)*N$3*Data_nieuwveer!BZ198/1000))</f>
        <v>24.926433074375488</v>
      </c>
      <c r="Y198" s="50">
        <f t="shared" si="19"/>
        <v>11.956857791747069</v>
      </c>
      <c r="Z198" s="54">
        <f t="shared" si="20"/>
        <v>7.1741146750482416</v>
      </c>
      <c r="AA198" s="55">
        <f>IF(ISBLANK(Data_nieuwveer!BZ198),0,'Edited data B'!P198*(D$2+H$2+D$3+H$3)/((Data_nieuwveer!AZ198*Data_nieuwveer!BA198+Data_nieuwveer!BD198*Data_nieuwveer!BE198+Data_nieuwveer!BH198*Data_nieuwveer!BI198+Data_nieuwveer!BM198*Data_nieuwveer!BN198)+(Data_nieuwveer!F198+Data_nieuwveer!BP198)*Data_nieuwveer!BZ198/1000))</f>
        <v>25.557982858955878</v>
      </c>
      <c r="AB198" s="41">
        <f>D$3/(Data_nieuwveer!AQ198*N$3)</f>
        <v>0.19881322520453504</v>
      </c>
      <c r="AC198" s="53">
        <f>(D$2+D$3)/(Data_nieuwveer!AQ198)</f>
        <v>0.20657245435125796</v>
      </c>
      <c r="AD198">
        <f>((E198-E197)*($D$3+H$3)+(Data_nieuwveer!F198+Data_nieuwveer!BP198)*N$3*Data_nieuwveer!BZ198/1000+Data_nieuwveer!BM198*Data_nieuwveer!BN198)/(Data_nieuwveer!AQ198*N$3*Data_nieuwveer!AR198/1000-((Data_nieuwveer!F198+Data_nieuwveer!BP198)*N$3+Data_nieuwveer!BM198)*Data_nieuwveer!BR198/1000/$P$2)</f>
        <v>1.1159004010091869</v>
      </c>
      <c r="AE198">
        <f>((F198-F197)*(D$2+H$2+$D$3+H$3)+(Data_nieuwveer!F198+Data_nieuwveer!BP198)*Data_nieuwveer!BZ198/1000+(Data_nieuwveer!AZ198*Data_nieuwveer!BA198+Data_nieuwveer!BD198*Data_nieuwveer!BE198+Data_nieuwveer!BH198*Data_nieuwveer!BI198+Data_nieuwveer!BM198*Data_nieuwveer!BN198))/(Data_nieuwveer!AQ198*Data_nieuwveer!AR198/1000-((Data_nieuwveer!F198+Data_nieuwveer!BP198)+Data_nieuwveer!AZ198+Data_nieuwveer!BD198+Data_nieuwveer!BH198+Data_nieuwveer!BM198)*Data_nieuwveer!BR198/1000/$P$2)</f>
        <v>0.29274478505356016</v>
      </c>
      <c r="AF198">
        <f>(Data_nieuwveer!AQ198*Data_nieuwveer!AR198-(Data_nieuwveer!BP198+Data_nieuwveer!F198)*Data_nieuwveer!BR198)/(Data_nieuwveer!AQ198*Data_nieuwveer!AR198)</f>
        <v>0.79828661261289569</v>
      </c>
    </row>
    <row r="199" spans="1:32" x14ac:dyDescent="0.3">
      <c r="A199" s="2">
        <f>Data_nieuwveer!A199</f>
        <v>41738</v>
      </c>
      <c r="B199" s="52"/>
      <c r="C199" s="21"/>
      <c r="D199" s="21">
        <f>AVERAGE(Data_nieuwveer!AX199,Data_nieuwveer!BB199,Data_nieuwveer!BF199)</f>
        <v>2.581</v>
      </c>
      <c r="E199">
        <f>Data_nieuwveer!BJ199</f>
        <v>3.2949999999999999</v>
      </c>
      <c r="F199">
        <f t="shared" si="13"/>
        <v>2.8833595911004211</v>
      </c>
      <c r="G199" s="21"/>
      <c r="O199">
        <f t="shared" si="11"/>
        <v>2.548779411764706</v>
      </c>
      <c r="P199" s="23">
        <f t="shared" si="14"/>
        <v>2.2515646218740057</v>
      </c>
      <c r="Q199" s="24"/>
      <c r="R199" s="23"/>
      <c r="S199" s="54"/>
      <c r="T199" s="54"/>
      <c r="U199" s="54"/>
      <c r="V199" s="54"/>
      <c r="W199" s="54"/>
      <c r="X199" s="50"/>
      <c r="Y199" s="50"/>
      <c r="Z199" s="54"/>
      <c r="AA199" s="55"/>
      <c r="AB199" s="41">
        <f>D$3/(Data_nieuwveer!AQ199*N$3)</f>
        <v>0.19834930040783547</v>
      </c>
      <c r="AC199" s="53">
        <f>(D$2+D$3)/(Data_nieuwveer!AQ199)</f>
        <v>0.20609042362221544</v>
      </c>
    </row>
    <row r="200" spans="1:32" x14ac:dyDescent="0.3">
      <c r="A200" s="2">
        <f>Data_nieuwveer!A200</f>
        <v>41739</v>
      </c>
      <c r="B200" s="52"/>
      <c r="C200" s="21"/>
      <c r="D200" s="21">
        <f>AVERAGE(Data_nieuwveer!AX200,Data_nieuwveer!BB200,Data_nieuwveer!BF200)</f>
        <v>2.9933333333333336</v>
      </c>
      <c r="E200">
        <f>Data_nieuwveer!BJ200</f>
        <v>3.28</v>
      </c>
      <c r="F200">
        <f t="shared" si="13"/>
        <v>3.1147288741112802</v>
      </c>
      <c r="G200" s="21"/>
      <c r="O200">
        <f t="shared" si="11"/>
        <v>2.5371764705882351</v>
      </c>
      <c r="P200" s="23">
        <f t="shared" si="14"/>
        <v>2.4322368119898385</v>
      </c>
      <c r="Q200" s="24"/>
      <c r="R200" s="23"/>
      <c r="S200" s="54"/>
      <c r="T200" s="54"/>
      <c r="U200" s="54"/>
      <c r="V200" s="54"/>
      <c r="W200" s="54"/>
      <c r="X200" s="50"/>
      <c r="Y200" s="50"/>
      <c r="Z200" s="54"/>
      <c r="AA200" s="55"/>
      <c r="AB200" s="41">
        <f>D$3/(Data_nieuwveer!AQ200*N$3)</f>
        <v>0.19793482488323136</v>
      </c>
      <c r="AC200" s="53">
        <f>(D$2+D$3)/(Data_nieuwveer!AQ200)</f>
        <v>0.20565977205817632</v>
      </c>
    </row>
    <row r="201" spans="1:32" x14ac:dyDescent="0.3">
      <c r="A201" s="2">
        <f>Data_nieuwveer!A201</f>
        <v>41740</v>
      </c>
      <c r="B201" s="52"/>
      <c r="C201" s="21"/>
      <c r="D201" s="21">
        <f>AVERAGE(Data_nieuwveer!AX201,Data_nieuwveer!BB201,Data_nieuwveer!BF201)</f>
        <v>3.0436666666666667</v>
      </c>
      <c r="E201">
        <f>Data_nieuwveer!BJ201</f>
        <v>3.2330000000000001</v>
      </c>
      <c r="F201">
        <f t="shared" si="13"/>
        <v>3.1238441866223337</v>
      </c>
      <c r="G201" s="21"/>
      <c r="O201">
        <f t="shared" si="11"/>
        <v>2.5008205882352943</v>
      </c>
      <c r="P201" s="23">
        <f t="shared" si="14"/>
        <v>2.439354798671264</v>
      </c>
      <c r="Q201" s="24"/>
      <c r="R201" s="23"/>
      <c r="S201" s="54"/>
      <c r="T201" s="54"/>
      <c r="U201" s="54"/>
      <c r="V201" s="54"/>
      <c r="W201" s="54"/>
      <c r="X201" s="50"/>
      <c r="Y201" s="50"/>
      <c r="Z201" s="54"/>
      <c r="AA201" s="55"/>
      <c r="AB201" s="41">
        <f>D$3/(Data_nieuwveer!AQ201*N$3)</f>
        <v>0.19812060136519855</v>
      </c>
      <c r="AC201" s="53">
        <f>(D$2+D$3)/(Data_nieuwveer!AQ201)</f>
        <v>0.20585279897477718</v>
      </c>
    </row>
    <row r="202" spans="1:32" x14ac:dyDescent="0.3">
      <c r="A202" s="2">
        <f>Data_nieuwveer!A202</f>
        <v>41741</v>
      </c>
      <c r="B202" s="52"/>
      <c r="C202" s="21"/>
      <c r="D202" s="21">
        <f>AVERAGE(Data_nieuwveer!AX202,Data_nieuwveer!BB202,Data_nieuwveer!BF202)</f>
        <v>3.1766666666666663</v>
      </c>
      <c r="E202">
        <f>Data_nieuwveer!BJ202</f>
        <v>3.1429999999999998</v>
      </c>
      <c r="F202">
        <f t="shared" si="13"/>
        <v>3.1624097485055351</v>
      </c>
      <c r="G202" s="21"/>
      <c r="O202">
        <f t="shared" ref="O202:O220" si="21">M$8*E202</f>
        <v>2.4312029411764704</v>
      </c>
      <c r="P202" s="23">
        <f t="shared" si="14"/>
        <v>2.469469965377117</v>
      </c>
      <c r="Q202" s="24"/>
      <c r="R202" s="23"/>
      <c r="S202" s="54"/>
      <c r="T202" s="54"/>
      <c r="U202" s="54"/>
      <c r="V202" s="54"/>
      <c r="W202" s="54"/>
      <c r="X202" s="50"/>
      <c r="Y202" s="50"/>
      <c r="Z202" s="54"/>
      <c r="AA202" s="55"/>
      <c r="AB202" s="41">
        <f>D$3/(Data_nieuwveer!AQ202*N$3)</f>
        <v>0.22303433347606788</v>
      </c>
      <c r="AC202" s="53">
        <f>(D$2+D$3)/(Data_nieuwveer!AQ202)</f>
        <v>0.23173885752997347</v>
      </c>
    </row>
    <row r="203" spans="1:32" x14ac:dyDescent="0.3">
      <c r="A203" s="2">
        <f>Data_nieuwveer!A203</f>
        <v>41742</v>
      </c>
      <c r="B203" s="52"/>
      <c r="C203" s="21"/>
      <c r="D203" s="21">
        <f>AVERAGE(Data_nieuwveer!AX203,Data_nieuwveer!BB203,Data_nieuwveer!BF203)</f>
        <v>3.325333333333333</v>
      </c>
      <c r="E203">
        <f>Data_nieuwveer!BJ203</f>
        <v>3.0539999999999998</v>
      </c>
      <c r="F203">
        <f t="shared" si="13"/>
        <v>3.210431042410951</v>
      </c>
      <c r="G203" s="21"/>
      <c r="O203">
        <f t="shared" si="21"/>
        <v>2.3623588235294117</v>
      </c>
      <c r="P203" s="23">
        <f t="shared" si="14"/>
        <v>2.5069689463532581</v>
      </c>
      <c r="Q203" s="24"/>
      <c r="R203" s="23"/>
      <c r="S203" s="54"/>
      <c r="T203" s="54"/>
      <c r="U203" s="54"/>
      <c r="V203" s="54"/>
      <c r="W203" s="54"/>
      <c r="X203" s="50"/>
      <c r="Y203" s="50"/>
      <c r="Z203" s="54"/>
      <c r="AA203" s="55"/>
      <c r="AB203" s="41">
        <f>D$3/(Data_nieuwveer!AQ203*N$3)</f>
        <v>0.223281794593473</v>
      </c>
      <c r="AC203" s="53">
        <f>(D$2+D$3)/(Data_nieuwveer!AQ203)</f>
        <v>0.23199597649339398</v>
      </c>
    </row>
    <row r="204" spans="1:32" x14ac:dyDescent="0.3">
      <c r="A204" s="2">
        <f>Data_nieuwveer!A204</f>
        <v>41743</v>
      </c>
      <c r="B204" s="52"/>
      <c r="C204" s="21">
        <f>Data_nieuwveer!AR204*B$8</f>
        <v>48.01197318007663</v>
      </c>
      <c r="D204" s="21">
        <f>AVERAGE(Data_nieuwveer!AX204,Data_nieuwveer!BB204,Data_nieuwveer!BF204)</f>
        <v>2.9633333333333334</v>
      </c>
      <c r="E204">
        <f>Data_nieuwveer!BJ204</f>
        <v>2.78</v>
      </c>
      <c r="F204">
        <f t="shared" si="13"/>
        <v>2.8856966502776698</v>
      </c>
      <c r="G204" s="21"/>
      <c r="O204">
        <f t="shared" si="21"/>
        <v>2.1504117647058822</v>
      </c>
      <c r="P204" s="23">
        <f t="shared" si="14"/>
        <v>2.2533895901432985</v>
      </c>
      <c r="Q204" s="24">
        <f>'Edited data B'!C204*Data_nieuwveer!AQ204*$N$3/($D$3*O204*1000)</f>
        <v>9.9561451807273604E-2</v>
      </c>
      <c r="R204" s="23">
        <f>'Edited data B'!C204*Data_nieuwveer!AQ204/($D$4*P204*1000)</f>
        <v>9.1442781015186117E-2</v>
      </c>
      <c r="S204" s="54">
        <f>IF(ISBLANK(Data_nieuwveer!BZ204),0,Data_nieuwveer!AX204*(D$2/3+H$2/3)/(Data_nieuwveer!AZ204*Data_nieuwveer!BA204+(Data_nieuwveer!F204+Data_nieuwveer!BP204)*N$2/3*Data_nieuwveer!BZ204/1000))</f>
        <v>42.409846249708437</v>
      </c>
      <c r="T204" s="54">
        <f>IF(ISBLANK(Data_nieuwveer!BZ204),0,Data_nieuwveer!BB204*(D$2/3+H$2/3)/(Data_nieuwveer!BD204*Data_nieuwveer!BE204+(Data_nieuwveer!F204+Data_nieuwveer!BP204)*N$2/3*Data_nieuwveer!BZ204/1000))</f>
        <v>28.390282120341748</v>
      </c>
      <c r="U204" s="54">
        <f>IF(ISBLANK(Data_nieuwveer!BZ204),0,Data_nieuwveer!BF204*(D$2/3+H$2/3)/(Data_nieuwveer!BH204*Data_nieuwveer!BI204+(Data_nieuwveer!F204+Data_nieuwveer!BP204)*N$2/3*Data_nieuwveer!BZ204/1000))</f>
        <v>29.350753906870228</v>
      </c>
      <c r="V204" s="54">
        <f t="shared" si="17"/>
        <v>33.383627425640135</v>
      </c>
      <c r="W204" s="54">
        <f t="shared" si="18"/>
        <v>15.797687292352833</v>
      </c>
      <c r="X204" s="50">
        <f>IF(ISBLANK(Data_nieuwveer!BZ204),0,Data_nieuwveer!BJ204*(D$3+H$3)/(Data_nieuwveer!BM204*Data_nieuwveer!BN204+(Data_nieuwveer!F204+Data_nieuwveer!BP204)*N$3*Data_nieuwveer!BZ204/1000))</f>
        <v>25.360199351830442</v>
      </c>
      <c r="Y204" s="50">
        <f t="shared" si="19"/>
        <v>12.164929346907366</v>
      </c>
      <c r="Z204" s="54">
        <f t="shared" si="20"/>
        <v>7.298957608144419</v>
      </c>
      <c r="AA204" s="55">
        <f>IF(ISBLANK(Data_nieuwveer!BZ204),0,'Edited data B'!P204*(D$2+H$2+D$3+H$3)/((Data_nieuwveer!AZ204*Data_nieuwveer!BA204+Data_nieuwveer!BD204*Data_nieuwveer!BE204+Data_nieuwveer!BH204*Data_nieuwveer!BI204+Data_nieuwveer!BM204*Data_nieuwveer!BN204)+(Data_nieuwveer!F204+Data_nieuwveer!BP204)*Data_nieuwveer!BZ204/1000))</f>
        <v>22.633654844916332</v>
      </c>
      <c r="AB204" s="41">
        <f>D$3/(Data_nieuwveer!AQ204*N$3)</f>
        <v>0.22425219703279053</v>
      </c>
      <c r="AC204" s="53">
        <f>(D$2+D$3)/(Data_nieuwveer!AQ204)</f>
        <v>0.23300425153843712</v>
      </c>
      <c r="AD204">
        <f>((E204-E203)*($D$3+H$3)+(Data_nieuwveer!F204+Data_nieuwveer!BP204)*N$3*Data_nieuwveer!BZ204/1000+Data_nieuwveer!BM204*Data_nieuwveer!BN204)/(Data_nieuwveer!AQ204*N$3*Data_nieuwveer!AR204/1000-((Data_nieuwveer!F204+Data_nieuwveer!BP204)*N$3+Data_nieuwveer!BM204)*Data_nieuwveer!BR204/1000/$P$2)</f>
        <v>-0.78579212534078902</v>
      </c>
      <c r="AE204">
        <f>((F204-F203)*(D$2+H$2+$D$3+H$3)+(Data_nieuwveer!F204+Data_nieuwveer!BP204)*Data_nieuwveer!BZ204/1000+(Data_nieuwveer!AZ204*Data_nieuwveer!BA204+Data_nieuwveer!BD204*Data_nieuwveer!BE204+Data_nieuwveer!BH204*Data_nieuwveer!BI204+Data_nieuwveer!BM204*Data_nieuwveer!BN204))/(Data_nieuwveer!AQ204*Data_nieuwveer!AR204/1000-((Data_nieuwveer!F204+Data_nieuwveer!BP204)+Data_nieuwveer!AZ204+Data_nieuwveer!BD204+Data_nieuwveer!BH204+Data_nieuwveer!BM204)*Data_nieuwveer!BR204/1000/$P$2)</f>
        <v>-1.1255743347369473</v>
      </c>
      <c r="AF204">
        <f>(Data_nieuwveer!AQ204*Data_nieuwveer!AR204-(Data_nieuwveer!BP204+Data_nieuwveer!F204)*Data_nieuwveer!BR204)/(Data_nieuwveer!AQ204*Data_nieuwveer!AR204)</f>
        <v>0.71286365764681769</v>
      </c>
    </row>
    <row r="205" spans="1:32" x14ac:dyDescent="0.3">
      <c r="A205" s="2">
        <f>Data_nieuwveer!A205</f>
        <v>41744</v>
      </c>
      <c r="B205" s="52"/>
      <c r="C205" s="21"/>
      <c r="D205" s="21">
        <f>AVERAGE(Data_nieuwveer!AX205,Data_nieuwveer!BB205,Data_nieuwveer!BF205)</f>
        <v>3.1753333333333331</v>
      </c>
      <c r="E205">
        <f>Data_nieuwveer!BJ205</f>
        <v>2.899</v>
      </c>
      <c r="F205">
        <f t="shared" si="13"/>
        <v>3.0583136783276146</v>
      </c>
      <c r="G205" s="21"/>
      <c r="O205">
        <f t="shared" si="21"/>
        <v>2.2424617647058827</v>
      </c>
      <c r="P205" s="23">
        <f t="shared" si="14"/>
        <v>2.3881831811646528</v>
      </c>
      <c r="Q205" s="24"/>
      <c r="R205" s="23"/>
      <c r="S205" s="54"/>
      <c r="T205" s="54"/>
      <c r="U205" s="54"/>
      <c r="V205" s="54"/>
      <c r="W205" s="54"/>
      <c r="X205" s="50"/>
      <c r="Y205" s="50"/>
      <c r="Z205" s="54"/>
      <c r="AA205" s="55"/>
      <c r="AB205" s="41">
        <f>D$3/(Data_nieuwveer!AQ205*N$3)</f>
        <v>0.21821564780446476</v>
      </c>
      <c r="AC205" s="53">
        <f>(D$2+D$3)/(Data_nieuwveer!AQ205)</f>
        <v>0.22673210948840716</v>
      </c>
    </row>
    <row r="206" spans="1:32" x14ac:dyDescent="0.3">
      <c r="A206" s="2">
        <f>Data_nieuwveer!A206</f>
        <v>41745</v>
      </c>
      <c r="B206" s="52"/>
      <c r="C206" s="21"/>
      <c r="D206" s="21">
        <f>AVERAGE(Data_nieuwveer!AX206,Data_nieuwveer!BB206,Data_nieuwveer!BF206)</f>
        <v>3.1329999999999996</v>
      </c>
      <c r="E206">
        <f>Data_nieuwveer!BJ206</f>
        <v>2.802</v>
      </c>
      <c r="F206">
        <f t="shared" si="13"/>
        <v>2.9928304976831379</v>
      </c>
      <c r="G206" s="21"/>
      <c r="O206">
        <f t="shared" si="21"/>
        <v>2.1674294117647062</v>
      </c>
      <c r="P206" s="23">
        <f t="shared" si="14"/>
        <v>2.3370485209849217</v>
      </c>
      <c r="Q206" s="24"/>
      <c r="R206" s="23"/>
      <c r="S206" s="54"/>
      <c r="T206" s="54"/>
      <c r="U206" s="54"/>
      <c r="V206" s="54"/>
      <c r="W206" s="54"/>
      <c r="X206" s="50"/>
      <c r="Y206" s="50"/>
      <c r="Z206" s="54"/>
      <c r="AA206" s="55"/>
      <c r="AB206" s="41">
        <f>D$3/(Data_nieuwveer!AQ206*N$3)</f>
        <v>0.22207233555582506</v>
      </c>
      <c r="AC206" s="53">
        <f>(D$2+D$3)/(Data_nieuwveer!AQ206)</f>
        <v>0.23073931501331785</v>
      </c>
    </row>
    <row r="207" spans="1:32" x14ac:dyDescent="0.3">
      <c r="A207" s="2">
        <f>Data_nieuwveer!A207</f>
        <v>41746</v>
      </c>
      <c r="B207" s="52"/>
      <c r="C207" s="21"/>
      <c r="D207" s="21">
        <f>AVERAGE(Data_nieuwveer!AX207,Data_nieuwveer!BB207,Data_nieuwveer!BF207)</f>
        <v>3.23</v>
      </c>
      <c r="E207">
        <f>Data_nieuwveer!BJ207</f>
        <v>2.72</v>
      </c>
      <c r="F207">
        <f t="shared" si="13"/>
        <v>3.0140288634996995</v>
      </c>
      <c r="G207" s="21"/>
      <c r="O207">
        <f>M$8*E207</f>
        <v>2.1040000000000001</v>
      </c>
      <c r="P207" s="23">
        <f t="shared" si="14"/>
        <v>2.3536019507622661</v>
      </c>
      <c r="Q207" s="24"/>
      <c r="R207" s="23"/>
      <c r="S207" s="54"/>
      <c r="T207" s="54"/>
      <c r="U207" s="54"/>
      <c r="V207" s="54"/>
      <c r="W207" s="54"/>
      <c r="X207" s="50"/>
      <c r="Y207" s="50"/>
      <c r="Z207" s="54"/>
      <c r="AA207" s="55"/>
      <c r="AB207" s="41">
        <f>D$3/(Data_nieuwveer!AQ207*N$3)</f>
        <v>0.21674002731231384</v>
      </c>
      <c r="AC207" s="53">
        <f>(D$2+D$3)/(Data_nieuwveer!AQ207)</f>
        <v>0.22519889887607977</v>
      </c>
    </row>
    <row r="208" spans="1:32" x14ac:dyDescent="0.3">
      <c r="A208" s="2">
        <f>Data_nieuwveer!A208</f>
        <v>41747</v>
      </c>
      <c r="B208" s="52"/>
      <c r="C208" s="21"/>
      <c r="D208" s="21">
        <f>AVERAGE(Data_nieuwveer!AX208,Data_nieuwveer!BB208,Data_nieuwveer!BF208)</f>
        <v>2.97</v>
      </c>
      <c r="E208">
        <f>Data_nieuwveer!BJ208</f>
        <v>2.6480000000000001</v>
      </c>
      <c r="F208">
        <f t="shared" si="13"/>
        <v>2.8336417530331435</v>
      </c>
      <c r="G208" s="21"/>
      <c r="O208">
        <f t="shared" si="21"/>
        <v>2.0483058823529414</v>
      </c>
      <c r="P208" s="23">
        <f t="shared" si="14"/>
        <v>2.2127408395008819</v>
      </c>
      <c r="Q208" s="24"/>
      <c r="R208" s="23"/>
      <c r="S208" s="54"/>
      <c r="T208" s="54"/>
      <c r="U208" s="54"/>
      <c r="V208" s="54"/>
      <c r="W208" s="54"/>
      <c r="X208" s="50"/>
      <c r="Y208" s="50"/>
      <c r="Z208" s="54"/>
      <c r="AA208" s="55"/>
      <c r="AB208" s="41">
        <f>D$3/(Data_nieuwveer!AQ208*N$3)</f>
        <v>0.21935520627262137</v>
      </c>
      <c r="AC208" s="53">
        <f>(D$2+D$3)/(Data_nieuwveer!AQ208)</f>
        <v>0.22791614233834304</v>
      </c>
    </row>
    <row r="209" spans="1:32" x14ac:dyDescent="0.3">
      <c r="A209" s="2">
        <f>Data_nieuwveer!A209</f>
        <v>41748</v>
      </c>
      <c r="B209" s="52"/>
      <c r="C209" s="21"/>
      <c r="D209" s="21">
        <f>AVERAGE(Data_nieuwveer!AX209,Data_nieuwveer!BB209,Data_nieuwveer!BF209)</f>
        <v>2.9906666666666664</v>
      </c>
      <c r="E209">
        <f>Data_nieuwveer!BJ209</f>
        <v>2.5859999999999999</v>
      </c>
      <c r="F209">
        <f t="shared" si="13"/>
        <v>2.8193013335219836</v>
      </c>
      <c r="G209" s="21"/>
      <c r="O209">
        <f t="shared" si="21"/>
        <v>2.0003470588235293</v>
      </c>
      <c r="P209" s="23">
        <f t="shared" si="14"/>
        <v>2.2015426589708436</v>
      </c>
      <c r="Q209" s="24"/>
      <c r="R209" s="23"/>
      <c r="S209" s="54"/>
      <c r="T209" s="54"/>
      <c r="U209" s="54"/>
      <c r="V209" s="54"/>
      <c r="W209" s="54"/>
      <c r="X209" s="50"/>
      <c r="Y209" s="50"/>
      <c r="Z209" s="54"/>
      <c r="AA209" s="55"/>
      <c r="AB209" s="41">
        <f>D$3/(Data_nieuwveer!AQ209*N$3)</f>
        <v>0.22034899806360864</v>
      </c>
      <c r="AC209" s="53">
        <f>(D$2+D$3)/(Data_nieuwveer!AQ209)</f>
        <v>0.22894871956838983</v>
      </c>
    </row>
    <row r="210" spans="1:32" x14ac:dyDescent="0.3">
      <c r="A210" s="2">
        <f>Data_nieuwveer!A210</f>
        <v>41749</v>
      </c>
      <c r="B210" s="52"/>
      <c r="C210" s="21">
        <f>Data_nieuwveer!AR210*B$8</f>
        <v>51.705201886236374</v>
      </c>
      <c r="D210" s="21">
        <f>AVERAGE(Data_nieuwveer!AX210,Data_nieuwveer!BB210,Data_nieuwveer!BF210)</f>
        <v>2.9949999999999997</v>
      </c>
      <c r="E210">
        <f>Data_nieuwveer!BJ210</f>
        <v>2.64</v>
      </c>
      <c r="F210">
        <f t="shared" si="13"/>
        <v>2.8446671500831235</v>
      </c>
      <c r="G210" s="21">
        <f>IF(ISBLANK(Data_nieuwveer!AY210),0,AVERAGE(Data_nieuwveer!AX210*(1-Data_nieuwveer!AY210/100),Data_nieuwveer!BB210*(1-Data_nieuwveer!BC210/100),Data_nieuwveer!BF210*(1-Data_nieuwveer!BG210/100)))</f>
        <v>2.356346666666667</v>
      </c>
      <c r="H210">
        <f>IF(ISBLANK(Data_nieuwveer!BK210),0,Data_nieuwveer!BJ210*(1-Data_nieuwveer!BK210/100))</f>
        <v>2.0592000000000001</v>
      </c>
      <c r="I210">
        <f t="shared" si="15"/>
        <v>0.78211736408333643</v>
      </c>
      <c r="J210">
        <f>(Data_nieuwveer!AX210*(1-Data_nieuwveer!AY210/100)/Data_nieuwveer!AX210)</f>
        <v>0.78000000000000014</v>
      </c>
      <c r="K210">
        <f>(Data_nieuwveer!BB210*(1-Data_nieuwveer!BC210/100)/Data_nieuwveer!BB210)</f>
        <v>0.78999999999999992</v>
      </c>
      <c r="L210">
        <f>(Data_nieuwveer!BF210*(1-Data_nieuwveer!BG210/100)/Data_nieuwveer!BF210)</f>
        <v>0.79</v>
      </c>
      <c r="M210">
        <f>(Data_nieuwveer!BJ210*(1-Data_nieuwveer!BK210/100)/Data_nieuwveer!BJ210)</f>
        <v>0.78</v>
      </c>
      <c r="N210">
        <f t="shared" si="16"/>
        <v>0.78500000000000014</v>
      </c>
      <c r="O210">
        <f t="shared" si="21"/>
        <v>2.0421176470588236</v>
      </c>
      <c r="P210" s="23">
        <f t="shared" si="14"/>
        <v>2.221350377491381</v>
      </c>
      <c r="Q210" s="24">
        <f>'Edited data B'!C210*Data_nieuwveer!AQ210*$N$3/($D$3*O210*1000)</f>
        <v>0.11264649825957629</v>
      </c>
      <c r="R210" s="23">
        <f>'Edited data B'!C210*Data_nieuwveer!AQ210/($D$4*P210*1000)</f>
        <v>9.9667657054230016E-2</v>
      </c>
      <c r="S210" s="54">
        <f>IF(ISBLANK(Data_nieuwveer!BZ210),0,Data_nieuwveer!AX210*(D$2/3+H$2/3)/(Data_nieuwveer!AZ210*Data_nieuwveer!BA210+(Data_nieuwveer!F210+Data_nieuwveer!BP210)*N$2/3*Data_nieuwveer!BZ210/1000))</f>
        <v>28.683876665442224</v>
      </c>
      <c r="T210" s="54">
        <f>IF(ISBLANK(Data_nieuwveer!BZ210),0,Data_nieuwveer!BB210*(D$2/3+H$2/3)/(Data_nieuwveer!BD210*Data_nieuwveer!BE210+(Data_nieuwveer!F210+Data_nieuwveer!BP210)*N$2/3*Data_nieuwveer!BZ210/1000))</f>
        <v>29.079225401118347</v>
      </c>
      <c r="U210" s="54">
        <f>IF(ISBLANK(Data_nieuwveer!BZ210),0,Data_nieuwveer!BF210*(D$2/3+H$2/3)/(Data_nieuwveer!BH210*Data_nieuwveer!BI210+(Data_nieuwveer!F210+Data_nieuwveer!BP210)*N$2/3*Data_nieuwveer!BZ210/1000))</f>
        <v>25.637778819555034</v>
      </c>
      <c r="V210" s="54">
        <f t="shared" si="17"/>
        <v>27.800293628705202</v>
      </c>
      <c r="W210" s="54">
        <f t="shared" si="18"/>
        <v>13.155560951550855</v>
      </c>
      <c r="X210" s="50">
        <f>IF(ISBLANK(Data_nieuwveer!BZ210),0,Data_nieuwveer!BJ210*(D$3+H$3)/(Data_nieuwveer!BM210*Data_nieuwveer!BN210+(Data_nieuwveer!F210+Data_nieuwveer!BP210)*N$3*Data_nieuwveer!BZ210/1000))</f>
        <v>37.123061657592032</v>
      </c>
      <c r="Y210" s="50">
        <f t="shared" si="19"/>
        <v>17.80740821238448</v>
      </c>
      <c r="Z210" s="54">
        <f t="shared" si="20"/>
        <v>10.684444927430688</v>
      </c>
      <c r="AA210" s="55">
        <f>IF(ISBLANK(Data_nieuwveer!BZ210),0,'Edited data B'!P210*(D$2+H$2+D$3+H$3)/((Data_nieuwveer!AZ210*Data_nieuwveer!BA210+Data_nieuwveer!BD210*Data_nieuwveer!BE210+Data_nieuwveer!BH210*Data_nieuwveer!BI210+Data_nieuwveer!BM210*Data_nieuwveer!BN210)+(Data_nieuwveer!F210+Data_nieuwveer!BP210)*Data_nieuwveer!BZ210/1000))</f>
        <v>23.975656668467348</v>
      </c>
      <c r="AB210" s="41">
        <f>D$3/(Data_nieuwveer!AQ210*N$3)</f>
        <v>0.22476867432104258</v>
      </c>
      <c r="AC210" s="53">
        <f>(D$2+D$3)/(Data_nieuwveer!AQ210)</f>
        <v>0.23354088576355544</v>
      </c>
      <c r="AD210">
        <f>((E210-E209)*($D$3+H$3)+(Data_nieuwveer!F210+Data_nieuwveer!BP210)*N$3*Data_nieuwveer!BZ210/1000+Data_nieuwveer!BM210*Data_nieuwveer!BN210)/(Data_nieuwveer!AQ210*N$3*Data_nieuwveer!AR210/1000-((Data_nieuwveer!F210+Data_nieuwveer!BP210)*N$3+Data_nieuwveer!BM210)*Data_nieuwveer!BR210/1000/$P$2)</f>
        <v>0.55589504549092761</v>
      </c>
      <c r="AE210">
        <f>((F210-F209)*(D$2+H$2+$D$3+H$3)+(Data_nieuwveer!F210+Data_nieuwveer!BP210)*Data_nieuwveer!BZ210/1000+(Data_nieuwveer!AZ210*Data_nieuwveer!BA210+Data_nieuwveer!BD210*Data_nieuwveer!BE210+Data_nieuwveer!BH210*Data_nieuwveer!BI210+Data_nieuwveer!BM210*Data_nieuwveer!BN210))/(Data_nieuwveer!AQ210*Data_nieuwveer!AR210/1000-((Data_nieuwveer!F210+Data_nieuwveer!BP210)+Data_nieuwveer!AZ210+Data_nieuwveer!BD210+Data_nieuwveer!BH210+Data_nieuwveer!BM210)*Data_nieuwveer!BR210/1000/$P$2)</f>
        <v>0.54870151965750369</v>
      </c>
      <c r="AF210">
        <f>(Data_nieuwveer!AQ210*Data_nieuwveer!AR210-(Data_nieuwveer!BP210+Data_nieuwveer!F210)*Data_nieuwveer!BR210)/(Data_nieuwveer!AQ210*Data_nieuwveer!AR210)</f>
        <v>0.71332097164630237</v>
      </c>
    </row>
    <row r="211" spans="1:32" x14ac:dyDescent="0.3">
      <c r="A211" s="2">
        <f>Data_nieuwveer!A211</f>
        <v>41750</v>
      </c>
      <c r="B211" s="52"/>
      <c r="C211" s="21"/>
      <c r="D211" s="21">
        <f>AVERAGE(Data_nieuwveer!AX211,Data_nieuwveer!BB211,Data_nieuwveer!BF211)</f>
        <v>2.69</v>
      </c>
      <c r="E211">
        <f>Data_nieuwveer!BJ211</f>
        <v>2.56</v>
      </c>
      <c r="F211">
        <f t="shared" si="13"/>
        <v>2.6349485338332568</v>
      </c>
      <c r="G211" s="21"/>
      <c r="O211">
        <f t="shared" si="21"/>
        <v>1.9802352941176471</v>
      </c>
      <c r="P211" s="23">
        <f t="shared" si="14"/>
        <v>2.0575848109786175</v>
      </c>
      <c r="Q211" s="24"/>
      <c r="R211" s="23"/>
      <c r="S211" s="54"/>
      <c r="T211" s="54"/>
      <c r="U211" s="54"/>
      <c r="V211" s="54"/>
      <c r="W211" s="54"/>
      <c r="X211" s="50"/>
      <c r="Y211" s="50"/>
      <c r="Z211" s="54"/>
      <c r="AA211" s="55"/>
      <c r="AB211" s="41">
        <f>D$3/(Data_nieuwveer!AQ211*N$3)</f>
        <v>0.23232500039781678</v>
      </c>
      <c r="AC211" s="53">
        <f>(D$2+D$3)/(Data_nieuwveer!AQ211)</f>
        <v>0.24139211810462233</v>
      </c>
    </row>
    <row r="212" spans="1:32" x14ac:dyDescent="0.3">
      <c r="A212" s="2">
        <f>Data_nieuwveer!A212</f>
        <v>41751</v>
      </c>
      <c r="B212" s="52"/>
      <c r="C212" s="21"/>
      <c r="D212" s="21">
        <f>AVERAGE(Data_nieuwveer!AX212,Data_nieuwveer!BB212,Data_nieuwveer!BF212)</f>
        <v>2.9773333333333336</v>
      </c>
      <c r="E212">
        <f>Data_nieuwveer!BJ212</f>
        <v>2.6389999999999998</v>
      </c>
      <c r="F212">
        <f t="shared" si="13"/>
        <v>2.8340583636942451</v>
      </c>
      <c r="G212" s="21"/>
      <c r="O212">
        <f t="shared" si="21"/>
        <v>2.0413441176470588</v>
      </c>
      <c r="P212" s="23">
        <f t="shared" si="14"/>
        <v>2.2130661634141831</v>
      </c>
      <c r="Q212" s="24"/>
      <c r="R212" s="23"/>
      <c r="S212" s="54"/>
      <c r="T212" s="54"/>
      <c r="U212" s="54"/>
      <c r="V212" s="54"/>
      <c r="W212" s="54"/>
      <c r="X212" s="50"/>
      <c r="Y212" s="50"/>
      <c r="Z212" s="54"/>
      <c r="AA212" s="55"/>
      <c r="AB212" s="41">
        <f>D$3/(Data_nieuwveer!AQ212*N$3)</f>
        <v>0.22550403127069601</v>
      </c>
      <c r="AC212" s="53">
        <f>(D$2+D$3)/(Data_nieuwveer!AQ212)</f>
        <v>0.23430494202670335</v>
      </c>
    </row>
    <row r="213" spans="1:32" x14ac:dyDescent="0.3">
      <c r="A213" s="2">
        <f>Data_nieuwveer!A213</f>
        <v>41752</v>
      </c>
      <c r="B213" s="52"/>
      <c r="C213" s="21"/>
      <c r="D213" s="21">
        <f>AVERAGE(Data_nieuwveer!AX213,Data_nieuwveer!BB213,Data_nieuwveer!BF213)</f>
        <v>2.9430000000000001</v>
      </c>
      <c r="E213">
        <f>Data_nieuwveer!BJ213</f>
        <v>2.5920000000000001</v>
      </c>
      <c r="F213">
        <f t="shared" si="13"/>
        <v>2.7943610413497932</v>
      </c>
      <c r="G213" s="21"/>
      <c r="O213">
        <f t="shared" si="21"/>
        <v>2.004988235294118</v>
      </c>
      <c r="P213" s="23">
        <f t="shared" si="14"/>
        <v>2.1820672249363833</v>
      </c>
      <c r="Q213" s="24"/>
      <c r="R213" s="23"/>
      <c r="S213" s="54"/>
      <c r="T213" s="54"/>
      <c r="U213" s="54"/>
      <c r="V213" s="54"/>
      <c r="W213" s="54"/>
      <c r="X213" s="50"/>
      <c r="Y213" s="50"/>
      <c r="Z213" s="54"/>
      <c r="AA213" s="55"/>
      <c r="AB213" s="41">
        <f>D$3/(Data_nieuwveer!AQ213*N$3)</f>
        <v>0.22117903426715768</v>
      </c>
      <c r="AC213" s="53">
        <f>(D$2+D$3)/(Data_nieuwveer!AQ213)</f>
        <v>0.22981115020192103</v>
      </c>
    </row>
    <row r="214" spans="1:32" x14ac:dyDescent="0.3">
      <c r="A214" s="2">
        <f>Data_nieuwveer!A214</f>
        <v>41753</v>
      </c>
      <c r="B214" s="52"/>
      <c r="C214" s="21"/>
      <c r="D214" s="21">
        <f>AVERAGE(Data_nieuwveer!AX214,Data_nieuwveer!BB214,Data_nieuwveer!BF214)</f>
        <v>2.9003333333333337</v>
      </c>
      <c r="E214">
        <f>Data_nieuwveer!BJ214</f>
        <v>2.5409999999999999</v>
      </c>
      <c r="F214">
        <f t="shared" si="13"/>
        <v>2.7481654345442328</v>
      </c>
      <c r="G214" s="21"/>
      <c r="O214">
        <f t="shared" si="21"/>
        <v>1.9655382352941178</v>
      </c>
      <c r="P214" s="23">
        <f t="shared" si="14"/>
        <v>2.1459938907985117</v>
      </c>
      <c r="Q214" s="24"/>
      <c r="R214" s="23"/>
      <c r="S214" s="54"/>
      <c r="T214" s="54"/>
      <c r="U214" s="54"/>
      <c r="V214" s="54"/>
      <c r="W214" s="54"/>
      <c r="X214" s="50"/>
      <c r="Y214" s="50"/>
      <c r="Z214" s="54"/>
      <c r="AA214" s="55"/>
      <c r="AB214" s="41">
        <f>D$3/(Data_nieuwveer!AQ214*N$3)</f>
        <v>0.22106420589386866</v>
      </c>
      <c r="AC214" s="53">
        <f>(D$2+D$3)/(Data_nieuwveer!AQ214)</f>
        <v>0.22969184033772524</v>
      </c>
    </row>
    <row r="215" spans="1:32" x14ac:dyDescent="0.3">
      <c r="A215" s="2">
        <f>Data_nieuwveer!A215</f>
        <v>41754</v>
      </c>
      <c r="B215" s="52"/>
      <c r="C215" s="21"/>
      <c r="D215" s="21">
        <f>AVERAGE(Data_nieuwveer!AX215,Data_nieuwveer!BB215,Data_nieuwveer!BF215)</f>
        <v>2.9186666666666667</v>
      </c>
      <c r="E215">
        <f>Data_nieuwveer!BJ215</f>
        <v>2.552</v>
      </c>
      <c r="F215">
        <f t="shared" si="13"/>
        <v>2.763393300555339</v>
      </c>
      <c r="G215" s="21"/>
      <c r="O215">
        <f t="shared" si="21"/>
        <v>1.9740470588235295</v>
      </c>
      <c r="P215" s="23">
        <f t="shared" si="14"/>
        <v>2.1578850626395374</v>
      </c>
      <c r="Q215" s="24"/>
      <c r="R215" s="23"/>
      <c r="S215" s="54"/>
      <c r="T215" s="54"/>
      <c r="U215" s="54"/>
      <c r="V215" s="54"/>
      <c r="W215" s="54"/>
      <c r="X215" s="50"/>
      <c r="Y215" s="50"/>
      <c r="Z215" s="54"/>
      <c r="AA215" s="55"/>
      <c r="AB215" s="41">
        <f>D$3/(Data_nieuwveer!AQ215*N$3)</f>
        <v>0.22193575808839236</v>
      </c>
      <c r="AC215" s="53">
        <f>(D$2+D$3)/(Data_nieuwveer!AQ215)</f>
        <v>0.23059740723717456</v>
      </c>
    </row>
    <row r="216" spans="1:32" x14ac:dyDescent="0.3">
      <c r="A216" s="2">
        <f>Data_nieuwveer!A216</f>
        <v>41755</v>
      </c>
      <c r="B216" s="52"/>
      <c r="C216" s="21">
        <f>Data_nieuwveer!AR216*B$8</f>
        <v>59.091659298555854</v>
      </c>
      <c r="D216" s="21">
        <f>AVERAGE(Data_nieuwveer!AX216,Data_nieuwveer!BB216,Data_nieuwveer!BF216)</f>
        <v>2.9166666666666665</v>
      </c>
      <c r="E216">
        <f>Data_nieuwveer!BJ216</f>
        <v>2.5649999999999999</v>
      </c>
      <c r="F216">
        <f t="shared" si="13"/>
        <v>2.7677453928053479</v>
      </c>
      <c r="G216" s="21"/>
      <c r="O216">
        <f t="shared" si="21"/>
        <v>1.9841029411764706</v>
      </c>
      <c r="P216" s="23">
        <f t="shared" si="14"/>
        <v>2.1612835346759414</v>
      </c>
      <c r="Q216" s="24">
        <f>'Edited data B'!C216*Data_nieuwveer!AQ216*$N$3/($D$3*O216*1000)</f>
        <v>0.13127032244953771</v>
      </c>
      <c r="R216" s="23">
        <f>'Edited data B'!C216*Data_nieuwveer!AQ216/($D$4*P216*1000)</f>
        <v>0.11598234067434687</v>
      </c>
      <c r="S216" s="54">
        <f>IF(ISBLANK(Data_nieuwveer!BZ216),0,Data_nieuwveer!AX216*(D$2/3+H$2/3)/(Data_nieuwveer!AZ216*Data_nieuwveer!BA216+(Data_nieuwveer!F216+Data_nieuwveer!BP216)*N$2/3*Data_nieuwveer!BZ216/1000))</f>
        <v>22.120595001345297</v>
      </c>
      <c r="T216" s="54">
        <f>IF(ISBLANK(Data_nieuwveer!BZ216),0,Data_nieuwveer!BB216*(D$2/3+H$2/3)/(Data_nieuwveer!BD216*Data_nieuwveer!BE216+(Data_nieuwveer!F216+Data_nieuwveer!BP216)*N$2/3*Data_nieuwveer!BZ216/1000))</f>
        <v>20.926270245668487</v>
      </c>
      <c r="U216" s="54">
        <f>IF(ISBLANK(Data_nieuwveer!BZ216),0,Data_nieuwveer!BF216*(D$2/3+H$2/3)/(Data_nieuwveer!BH216*Data_nieuwveer!BI216+(Data_nieuwveer!F216+Data_nieuwveer!BP216)*N$2/3*Data_nieuwveer!BZ216/1000))</f>
        <v>25.811565818926567</v>
      </c>
      <c r="V216" s="54">
        <f t="shared" si="17"/>
        <v>22.952810355313449</v>
      </c>
      <c r="W216" s="54">
        <f t="shared" si="18"/>
        <v>10.861651307413812</v>
      </c>
      <c r="X216" s="50">
        <f>IF(ISBLANK(Data_nieuwveer!BZ216),0,Data_nieuwveer!BJ216*(D$3+H$3)/(Data_nieuwveer!BM216*Data_nieuwveer!BN216+(Data_nieuwveer!F216+Data_nieuwveer!BP216)*N$3*Data_nieuwveer!BZ216/1000))</f>
        <v>47.183640310643611</v>
      </c>
      <c r="Y216" s="50">
        <f t="shared" si="19"/>
        <v>22.633325659068245</v>
      </c>
      <c r="Z216" s="54">
        <f t="shared" si="20"/>
        <v>13.579995395440946</v>
      </c>
      <c r="AA216" s="55">
        <f>IF(ISBLANK(Data_nieuwveer!BZ216),0,'Edited data B'!P216*(D$2+H$2+D$3+H$3)/((Data_nieuwveer!AZ216*Data_nieuwveer!BA216+Data_nieuwveer!BD216*Data_nieuwveer!BE216+Data_nieuwveer!BH216*Data_nieuwveer!BI216+Data_nieuwveer!BM216*Data_nieuwveer!BN216)+(Data_nieuwveer!F216+Data_nieuwveer!BP216)*Data_nieuwveer!BZ216/1000))</f>
        <v>22.302854253675783</v>
      </c>
      <c r="AB216" s="41">
        <f>D$3/(Data_nieuwveer!AQ216*N$3)</f>
        <v>0.22687959186233767</v>
      </c>
      <c r="AC216" s="53">
        <f>(D$2+D$3)/(Data_nieuwveer!AQ216)</f>
        <v>0.2357341876276032</v>
      </c>
      <c r="AD216">
        <f>((E216-E215)*($D$3+H$3)+(Data_nieuwveer!F216+Data_nieuwveer!BP216)*N$3*Data_nieuwveer!BZ216/1000+Data_nieuwveer!BM216*Data_nieuwveer!BN216)/(Data_nieuwveer!AQ216*N$3*Data_nieuwveer!AR216/1000-((Data_nieuwveer!F216+Data_nieuwveer!BP216)*N$3+Data_nieuwveer!BM216)*Data_nieuwveer!BR216/1000/$P$2)</f>
        <v>0.25908338115157997</v>
      </c>
      <c r="AE216">
        <f>((F216-F215)*(D$2+H$2+$D$3+H$3)+(Data_nieuwveer!F216+Data_nieuwveer!BP216)*Data_nieuwveer!BZ216/1000+(Data_nieuwveer!AZ216*Data_nieuwveer!BA216+Data_nieuwveer!BD216*Data_nieuwveer!BE216+Data_nieuwveer!BH216*Data_nieuwveer!BI216+Data_nieuwveer!BM216*Data_nieuwveer!BN216))/(Data_nieuwveer!AQ216*Data_nieuwveer!AR216/1000-((Data_nieuwveer!F216+Data_nieuwveer!BP216)+Data_nieuwveer!AZ216+Data_nieuwveer!BD216+Data_nieuwveer!BH216+Data_nieuwveer!BM216)*Data_nieuwveer!BR216/1000/$P$2)</f>
        <v>0.40786800970946074</v>
      </c>
      <c r="AF216">
        <f>(Data_nieuwveer!AQ216*Data_nieuwveer!AR216-(Data_nieuwveer!BP216+Data_nieuwveer!F216)*Data_nieuwveer!BR216)/(Data_nieuwveer!AQ216*Data_nieuwveer!AR216)</f>
        <v>0.73039199949636213</v>
      </c>
    </row>
    <row r="217" spans="1:32" x14ac:dyDescent="0.3">
      <c r="A217" s="2">
        <f>Data_nieuwveer!A217</f>
        <v>41756</v>
      </c>
      <c r="B217" s="52"/>
      <c r="C217" s="21"/>
      <c r="D217" s="21">
        <f>AVERAGE(Data_nieuwveer!AX217,Data_nieuwveer!BB217,Data_nieuwveer!BF217)</f>
        <v>2.7473333333333332</v>
      </c>
      <c r="E217">
        <f>Data_nieuwveer!BJ217</f>
        <v>2.5739999999999998</v>
      </c>
      <c r="F217">
        <f t="shared" si="13"/>
        <v>2.6739313784443426</v>
      </c>
      <c r="G217" s="21"/>
      <c r="O217">
        <f t="shared" si="21"/>
        <v>1.991064705882353</v>
      </c>
      <c r="P217" s="23">
        <f t="shared" si="14"/>
        <v>2.0880258264028622</v>
      </c>
      <c r="Q217" s="24"/>
      <c r="R217" s="23"/>
      <c r="S217" s="54"/>
      <c r="T217" s="54"/>
      <c r="U217" s="54"/>
      <c r="V217" s="54"/>
      <c r="W217" s="54"/>
      <c r="X217" s="50"/>
      <c r="Y217" s="50"/>
      <c r="Z217" s="54"/>
      <c r="AA217" s="55"/>
      <c r="AB217" s="41">
        <f>D$3/(Data_nieuwveer!AQ217*N$3)</f>
        <v>0.22562482925484856</v>
      </c>
      <c r="AC217" s="53">
        <f>(D$2+D$3)/(Data_nieuwveer!AQ217)</f>
        <v>0.23443045448213184</v>
      </c>
    </row>
    <row r="218" spans="1:32" x14ac:dyDescent="0.3">
      <c r="A218" s="2">
        <f>Data_nieuwveer!A218</f>
        <v>41757</v>
      </c>
      <c r="B218" s="52"/>
      <c r="C218" s="21"/>
      <c r="D218" s="21">
        <f>AVERAGE(Data_nieuwveer!AX218,Data_nieuwveer!BB218,Data_nieuwveer!BF218)</f>
        <v>2.7586666666666666</v>
      </c>
      <c r="E218">
        <f>Data_nieuwveer!BJ218</f>
        <v>2.698</v>
      </c>
      <c r="F218">
        <f t="shared" si="13"/>
        <v>2.7329759824555202</v>
      </c>
      <c r="G218" s="21"/>
      <c r="O218">
        <f t="shared" si="21"/>
        <v>2.0869823529411766</v>
      </c>
      <c r="P218" s="23">
        <f t="shared" si="14"/>
        <v>2.1341327157115906</v>
      </c>
      <c r="Q218" s="24"/>
      <c r="R218" s="23"/>
      <c r="S218" s="54"/>
      <c r="T218" s="54"/>
      <c r="U218" s="54"/>
      <c r="V218" s="54"/>
      <c r="W218" s="54"/>
      <c r="X218" s="50"/>
      <c r="Y218" s="50"/>
      <c r="Z218" s="54"/>
      <c r="AA218" s="55"/>
      <c r="AB218" s="41">
        <f>D$3/(Data_nieuwveer!AQ218*N$3)</f>
        <v>0.22365946490164251</v>
      </c>
      <c r="AC218" s="53">
        <f>(D$2+D$3)/(Data_nieuwveer!AQ218)</f>
        <v>0.23238838641689838</v>
      </c>
    </row>
    <row r="219" spans="1:32" x14ac:dyDescent="0.3">
      <c r="A219" s="2">
        <f>Data_nieuwveer!A219</f>
        <v>41758</v>
      </c>
      <c r="B219" s="52"/>
      <c r="C219" s="21"/>
      <c r="D219" s="21">
        <f>AVERAGE(Data_nieuwveer!AX219,Data_nieuwveer!BB219,Data_nieuwveer!BF219)</f>
        <v>2.6826666666666665</v>
      </c>
      <c r="E219">
        <f>Data_nieuwveer!BJ219</f>
        <v>3.2040000000000002</v>
      </c>
      <c r="F219">
        <f t="shared" si="13"/>
        <v>2.9034371617558627</v>
      </c>
      <c r="G219" s="21"/>
      <c r="O219">
        <f t="shared" si="21"/>
        <v>2.4783882352941178</v>
      </c>
      <c r="P219" s="23">
        <f t="shared" si="14"/>
        <v>2.2672428424887698</v>
      </c>
      <c r="Q219" s="24"/>
      <c r="R219" s="23"/>
      <c r="S219" s="54"/>
      <c r="T219" s="54"/>
      <c r="U219" s="54"/>
      <c r="V219" s="54"/>
      <c r="W219" s="54"/>
      <c r="X219" s="50"/>
      <c r="Y219" s="50"/>
      <c r="Z219" s="54"/>
      <c r="AA219" s="55"/>
      <c r="AB219" s="41">
        <f>D$3/(Data_nieuwveer!AQ219*N$3)</f>
        <v>0.24031257495967862</v>
      </c>
      <c r="AC219" s="53">
        <f>(D$2+D$3)/(Data_nieuwveer!AQ219)</f>
        <v>0.24969142958080792</v>
      </c>
    </row>
    <row r="220" spans="1:32" x14ac:dyDescent="0.3">
      <c r="A220" s="2">
        <f>Data_nieuwveer!A220</f>
        <v>41759</v>
      </c>
      <c r="B220" s="52"/>
      <c r="C220" s="21"/>
      <c r="D220" s="21">
        <f>AVERAGE(Data_nieuwveer!AX220,Data_nieuwveer!BB220,Data_nieuwveer!BF220)</f>
        <v>2.8346666666666671</v>
      </c>
      <c r="E220">
        <f>Data_nieuwveer!BJ220</f>
        <v>3.35</v>
      </c>
      <c r="F220">
        <f t="shared" si="13"/>
        <v>3.05289632485586</v>
      </c>
      <c r="G220" s="21"/>
      <c r="O220">
        <f t="shared" si="21"/>
        <v>2.5913235294117647</v>
      </c>
      <c r="P220" s="23">
        <f t="shared" si="14"/>
        <v>2.383952865438915</v>
      </c>
      <c r="Q220" s="24"/>
      <c r="R220" s="23"/>
      <c r="S220" s="54"/>
      <c r="T220" s="54"/>
      <c r="U220" s="54"/>
      <c r="V220" s="54"/>
      <c r="W220" s="54"/>
      <c r="X220" s="50"/>
      <c r="Y220" s="50"/>
      <c r="Z220" s="54"/>
      <c r="AA220" s="55"/>
      <c r="AB220" s="41">
        <f>D$3/(Data_nieuwveer!AQ220*N$3)</f>
        <v>0.21620160507118094</v>
      </c>
      <c r="AC220" s="53">
        <f>(D$2+D$3)/(Data_nieuwveer!AQ220)</f>
        <v>0.22463946323635453</v>
      </c>
    </row>
    <row r="221" spans="1:32" x14ac:dyDescent="0.3">
      <c r="A221" s="2"/>
    </row>
    <row r="222" spans="1:32" x14ac:dyDescent="0.3">
      <c r="A222" s="2"/>
    </row>
    <row r="223" spans="1:32" x14ac:dyDescent="0.3">
      <c r="A223" s="2"/>
    </row>
    <row r="224" spans="1:32" x14ac:dyDescent="0.3">
      <c r="A224" s="2"/>
    </row>
    <row r="225" spans="1:1" x14ac:dyDescent="0.3">
      <c r="A225" s="2"/>
    </row>
    <row r="226" spans="1:1" x14ac:dyDescent="0.3">
      <c r="A226" s="2"/>
    </row>
    <row r="227" spans="1:1" x14ac:dyDescent="0.3">
      <c r="A227" s="2"/>
    </row>
    <row r="228" spans="1:1" x14ac:dyDescent="0.3">
      <c r="A228" s="2"/>
    </row>
    <row r="229" spans="1:1" x14ac:dyDescent="0.3">
      <c r="A229" s="2"/>
    </row>
    <row r="230" spans="1:1" x14ac:dyDescent="0.3">
      <c r="A230" s="2"/>
    </row>
    <row r="231" spans="1:1" x14ac:dyDescent="0.3">
      <c r="A231" s="2"/>
    </row>
    <row r="232" spans="1:1" x14ac:dyDescent="0.3">
      <c r="A232" s="2"/>
    </row>
    <row r="233" spans="1:1" x14ac:dyDescent="0.3">
      <c r="A233" s="2"/>
    </row>
    <row r="234" spans="1:1" x14ac:dyDescent="0.3">
      <c r="A234" s="2"/>
    </row>
    <row r="235" spans="1:1" x14ac:dyDescent="0.3">
      <c r="A235" s="2"/>
    </row>
    <row r="236" spans="1:1" x14ac:dyDescent="0.3">
      <c r="A236" s="2"/>
    </row>
    <row r="237" spans="1:1" x14ac:dyDescent="0.3">
      <c r="A237" s="2"/>
    </row>
    <row r="238" spans="1:1" x14ac:dyDescent="0.3">
      <c r="A238" s="2"/>
    </row>
    <row r="239" spans="1:1" x14ac:dyDescent="0.3">
      <c r="A239" s="2"/>
    </row>
    <row r="240" spans="1:1" x14ac:dyDescent="0.3">
      <c r="A240" s="2"/>
    </row>
    <row r="241" spans="1:1" x14ac:dyDescent="0.3">
      <c r="A241" s="2"/>
    </row>
    <row r="242" spans="1:1" x14ac:dyDescent="0.3">
      <c r="A242" s="2"/>
    </row>
    <row r="243" spans="1:1" x14ac:dyDescent="0.3">
      <c r="A243" s="2"/>
    </row>
    <row r="244" spans="1:1" x14ac:dyDescent="0.3">
      <c r="A244" s="2"/>
    </row>
    <row r="245" spans="1:1" x14ac:dyDescent="0.3">
      <c r="A245" s="2"/>
    </row>
    <row r="246" spans="1:1" x14ac:dyDescent="0.3">
      <c r="A246" s="2"/>
    </row>
    <row r="247" spans="1:1" x14ac:dyDescent="0.3">
      <c r="A247" s="2"/>
    </row>
    <row r="248" spans="1:1" x14ac:dyDescent="0.3">
      <c r="A248" s="2"/>
    </row>
    <row r="249" spans="1:1" x14ac:dyDescent="0.3">
      <c r="A249" s="2"/>
    </row>
    <row r="250" spans="1:1" x14ac:dyDescent="0.3">
      <c r="A250" s="2"/>
    </row>
    <row r="251" spans="1:1" x14ac:dyDescent="0.3">
      <c r="A251" s="2"/>
    </row>
    <row r="252" spans="1:1" x14ac:dyDescent="0.3">
      <c r="A252" s="2"/>
    </row>
    <row r="253" spans="1:1" x14ac:dyDescent="0.3">
      <c r="A253" s="2"/>
    </row>
    <row r="254" spans="1:1" x14ac:dyDescent="0.3">
      <c r="A254" s="2"/>
    </row>
    <row r="255" spans="1:1" x14ac:dyDescent="0.3">
      <c r="A255" s="2"/>
    </row>
    <row r="256" spans="1:1" x14ac:dyDescent="0.3">
      <c r="A256" s="2"/>
    </row>
    <row r="257" spans="1:1" x14ac:dyDescent="0.3">
      <c r="A257" s="2"/>
    </row>
    <row r="258" spans="1:1" x14ac:dyDescent="0.3">
      <c r="A258" s="2"/>
    </row>
    <row r="259" spans="1:1" x14ac:dyDescent="0.3">
      <c r="A259" s="2"/>
    </row>
    <row r="260" spans="1:1" x14ac:dyDescent="0.3">
      <c r="A260" s="2"/>
    </row>
    <row r="261" spans="1:1" x14ac:dyDescent="0.3">
      <c r="A261" s="2"/>
    </row>
    <row r="262" spans="1:1" x14ac:dyDescent="0.3">
      <c r="A262" s="2"/>
    </row>
    <row r="263" spans="1:1" x14ac:dyDescent="0.3">
      <c r="A263" s="2"/>
    </row>
    <row r="264" spans="1:1" x14ac:dyDescent="0.3">
      <c r="A264" s="2"/>
    </row>
  </sheetData>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7"/>
  <sheetViews>
    <sheetView zoomScale="70" zoomScaleNormal="70" workbookViewId="0">
      <selection activeCell="G33" sqref="G33"/>
    </sheetView>
  </sheetViews>
  <sheetFormatPr baseColWidth="10" defaultColWidth="8.88671875" defaultRowHeight="14.4" x14ac:dyDescent="0.3"/>
  <cols>
    <col min="1" max="1" width="12" bestFit="1" customWidth="1"/>
    <col min="2" max="2" width="11.5546875" customWidth="1"/>
    <col min="3" max="3" width="13.6640625" bestFit="1" customWidth="1"/>
    <col min="5" max="5" width="12.44140625" customWidth="1"/>
    <col min="10" max="10" width="10.109375" customWidth="1"/>
    <col min="20" max="20" width="10.33203125" bestFit="1" customWidth="1"/>
    <col min="22" max="22" width="7" customWidth="1"/>
    <col min="27" max="27" width="12" bestFit="1" customWidth="1"/>
  </cols>
  <sheetData>
    <row r="1" spans="1:49" x14ac:dyDescent="0.3">
      <c r="A1" t="s">
        <v>256</v>
      </c>
      <c r="B1" s="61"/>
      <c r="AA1" t="s">
        <v>257</v>
      </c>
      <c r="AB1" t="s">
        <v>258</v>
      </c>
    </row>
    <row r="2" spans="1:49" x14ac:dyDescent="0.3">
      <c r="B2" t="s">
        <v>231</v>
      </c>
      <c r="C2" t="s">
        <v>232</v>
      </c>
      <c r="D2" t="s">
        <v>139</v>
      </c>
      <c r="E2" t="s">
        <v>243</v>
      </c>
      <c r="F2" t="s">
        <v>244</v>
      </c>
      <c r="G2" t="s">
        <v>29</v>
      </c>
      <c r="H2" t="s">
        <v>255</v>
      </c>
      <c r="I2" t="s">
        <v>245</v>
      </c>
      <c r="J2" t="s">
        <v>246</v>
      </c>
      <c r="K2" t="s">
        <v>247</v>
      </c>
      <c r="L2" t="s">
        <v>248</v>
      </c>
      <c r="M2" t="s">
        <v>249</v>
      </c>
      <c r="N2" t="s">
        <v>250</v>
      </c>
      <c r="O2" t="s">
        <v>251</v>
      </c>
      <c r="P2" t="s">
        <v>252</v>
      </c>
      <c r="Q2" t="s">
        <v>194</v>
      </c>
      <c r="R2" t="s">
        <v>253</v>
      </c>
      <c r="S2" t="s">
        <v>254</v>
      </c>
      <c r="T2" t="s">
        <v>266</v>
      </c>
      <c r="U2" t="s">
        <v>266</v>
      </c>
      <c r="V2" s="15" t="s">
        <v>259</v>
      </c>
      <c r="W2" s="15" t="s">
        <v>260</v>
      </c>
      <c r="X2" s="15" t="s">
        <v>261</v>
      </c>
      <c r="Y2" s="15" t="s">
        <v>262</v>
      </c>
      <c r="AB2" t="s">
        <v>231</v>
      </c>
      <c r="AC2" t="s">
        <v>232</v>
      </c>
      <c r="AD2" t="s">
        <v>139</v>
      </c>
      <c r="AE2" t="s">
        <v>243</v>
      </c>
      <c r="AF2" t="s">
        <v>244</v>
      </c>
      <c r="AG2" t="s">
        <v>29</v>
      </c>
      <c r="AH2" t="s">
        <v>255</v>
      </c>
      <c r="AI2" t="s">
        <v>245</v>
      </c>
      <c r="AJ2" t="s">
        <v>246</v>
      </c>
      <c r="AK2" t="s">
        <v>247</v>
      </c>
      <c r="AL2" t="s">
        <v>248</v>
      </c>
      <c r="AM2" t="s">
        <v>249</v>
      </c>
      <c r="AN2" t="s">
        <v>250</v>
      </c>
      <c r="AO2" t="s">
        <v>251</v>
      </c>
      <c r="AP2" t="s">
        <v>116</v>
      </c>
      <c r="AQ2" t="s">
        <v>194</v>
      </c>
      <c r="AR2" t="s">
        <v>253</v>
      </c>
      <c r="AS2" t="s">
        <v>254</v>
      </c>
      <c r="AT2" s="15" t="s">
        <v>259</v>
      </c>
      <c r="AU2" s="15" t="s">
        <v>260</v>
      </c>
      <c r="AV2" s="15" t="s">
        <v>261</v>
      </c>
      <c r="AW2" s="15" t="s">
        <v>262</v>
      </c>
    </row>
    <row r="3" spans="1:49" x14ac:dyDescent="0.3">
      <c r="A3" s="2">
        <f>AVERAGE(Data_nieuwveer!A9:A14)</f>
        <v>41550.5</v>
      </c>
      <c r="B3" s="42">
        <f>A3-A$3</f>
        <v>0</v>
      </c>
      <c r="C3" s="50">
        <f>AVERAGE(Data_nieuwveer!BO9:BO14)</f>
        <v>18.410500000000003</v>
      </c>
      <c r="D3" s="21">
        <f>AVERAGE('Edited data A'!E9:E14)/1000</f>
        <v>3.2759999999999998</v>
      </c>
      <c r="E3" s="21">
        <f>AVERAGE('Edited data A'!M9:M14)</f>
        <v>0.79599999999999993</v>
      </c>
      <c r="F3" s="21">
        <f>AVERAGE('Edited data A'!D9:D14)</f>
        <v>2.9943971627563002</v>
      </c>
      <c r="G3" s="50">
        <f>AVERAGE(Data_nieuwveer!AH9:AH14)</f>
        <v>85</v>
      </c>
      <c r="H3" s="21">
        <f>AVERAGE('Edited data A'!C9:C14)</f>
        <v>64.086818727490993</v>
      </c>
      <c r="I3" s="21">
        <f>AVERAGE('Edited data A'!V9:V14)</f>
        <v>1.6905339131824428</v>
      </c>
      <c r="J3" s="21">
        <f>AVERAGE('Edited data A'!W9:W14)</f>
        <v>9.2607244029829765</v>
      </c>
      <c r="K3" s="41">
        <f>AVERAGE('Edited data A'!Z9:Z14)</f>
        <v>1.4997816315347398E-2</v>
      </c>
      <c r="L3" s="50">
        <f>AVERAGE('Edited data A'!AF9:AF14)</f>
        <v>0.36925774704618691</v>
      </c>
      <c r="M3" s="50">
        <f>AVERAGE('Edited data A'!AE9:AE14)</f>
        <v>1.1319340163490965</v>
      </c>
      <c r="N3" s="50" t="e">
        <f>AVERAGE('Additional data LabMET'!B9:B14)</f>
        <v>#DIV/0!</v>
      </c>
      <c r="O3" s="50" t="e">
        <f>AVERAGE('Additional data LabMET'!F9:F14)</f>
        <v>#DIV/0!</v>
      </c>
      <c r="P3" s="50" t="e">
        <f>AVERAGE('Additional data LabMET'!G9:G14)</f>
        <v>#DIV/0!</v>
      </c>
      <c r="Q3" s="50" t="e">
        <f>AVERAGE('Additional data LabMET'!H9:H14)</f>
        <v>#DIV/0!</v>
      </c>
      <c r="R3" s="50" t="e">
        <f>AVERAGE('Additional data LabMET'!I9:I14)</f>
        <v>#DIV/0!</v>
      </c>
      <c r="S3" s="50" t="e">
        <f>AVERAGE('Additional data LabMET'!J9:J14)</f>
        <v>#DIV/0!</v>
      </c>
      <c r="T3" s="21">
        <f>AVERAGE(Data_nieuwveer!AJ9:AJ14)</f>
        <v>0.45465277777777779</v>
      </c>
      <c r="U3" s="21">
        <f>AVERAGE(Data_nieuwveer!AK9:AK14)</f>
        <v>1.4016666666666671</v>
      </c>
      <c r="AA3" s="2">
        <f>AVERAGE(Data_nieuwveer!A9:A14)</f>
        <v>41550.5</v>
      </c>
      <c r="AB3" s="42">
        <f t="shared" ref="AB3:AB46" si="0">AA3-AA$3</f>
        <v>0</v>
      </c>
      <c r="AC3" s="50">
        <f>AVERAGE(Data_nieuwveer!BO9:BO14)</f>
        <v>18.410500000000003</v>
      </c>
      <c r="AD3" s="21">
        <f>AVERAGE('Edited data B'!E9:E14)</f>
        <v>3.3328333333333333</v>
      </c>
      <c r="AE3" s="21">
        <f>AVERAGE('Edited data B'!M9:M14)</f>
        <v>0.72999999999999987</v>
      </c>
      <c r="AF3" s="21">
        <f>AVERAGE('Edited data A'!D9:D14)</f>
        <v>2.9943971627563002</v>
      </c>
      <c r="AG3" s="50">
        <f>AVERAGE(Data_nieuwveer!BL9:BL14)</f>
        <v>134</v>
      </c>
      <c r="AH3" s="21">
        <f>AVERAGE('Edited data B'!C9:C14)</f>
        <v>36.932287061597407</v>
      </c>
      <c r="AI3" s="21">
        <f>AVERAGE('Edited data B'!R9:R14)</f>
        <v>0.13066638767435307</v>
      </c>
      <c r="AJ3" s="21">
        <f>AVERAGE('Edited data B'!AA9:AA14)</f>
        <v>26.617733050017467</v>
      </c>
      <c r="AK3" s="41">
        <f>AVERAGE('Edited data B'!AC9:AC14)</f>
        <v>0.12204742966062217</v>
      </c>
      <c r="AL3" s="21">
        <f>AVERAGE('Edited data B'!AF9:AF14)</f>
        <v>0.63336846561802551</v>
      </c>
      <c r="AM3" s="21">
        <f>AVERAGE('Edited data B'!AE9:AE14)</f>
        <v>0.32680644386445307</v>
      </c>
      <c r="AN3" s="50" t="e">
        <f>AVERAGE('Additional data LabMET'!L9:L14)</f>
        <v>#DIV/0!</v>
      </c>
      <c r="AO3" s="50" t="e">
        <f>AVERAGE('Additional data LabMET'!P9:P14)</f>
        <v>#DIV/0!</v>
      </c>
      <c r="AP3" s="50" t="e">
        <f>AVERAGE('Additional data LabMET'!R9:R14)</f>
        <v>#DIV/0!</v>
      </c>
      <c r="AQ3" s="50" t="e">
        <f>AVERAGE('Additional data LabMET'!S9:S14)</f>
        <v>#DIV/0!</v>
      </c>
      <c r="AR3" s="50" t="e">
        <f>AVERAGE('Additional data LabMET'!T9:T14)</f>
        <v>#DIV/0!</v>
      </c>
      <c r="AS3" s="50" t="e">
        <f>AVERAGE('Additional data LabMET'!U9:U14)</f>
        <v>#DIV/0!</v>
      </c>
    </row>
    <row r="4" spans="1:49" x14ac:dyDescent="0.3">
      <c r="A4" s="2">
        <f>AVERAGE(Data_nieuwveer!A15:A21)</f>
        <v>41557</v>
      </c>
      <c r="B4" s="42">
        <f>A4-A$3</f>
        <v>6.5</v>
      </c>
      <c r="C4" s="50">
        <f>AVERAGE(Data_nieuwveer!BO15:BO21)</f>
        <v>18.207999999999998</v>
      </c>
      <c r="D4" s="21">
        <f>AVERAGE('Edited data A'!E15:E21)/1000</f>
        <v>3.129</v>
      </c>
      <c r="E4" s="21">
        <f>AVERAGE('Edited data A'!M15:M21)</f>
        <v>0.76449999999999996</v>
      </c>
      <c r="F4" s="21">
        <f>AVERAGE('Edited data A'!D15:D21)</f>
        <v>2.3244038783025247</v>
      </c>
      <c r="G4" s="50">
        <f>AVERAGE(Data_nieuwveer!AH15:AH21)</f>
        <v>92.5</v>
      </c>
      <c r="H4" s="21">
        <f>AVERAGE('Edited data A'!C15:C21)</f>
        <v>56.075966386554619</v>
      </c>
      <c r="I4" s="21">
        <f>AVERAGE('Edited data A'!V15:V21)</f>
        <v>1.7373740618946585</v>
      </c>
      <c r="J4" s="21">
        <f>AVERAGE('Edited data A'!W15:W21)</f>
        <v>1.5475434967512958</v>
      </c>
      <c r="K4" s="41">
        <f>AVERAGE('Edited data A'!Z15:Z21)</f>
        <v>1.4880130194127867E-2</v>
      </c>
      <c r="L4" s="50">
        <f>AVERAGE('Edited data A'!AF15:AF21)</f>
        <v>0.33121990085962527</v>
      </c>
      <c r="M4" s="50">
        <f>AVERAGE('Edited data A'!AE15:AE21)</f>
        <v>0.99260438658594619</v>
      </c>
      <c r="N4" s="50" t="e">
        <f>AVERAGE('Additional data LabMET'!B15:B21)</f>
        <v>#DIV/0!</v>
      </c>
      <c r="O4" s="50" t="e">
        <f>AVERAGE('Additional data LabMET'!F15:F21)</f>
        <v>#DIV/0!</v>
      </c>
      <c r="P4" s="50" t="e">
        <f>AVERAGE('Additional data LabMET'!G15:G21)</f>
        <v>#DIV/0!</v>
      </c>
      <c r="Q4" s="50">
        <f>AVERAGE('Additional data LabMET'!H15:H21)</f>
        <v>45.124992000000006</v>
      </c>
      <c r="R4" s="50">
        <f>AVERAGE('Additional data LabMET'!I15:I21)</f>
        <v>42.279053857174901</v>
      </c>
      <c r="S4" s="50" t="e">
        <f>AVERAGE('Additional data LabMET'!J15:J21)</f>
        <v>#DIV/0!</v>
      </c>
      <c r="T4" s="21">
        <f>AVERAGE(Data_nieuwveer!AJ15:AJ21)</f>
        <v>0.39759834368530023</v>
      </c>
      <c r="U4" s="21">
        <f>AVERAGE(Data_nieuwveer!AK15:AK21)</f>
        <v>1.0946816770186338</v>
      </c>
      <c r="AA4" s="2">
        <f>AVERAGE(Data_nieuwveer!A15:A21)</f>
        <v>41557</v>
      </c>
      <c r="AB4" s="42">
        <f t="shared" si="0"/>
        <v>6.5</v>
      </c>
      <c r="AC4" s="50">
        <f>AVERAGE(Data_nieuwveer!BO15:BO21)</f>
        <v>18.207999999999998</v>
      </c>
      <c r="AD4" s="21">
        <f>AVERAGE('Edited data B'!E15:E21)</f>
        <v>3.2487142857142857</v>
      </c>
      <c r="AE4" s="21" t="e">
        <f>AVERAGE('Edited data B'!M15:M21)</f>
        <v>#DIV/0!</v>
      </c>
      <c r="AF4" s="21">
        <f>AVERAGE('Edited data A'!D15:D21)</f>
        <v>2.3244038783025247</v>
      </c>
      <c r="AG4" s="50">
        <f>AVERAGE(Data_nieuwveer!BL15:BL21)</f>
        <v>134.5</v>
      </c>
      <c r="AH4" s="21">
        <f>AVERAGE('Edited data B'!C15:C21)</f>
        <v>34.347026967285586</v>
      </c>
      <c r="AI4" s="21">
        <f>AVERAGE('Edited data B'!R15:R21)</f>
        <v>0.12265503130638747</v>
      </c>
      <c r="AJ4" s="21">
        <f>AVERAGE('Edited data B'!AA15:AA21)</f>
        <v>29.41502661480785</v>
      </c>
      <c r="AK4" s="41">
        <f>AVERAGE('Edited data B'!AC15:AC21)</f>
        <v>0.12138670304299871</v>
      </c>
      <c r="AL4" s="21">
        <f>AVERAGE('Edited data B'!AF15:AF21)</f>
        <v>0.61550462181309062</v>
      </c>
      <c r="AM4" s="21">
        <f>AVERAGE('Edited data B'!AE15:AE21)</f>
        <v>0.73074448546971271</v>
      </c>
      <c r="AN4" s="50" t="e">
        <f>AVERAGE('Additional data LabMET'!L15:L21)</f>
        <v>#DIV/0!</v>
      </c>
      <c r="AO4" s="50" t="e">
        <f>AVERAGE('Additional data LabMET'!P15:P21)</f>
        <v>#DIV/0!</v>
      </c>
      <c r="AP4" s="50" t="e">
        <f>AVERAGE('Additional data LabMET'!R15:R21)</f>
        <v>#DIV/0!</v>
      </c>
      <c r="AQ4" s="50">
        <f>AVERAGE('Additional data LabMET'!S15:S21)</f>
        <v>79.409351999999998</v>
      </c>
      <c r="AR4" s="50">
        <f>AVERAGE('Additional data LabMET'!T15:T21)</f>
        <v>35.027141733168477</v>
      </c>
      <c r="AS4" s="50" t="e">
        <f>AVERAGE('Additional data LabMET'!U15:U21)</f>
        <v>#DIV/0!</v>
      </c>
    </row>
    <row r="5" spans="1:49" x14ac:dyDescent="0.3">
      <c r="A5" s="2">
        <f>AVERAGE(Data_nieuwveer!A22:A28)</f>
        <v>41564</v>
      </c>
      <c r="B5" s="42">
        <f t="shared" ref="B5:B32" si="1">A5-A$3</f>
        <v>13.5</v>
      </c>
      <c r="C5" s="50">
        <f>AVERAGE(Data_nieuwveer!BO22:BO28)</f>
        <v>15.475714285714286</v>
      </c>
      <c r="D5" s="21">
        <f>AVERAGE('Edited data A'!E22:E28)/1000</f>
        <v>2.14</v>
      </c>
      <c r="E5" s="21">
        <f>AVERAGE('Edited data A'!M22:M28)</f>
        <v>0.71049999999999991</v>
      </c>
      <c r="F5" s="21">
        <f>AVERAGE('Edited data A'!D22:D28)</f>
        <v>1.4545419370260326</v>
      </c>
      <c r="G5" s="50">
        <f>AVERAGE(Data_nieuwveer!AH22:AH28)</f>
        <v>74</v>
      </c>
      <c r="H5" s="21">
        <f>AVERAGE('Edited data A'!C22:C28)</f>
        <v>52.070540216086428</v>
      </c>
      <c r="I5" s="21">
        <f>AVERAGE('Edited data A'!V22:V28)</f>
        <v>2.2377371542396411</v>
      </c>
      <c r="J5" s="21">
        <f>AVERAGE('Edited data A'!W22:W28)</f>
        <v>1.2550773980978849</v>
      </c>
      <c r="K5" s="41">
        <f>AVERAGE('Edited data A'!Z22:Z28)</f>
        <v>1.4623571262094364E-2</v>
      </c>
      <c r="L5" s="50">
        <f>AVERAGE('Edited data A'!AF22:AF28)</f>
        <v>0.46387099209202015</v>
      </c>
      <c r="M5" s="50">
        <f>AVERAGE('Edited data A'!AE22:AE28)</f>
        <v>1.0869071333285867</v>
      </c>
      <c r="N5" s="50" t="e">
        <f>AVERAGE('Additional data LabMET'!B22:B28)</f>
        <v>#DIV/0!</v>
      </c>
      <c r="O5" s="50" t="e">
        <f>AVERAGE('Additional data LabMET'!F22:F28)</f>
        <v>#DIV/0!</v>
      </c>
      <c r="P5" s="50">
        <f>AVERAGE('Additional data LabMET'!G22:G28)</f>
        <v>4.1239333898200004</v>
      </c>
      <c r="Q5" s="50">
        <f>AVERAGE('Additional data LabMET'!H22:H28)</f>
        <v>50.668992000000003</v>
      </c>
      <c r="R5" s="50">
        <f>AVERAGE('Additional data LabMET'!I22:I28)</f>
        <v>47.044842773584541</v>
      </c>
      <c r="S5" s="50" t="e">
        <f>AVERAGE('Additional data LabMET'!J22:J28)</f>
        <v>#DIV/0!</v>
      </c>
      <c r="T5" s="21">
        <f>AVERAGE(Data_nieuwveer!AJ22:AJ28)</f>
        <v>1.1258928571428573</v>
      </c>
      <c r="U5" s="21">
        <f>AVERAGE(Data_nieuwveer!AK22:AK28)</f>
        <v>2.2159523809523805</v>
      </c>
      <c r="AA5" s="2">
        <f>AVERAGE(Data_nieuwveer!A22:A28)</f>
        <v>41564</v>
      </c>
      <c r="AB5" s="42">
        <f t="shared" si="0"/>
        <v>13.5</v>
      </c>
      <c r="AC5" s="50">
        <f>AVERAGE(Data_nieuwveer!BO22:BO28)</f>
        <v>15.475714285714286</v>
      </c>
      <c r="AD5" s="21">
        <f>AVERAGE('Edited data B'!E22:E28)</f>
        <v>3.5371428571428569</v>
      </c>
      <c r="AE5" s="21">
        <f>AVERAGE('Edited data B'!M22:M28)</f>
        <v>0.77</v>
      </c>
      <c r="AF5" s="21">
        <f>AVERAGE('Edited data A'!D22:D28)</f>
        <v>1.4545419370260326</v>
      </c>
      <c r="AG5" s="50">
        <f>AVERAGE(Data_nieuwveer!BL22:BL28)</f>
        <v>129.5</v>
      </c>
      <c r="AH5" s="21">
        <f>AVERAGE('Edited data B'!C22:C28)</f>
        <v>25.483278072502213</v>
      </c>
      <c r="AI5" s="21">
        <f>AVERAGE('Edited data B'!R22:R28)</f>
        <v>7.5165769660612988E-2</v>
      </c>
      <c r="AJ5" s="21">
        <f>AVERAGE('Edited data B'!AA22:AA28)</f>
        <v>26.735444480692742</v>
      </c>
      <c r="AK5" s="41">
        <f>AVERAGE('Edited data B'!AC22:AC28)</f>
        <v>0.11917815996604479</v>
      </c>
      <c r="AL5" s="21">
        <f>AVERAGE('Edited data B'!AF22:AF28)</f>
        <v>0.61260759140278487</v>
      </c>
      <c r="AM5" s="21">
        <f>AVERAGE('Edited data B'!AE22:AE28)</f>
        <v>1.1249193444306336</v>
      </c>
      <c r="AN5" s="50" t="e">
        <f>AVERAGE('Additional data LabMET'!L22:L28)</f>
        <v>#DIV/0!</v>
      </c>
      <c r="AO5" s="50" t="e">
        <f>AVERAGE('Additional data LabMET'!P22:P28)</f>
        <v>#DIV/0!</v>
      </c>
      <c r="AP5" s="50" t="e">
        <f>AVERAGE('Additional data LabMET'!R22:R28)</f>
        <v>#DIV/0!</v>
      </c>
      <c r="AQ5" s="50">
        <f>AVERAGE('Additional data LabMET'!S22:S28)</f>
        <v>98.663443999999998</v>
      </c>
      <c r="AR5" s="50">
        <f>AVERAGE('Additional data LabMET'!T22:T28)</f>
        <v>35.434653181233109</v>
      </c>
      <c r="AS5" s="50">
        <f>AVERAGE('Additional data LabMET'!U22:U28)</f>
        <v>11.030000000000001</v>
      </c>
    </row>
    <row r="6" spans="1:49" x14ac:dyDescent="0.3">
      <c r="A6" s="2">
        <f>AVERAGE(Data_nieuwveer!A29:A35)</f>
        <v>41571</v>
      </c>
      <c r="B6" s="42">
        <f>A6-A$3</f>
        <v>20.5</v>
      </c>
      <c r="C6" s="50">
        <f>AVERAGE(Data_nieuwveer!BO29:BO35)</f>
        <v>17.165428571428571</v>
      </c>
      <c r="D6" s="21">
        <f>AVERAGE('Edited data A'!E29:E35)/1000</f>
        <v>2.5430000000000001</v>
      </c>
      <c r="E6" s="21">
        <f>AVERAGE('Edited data A'!M29:M35)</f>
        <v>0.72799999999999998</v>
      </c>
      <c r="F6" s="21">
        <f>AVERAGE('Edited data A'!D29:D35)</f>
        <v>2.1853177413669642</v>
      </c>
      <c r="G6" s="50">
        <f>AVERAGE(Data_nieuwveer!AH29:AH35)</f>
        <v>80</v>
      </c>
      <c r="H6" s="21">
        <f>AVERAGE('Edited data A'!C29:C35)</f>
        <v>84.113949579831925</v>
      </c>
      <c r="I6" s="21">
        <f>AVERAGE('Edited data A'!V29:V35)</f>
        <v>3.2548784429343969</v>
      </c>
      <c r="J6" s="21">
        <f>AVERAGE('Edited data A'!W29:W35)</f>
        <v>1.1767148258646429</v>
      </c>
      <c r="K6" s="41">
        <f>AVERAGE('Edited data A'!Z29:Z35)</f>
        <v>1.4627095581182954E-2</v>
      </c>
      <c r="L6" s="50">
        <f>AVERAGE('Edited data A'!AF29:AF35)</f>
        <v>0.53860564831993407</v>
      </c>
      <c r="M6" s="50">
        <f>AVERAGE('Edited data A'!AE29:AE35)</f>
        <v>0.69094207423073695</v>
      </c>
      <c r="N6" s="50" t="e">
        <f>AVERAGE('Additional data LabMET'!B29:B35)</f>
        <v>#DIV/0!</v>
      </c>
      <c r="O6" s="50" t="e">
        <f>AVERAGE('Additional data LabMET'!F29:F35)</f>
        <v>#DIV/0!</v>
      </c>
      <c r="P6" s="50">
        <f>AVERAGE('Additional data LabMET'!G29:G35)</f>
        <v>2.7019997021300002</v>
      </c>
      <c r="Q6" s="50">
        <f>AVERAGE('Additional data LabMET'!H29:H35)</f>
        <v>68.931632000000008</v>
      </c>
      <c r="R6" s="50">
        <f>AVERAGE('Additional data LabMET'!I29:I35)</f>
        <v>46.194725448941618</v>
      </c>
      <c r="S6" s="50">
        <f>AVERAGE('Additional data LabMET'!J29:J35)</f>
        <v>17.510000000000005</v>
      </c>
      <c r="T6" s="21">
        <f>AVERAGE(Data_nieuwveer!AJ29:AJ35)</f>
        <v>0.38029761904761916</v>
      </c>
      <c r="U6" s="21">
        <f>AVERAGE(Data_nieuwveer!AK29:AK35)</f>
        <v>1.4989880952380952</v>
      </c>
      <c r="AA6" s="2">
        <f>AVERAGE(Data_nieuwveer!A29:A35)</f>
        <v>41571</v>
      </c>
      <c r="AB6" s="42">
        <f t="shared" si="0"/>
        <v>20.5</v>
      </c>
      <c r="AC6" s="50">
        <f>AVERAGE(Data_nieuwveer!BO29:BO35)</f>
        <v>17.165428571428571</v>
      </c>
      <c r="AD6" s="21">
        <f>AVERAGE('Edited data B'!E29:E35)</f>
        <v>3.6277142857142861</v>
      </c>
      <c r="AE6" s="21" t="e">
        <f>AVERAGE('Edited data B'!M29:M35)</f>
        <v>#DIV/0!</v>
      </c>
      <c r="AF6" s="21">
        <f>AVERAGE('Edited data A'!D29:D35)</f>
        <v>2.1853177413669642</v>
      </c>
      <c r="AG6" s="50">
        <f>AVERAGE(Data_nieuwveer!BL29:BL35)</f>
        <v>118</v>
      </c>
      <c r="AH6" s="21">
        <f>AVERAGE('Edited data B'!C29:C35)</f>
        <v>35.454995579133509</v>
      </c>
      <c r="AI6" s="21">
        <f>AVERAGE('Edited data B'!R29:R35)</f>
        <v>0.12579337910313051</v>
      </c>
      <c r="AJ6" s="21">
        <f>AVERAGE('Edited data B'!AA29:AA35)</f>
        <v>10.012955194960512</v>
      </c>
      <c r="AK6" s="41">
        <f>AVERAGE('Edited data B'!AC29:AC35)</f>
        <v>0.11890611274580917</v>
      </c>
      <c r="AL6" s="21">
        <f>AVERAGE('Edited data B'!AF29:AF35)</f>
        <v>0.47364517581796994</v>
      </c>
      <c r="AM6" s="21">
        <f>AVERAGE('Edited data B'!AE29:AE35)</f>
        <v>0.7661496912843988</v>
      </c>
      <c r="AN6" s="50" t="e">
        <f>AVERAGE('Additional data LabMET'!L29:L35)</f>
        <v>#DIV/0!</v>
      </c>
      <c r="AO6" s="50" t="e">
        <f>AVERAGE('Additional data LabMET'!P29:P35)</f>
        <v>#DIV/0!</v>
      </c>
      <c r="AP6" s="50" t="e">
        <f>AVERAGE('Additional data LabMET'!R29:R35)</f>
        <v>#DIV/0!</v>
      </c>
      <c r="AQ6" s="50">
        <f>AVERAGE('Additional data LabMET'!S29:S35)</f>
        <v>98.409124000000006</v>
      </c>
      <c r="AR6" s="50">
        <f>AVERAGE('Additional data LabMET'!T29:T35)</f>
        <v>33.654095460808399</v>
      </c>
      <c r="AS6" s="50">
        <f>AVERAGE('Additional data LabMET'!U29:U35)</f>
        <v>9.5699999999999932</v>
      </c>
    </row>
    <row r="7" spans="1:49" x14ac:dyDescent="0.3">
      <c r="A7" s="2">
        <f>AVERAGE(Data_nieuwveer!A36:A42)</f>
        <v>41578</v>
      </c>
      <c r="B7" s="42">
        <f t="shared" si="1"/>
        <v>27.5</v>
      </c>
      <c r="C7" s="50">
        <f>AVERAGE(Data_nieuwveer!BO36:BO42)</f>
        <v>16.260571428571428</v>
      </c>
      <c r="D7" s="21">
        <f>AVERAGE('Edited data A'!E36:E42)/1000</f>
        <v>2.7669999999999999</v>
      </c>
      <c r="E7" s="21">
        <f>AVERAGE('Edited data A'!M36:M42)</f>
        <v>0.6895</v>
      </c>
      <c r="F7" s="21">
        <f>AVERAGE('Edited data A'!D36:D42)</f>
        <v>1.7472554981142991</v>
      </c>
      <c r="G7" s="50">
        <f>AVERAGE(Data_nieuwveer!AH36:AH42)</f>
        <v>71.5</v>
      </c>
      <c r="H7" s="21">
        <f>AVERAGE('Edited data A'!C36:C42)</f>
        <v>72.09767106842736</v>
      </c>
      <c r="I7" s="21">
        <f>AVERAGE('Edited data A'!V36:V42)</f>
        <v>2.4414949852739025</v>
      </c>
      <c r="J7" s="21">
        <f>AVERAGE('Edited data A'!W36:W42)</f>
        <v>1.2775764474606326</v>
      </c>
      <c r="K7" s="41">
        <f>AVERAGE('Edited data A'!Z36:Z42)</f>
        <v>1.4577450418344374E-2</v>
      </c>
      <c r="L7" s="50">
        <f>AVERAGE('Edited data A'!AF36:AF42)</f>
        <v>0.5735874905838042</v>
      </c>
      <c r="M7" s="50">
        <f>AVERAGE('Edited data A'!AE36:AE42)</f>
        <v>0.85466228738928474</v>
      </c>
      <c r="N7" s="50" t="e">
        <f>AVERAGE('Additional data LabMET'!B36:B42)</f>
        <v>#DIV/0!</v>
      </c>
      <c r="O7" s="50" t="e">
        <f>AVERAGE('Additional data LabMET'!F36:F42)</f>
        <v>#DIV/0!</v>
      </c>
      <c r="P7" s="50" t="e">
        <f>AVERAGE('Additional data LabMET'!G36:G42)</f>
        <v>#DIV/0!</v>
      </c>
      <c r="Q7" s="50">
        <f>AVERAGE('Additional data LabMET'!H36:H42)</f>
        <v>56.437722000000001</v>
      </c>
      <c r="R7" s="50">
        <f>AVERAGE('Additional data LabMET'!I36:I42)</f>
        <v>42.839745389320449</v>
      </c>
      <c r="S7" s="50">
        <f>AVERAGE('Additional data LabMET'!J36:J42)</f>
        <v>14.519999999999996</v>
      </c>
      <c r="T7" s="21">
        <f>AVERAGE(Data_nieuwveer!AJ36:AJ42)</f>
        <v>0.41803571428571423</v>
      </c>
      <c r="U7" s="21">
        <f>AVERAGE(Data_nieuwveer!AK36:AK42)</f>
        <v>1.561190476190476</v>
      </c>
      <c r="AA7" s="2">
        <f>AVERAGE(Data_nieuwveer!A36:A42)</f>
        <v>41578</v>
      </c>
      <c r="AB7" s="42">
        <f t="shared" si="0"/>
        <v>27.5</v>
      </c>
      <c r="AC7" s="50">
        <f>AVERAGE(Data_nieuwveer!BO36:BO42)</f>
        <v>16.260571428571428</v>
      </c>
      <c r="AD7" s="21">
        <f>AVERAGE('Edited data B'!E36:E42)</f>
        <v>3.3090000000000002</v>
      </c>
      <c r="AE7" s="21" t="e">
        <f>AVERAGE('Edited data B'!M36:M42)</f>
        <v>#DIV/0!</v>
      </c>
      <c r="AF7" s="21">
        <f>AVERAGE('Edited data A'!D36:D42)</f>
        <v>1.7472554981142991</v>
      </c>
      <c r="AG7" s="50">
        <f>AVERAGE(Data_nieuwveer!BL36:BL42)</f>
        <v>132.5</v>
      </c>
      <c r="AH7" s="21">
        <f>AVERAGE('Edited data B'!C36:C42)</f>
        <v>28.068538166814029</v>
      </c>
      <c r="AI7" s="21">
        <f>AVERAGE('Edited data B'!R36:R42)</f>
        <v>9.5500257471327316E-2</v>
      </c>
      <c r="AJ7" s="21">
        <f>AVERAGE('Edited data B'!AA36:AA42)</f>
        <v>19.524539770725447</v>
      </c>
      <c r="AK7" s="41">
        <f>AVERAGE('Edited data B'!AC36:AC42)</f>
        <v>0.11880152819533399</v>
      </c>
      <c r="AL7" s="21">
        <f>AVERAGE('Edited data B'!AF36:AF42)</f>
        <v>0.64822795605746653</v>
      </c>
      <c r="AM7" s="21">
        <f>AVERAGE('Edited data B'!AE36:AE42)</f>
        <v>0.83284787675524929</v>
      </c>
      <c r="AN7" s="50" t="e">
        <f>AVERAGE('Additional data LabMET'!L36:L42)</f>
        <v>#DIV/0!</v>
      </c>
      <c r="AO7" s="50" t="e">
        <f>AVERAGE('Additional data LabMET'!P36:P42)</f>
        <v>#DIV/0!</v>
      </c>
      <c r="AP7" s="50" t="e">
        <f>AVERAGE('Additional data LabMET'!R36:R42)</f>
        <v>#DIV/0!</v>
      </c>
      <c r="AQ7" s="50">
        <f>AVERAGE('Additional data LabMET'!S36:S42)</f>
        <v>87.949817999999993</v>
      </c>
      <c r="AR7" s="50">
        <f>AVERAGE('Additional data LabMET'!T36:T42)</f>
        <v>38.280429957115246</v>
      </c>
      <c r="AS7" s="50">
        <f>AVERAGE('Additional data LabMET'!U36:U42)</f>
        <v>11.780000000000001</v>
      </c>
    </row>
    <row r="8" spans="1:49" x14ac:dyDescent="0.3">
      <c r="A8" s="2">
        <f>AVERAGE(Data_nieuwveer!A43:A49)</f>
        <v>41585</v>
      </c>
      <c r="B8" s="42">
        <f t="shared" si="1"/>
        <v>34.5</v>
      </c>
      <c r="C8" s="50">
        <f>AVERAGE(Data_nieuwveer!BO43:BO49)</f>
        <v>14.078857142857144</v>
      </c>
      <c r="D8" s="21">
        <f>AVERAGE('Edited data A'!E43:E49)/1000</f>
        <v>2.4569999999999999</v>
      </c>
      <c r="E8" s="21">
        <f>AVERAGE('Edited data A'!M43:M49)</f>
        <v>0.76700000000000002</v>
      </c>
      <c r="F8" s="21">
        <f>AVERAGE('Edited data A'!D43:D49)</f>
        <v>0.3206812757950675</v>
      </c>
      <c r="G8" s="50">
        <f>AVERAGE(Data_nieuwveer!AH43:AH49)</f>
        <v>77.5</v>
      </c>
      <c r="H8" s="21">
        <f>AVERAGE('Edited data A'!C43:C49)</f>
        <v>86.116662665066016</v>
      </c>
      <c r="I8" s="21">
        <f>AVERAGE('Edited data A'!V43:V49)</f>
        <v>2.89838615121747</v>
      </c>
      <c r="J8" s="21">
        <f>AVERAGE('Edited data A'!W43:W49)</f>
        <v>1.5805068473848529</v>
      </c>
      <c r="K8" s="41">
        <f>AVERAGE('Edited data A'!Z43:Z49)</f>
        <v>1.3904406957275685E-2</v>
      </c>
      <c r="L8" s="50">
        <f>AVERAGE('Edited data A'!AF43:AF49)</f>
        <v>0.56937461519503851</v>
      </c>
      <c r="M8" s="50">
        <f>AVERAGE('Edited data A'!AE43:AE49)</f>
        <v>0.63363624891748027</v>
      </c>
      <c r="N8" s="50" t="e">
        <f>AVERAGE('Additional data LabMET'!B43:B49)</f>
        <v>#DIV/0!</v>
      </c>
      <c r="O8" s="50">
        <f>AVERAGE('Additional data LabMET'!F43:F49)</f>
        <v>40.134059488898203</v>
      </c>
      <c r="P8" s="50">
        <f>AVERAGE('Additional data LabMET'!G43:G49)</f>
        <v>1.6098369591699999</v>
      </c>
      <c r="Q8" s="50">
        <f>AVERAGE('Additional data LabMET'!H43:H49)</f>
        <v>60.574975999999999</v>
      </c>
      <c r="R8" s="50">
        <f>AVERAGE('Additional data LabMET'!I43:I49)</f>
        <v>45.956193299366767</v>
      </c>
      <c r="S8" s="50">
        <f>AVERAGE('Additional data LabMET'!J43:J49)</f>
        <v>5.6500000000000057</v>
      </c>
      <c r="T8" s="21">
        <f>AVERAGE(Data_nieuwveer!AJ43:AJ49)</f>
        <v>0.5</v>
      </c>
      <c r="U8" s="21">
        <f>AVERAGE(Data_nieuwveer!AK43:AK49)</f>
        <v>1.8335119047619046</v>
      </c>
      <c r="AA8" s="2">
        <f>AVERAGE(Data_nieuwveer!A43:A49)</f>
        <v>41585</v>
      </c>
      <c r="AB8" s="42">
        <f t="shared" si="0"/>
        <v>34.5</v>
      </c>
      <c r="AC8" s="50">
        <f>AVERAGE(Data_nieuwveer!BO43:BO49)</f>
        <v>14.078857142857144</v>
      </c>
      <c r="AD8" s="21">
        <f>AVERAGE('Edited data B'!E43:E49)</f>
        <v>3.4864285714285712</v>
      </c>
      <c r="AE8" s="21">
        <f>AVERAGE('Edited data B'!M43:M49)</f>
        <v>0.75</v>
      </c>
      <c r="AF8" s="21">
        <f>AVERAGE('Edited data A'!D43:D49)</f>
        <v>0.3206812757950675</v>
      </c>
      <c r="AG8" s="50">
        <f>AVERAGE(Data_nieuwveer!BL43:BL49)</f>
        <v>124.5</v>
      </c>
      <c r="AH8" s="21">
        <f>AVERAGE('Edited data B'!C43:C49)</f>
        <v>32.869735484821689</v>
      </c>
      <c r="AI8" s="21">
        <f>AVERAGE('Edited data B'!R43:R49)</f>
        <v>0.1345114975877223</v>
      </c>
      <c r="AJ8" s="21">
        <f>AVERAGE('Edited data B'!AA43:AA49)</f>
        <v>13.256214621399582</v>
      </c>
      <c r="AK8" s="41">
        <f>AVERAGE('Edited data B'!AC43:AC49)</f>
        <v>0.11307228408170641</v>
      </c>
      <c r="AL8" s="21">
        <f>AVERAGE('Edited data B'!AF43:AF49)</f>
        <v>0.62814898647702166</v>
      </c>
      <c r="AM8" s="21">
        <f>AVERAGE('Edited data B'!AE43:AE49)</f>
        <v>-0.69474610325802411</v>
      </c>
      <c r="AN8" s="50" t="e">
        <f>AVERAGE('Additional data LabMET'!L43:L49)</f>
        <v>#DIV/0!</v>
      </c>
      <c r="AO8" s="50">
        <f>AVERAGE('Additional data LabMET'!P43:P49)</f>
        <v>53.861032584436835</v>
      </c>
      <c r="AP8" s="50">
        <f>AVERAGE('Additional data LabMET'!R43:R49)</f>
        <v>54.848484848484851</v>
      </c>
      <c r="AQ8" s="50">
        <f>AVERAGE('Additional data LabMET'!S43:S49)</f>
        <v>62.860336000000004</v>
      </c>
      <c r="AR8" s="50">
        <f>AVERAGE('Additional data LabMET'!T43:T49)</f>
        <v>34.203307776256452</v>
      </c>
      <c r="AS8" s="50">
        <f>AVERAGE('Additional data LabMET'!U43:U49)</f>
        <v>18.409999999999997</v>
      </c>
    </row>
    <row r="9" spans="1:49" x14ac:dyDescent="0.3">
      <c r="A9" s="2">
        <f>AVERAGE(Data_nieuwveer!A50:A56)</f>
        <v>41592</v>
      </c>
      <c r="B9" s="42">
        <f t="shared" si="1"/>
        <v>41.5</v>
      </c>
      <c r="C9" s="50">
        <f>AVERAGE(Data_nieuwveer!BO50:BO56)</f>
        <v>14.260571428571426</v>
      </c>
      <c r="D9" s="21">
        <f>AVERAGE('Edited data A'!E50:E56)/1000</f>
        <v>2.7559999999999998</v>
      </c>
      <c r="E9" s="21">
        <f>AVERAGE('Edited data A'!M50:M56)</f>
        <v>0.74199999999999999</v>
      </c>
      <c r="F9" s="21">
        <f>AVERAGE('Edited data A'!D50:D56)</f>
        <v>1.2504884043898437</v>
      </c>
      <c r="G9" s="50">
        <f>AVERAGE(Data_nieuwveer!AH50:AH56)</f>
        <v>68</v>
      </c>
      <c r="H9" s="21">
        <f>AVERAGE('Edited data A'!C50:C56)</f>
        <v>80.108523409363741</v>
      </c>
      <c r="I9" s="21">
        <f>AVERAGE('Edited data A'!V50:V56)</f>
        <v>2.0743767250364478</v>
      </c>
      <c r="J9" s="21">
        <f>AVERAGE('Edited data A'!W50:W56)</f>
        <v>2.0646601798119169</v>
      </c>
      <c r="K9" s="41">
        <f>AVERAGE('Edited data A'!Z50:Z56)</f>
        <v>1.7262276190644271E-2</v>
      </c>
      <c r="L9" s="50">
        <f>AVERAGE('Edited data A'!AF50:AF56)</f>
        <v>0.67014470829853501</v>
      </c>
      <c r="M9" s="50">
        <f>AVERAGE('Edited data A'!AE50:AE56)</f>
        <v>0.66394746262338622</v>
      </c>
      <c r="N9" s="50">
        <f>AVERAGE('Additional data LabMET'!B50:B56)</f>
        <v>228.12700000000001</v>
      </c>
      <c r="O9" s="50">
        <f>AVERAGE('Additional data LabMET'!F50:F56)</f>
        <v>25.988000521716447</v>
      </c>
      <c r="P9" s="50">
        <f>AVERAGE('Additional data LabMET'!G50:G56)</f>
        <v>1.34310393489</v>
      </c>
      <c r="Q9" s="50">
        <f>AVERAGE('Additional data LabMET'!H50:H56)</f>
        <v>44.459712000000003</v>
      </c>
      <c r="R9" s="50">
        <f>AVERAGE('Additional data LabMET'!I50:I56)</f>
        <v>48.506503389773101</v>
      </c>
      <c r="S9" s="50">
        <f>AVERAGE('Additional data LabMET'!J50:J56)</f>
        <v>8.730000000000004</v>
      </c>
      <c r="T9" s="21">
        <f>AVERAGE(Data_nieuwveer!AJ50:AJ56)</f>
        <v>0.53994047619047625</v>
      </c>
      <c r="U9" s="21">
        <f>AVERAGE(Data_nieuwveer!AK50:AK56)</f>
        <v>2.821190476190476</v>
      </c>
      <c r="AA9" s="2">
        <f>AVERAGE(Data_nieuwveer!A50:A56)</f>
        <v>41592</v>
      </c>
      <c r="AB9" s="42">
        <f t="shared" si="0"/>
        <v>41.5</v>
      </c>
      <c r="AC9" s="50">
        <f>AVERAGE(Data_nieuwveer!BO50:BO56)</f>
        <v>14.260571428571426</v>
      </c>
      <c r="AD9" s="21">
        <f>AVERAGE('Edited data B'!E50:E56)</f>
        <v>3.8937142857142857</v>
      </c>
      <c r="AE9" s="21" t="e">
        <f>AVERAGE('Edited data B'!M50:M56)</f>
        <v>#DIV/0!</v>
      </c>
      <c r="AF9" s="21">
        <f>AVERAGE('Edited data A'!D50:D56)</f>
        <v>1.2504884043898437</v>
      </c>
      <c r="AG9" s="50">
        <f>AVERAGE(Data_nieuwveer!BL50:BL56)</f>
        <v>114</v>
      </c>
      <c r="AH9" s="21">
        <f>AVERAGE('Edited data B'!C50:C56)</f>
        <v>24.005986590038315</v>
      </c>
      <c r="AI9" s="21">
        <f>AVERAGE('Edited data B'!R50:R56)</f>
        <v>6.4814053461428101E-2</v>
      </c>
      <c r="AJ9" s="21">
        <f>AVERAGE('Edited data B'!AA50:AA56)</f>
        <v>16.104062684701368</v>
      </c>
      <c r="AK9" s="41">
        <f>AVERAGE('Edited data B'!AC50:AC56)</f>
        <v>0.14062102753393074</v>
      </c>
      <c r="AL9" s="21">
        <f>AVERAGE('Edited data B'!AF50:AF56)</f>
        <v>0.56041329744307378</v>
      </c>
      <c r="AM9" s="21">
        <f>AVERAGE('Edited data B'!AE50:AE56)</f>
        <v>1.1591657785467613</v>
      </c>
      <c r="AN9" s="50">
        <f>AVERAGE('Additional data LabMET'!L50:L56)</f>
        <v>104.465</v>
      </c>
      <c r="AO9" s="50">
        <f>AVERAGE('Additional data LabMET'!P50:P56)</f>
        <v>64.646464646464665</v>
      </c>
      <c r="AP9" s="50">
        <f>AVERAGE('Additional data LabMET'!R50:R56)</f>
        <v>96.969696969696955</v>
      </c>
      <c r="AQ9" s="50">
        <f>AVERAGE('Additional data LabMET'!S50:S56)</f>
        <v>66.827376000000001</v>
      </c>
      <c r="AR9" s="50">
        <f>AVERAGE('Additional data LabMET'!T50:T56)</f>
        <v>40.514012939809952</v>
      </c>
      <c r="AS9" s="50">
        <f>AVERAGE('Additional data LabMET'!U50:U56)</f>
        <v>12.569999999999993</v>
      </c>
    </row>
    <row r="10" spans="1:49" x14ac:dyDescent="0.3">
      <c r="A10" s="2">
        <f>AVERAGE(Data_nieuwveer!A57:A63)</f>
        <v>41599</v>
      </c>
      <c r="B10" s="42">
        <f t="shared" si="1"/>
        <v>48.5</v>
      </c>
      <c r="C10" s="50">
        <f>AVERAGE(Data_nieuwveer!BO57:BO63)</f>
        <v>14.010285714285715</v>
      </c>
      <c r="D10" s="21">
        <f>AVERAGE('Edited data A'!E57:E63)/1000</f>
        <v>2.8719999999999999</v>
      </c>
      <c r="E10" s="21">
        <f>AVERAGE('Edited data A'!M57:M63)</f>
        <v>0.77</v>
      </c>
      <c r="F10" s="21">
        <f>AVERAGE('Edited data A'!D57:D63)</f>
        <v>1.8474629061642582</v>
      </c>
      <c r="G10" s="50">
        <f>AVERAGE(Data_nieuwveer!AH57:AH63)</f>
        <v>67.5</v>
      </c>
      <c r="H10" s="21">
        <f>AVERAGE('Edited data A'!C57:C63)</f>
        <v>100.13565426170467</v>
      </c>
      <c r="I10" s="21">
        <f>AVERAGE('Edited data A'!V57:V63)</f>
        <v>2.5324775338999621</v>
      </c>
      <c r="J10" s="21">
        <f>AVERAGE('Edited data A'!W57:W63)</f>
        <v>2.0721203477004648</v>
      </c>
      <c r="K10" s="41">
        <f>AVERAGE('Edited data A'!Z57:Z63)</f>
        <v>1.73987532093712E-2</v>
      </c>
      <c r="L10" s="50">
        <f>AVERAGE('Edited data A'!AF57:AF63)</f>
        <v>0.63546782608695651</v>
      </c>
      <c r="M10" s="50">
        <f>AVERAGE('Edited data A'!AE57:AE63)</f>
        <v>0.46058980359915336</v>
      </c>
      <c r="N10" s="50">
        <f>AVERAGE('Additional data LabMET'!B57:B63)</f>
        <v>202.864</v>
      </c>
      <c r="O10" s="50">
        <f>AVERAGE('Additional data LabMET'!F57:F63)</f>
        <v>34.082134082134075</v>
      </c>
      <c r="P10" s="50" t="e">
        <f>AVERAGE('Additional data LabMET'!G57:G63)</f>
        <v>#DIV/0!</v>
      </c>
      <c r="Q10" s="50">
        <f>AVERAGE('Additional data LabMET'!H57:H63)</f>
        <v>83.680036000000001</v>
      </c>
      <c r="R10" s="50">
        <f>AVERAGE('Additional data LabMET'!I57:I63)</f>
        <v>47.721785058464015</v>
      </c>
      <c r="S10" s="50" t="e">
        <f>AVERAGE('Additional data LabMET'!J57:J63)</f>
        <v>#DIV/0!</v>
      </c>
      <c r="T10" s="21">
        <f>AVERAGE(Data_nieuwveer!AJ57:AJ63)</f>
        <v>0.36172619047619048</v>
      </c>
      <c r="U10" s="21">
        <f>AVERAGE(Data_nieuwveer!AK57:AK63)</f>
        <v>1.5430357142857143</v>
      </c>
      <c r="AA10" s="2">
        <f>AVERAGE(Data_nieuwveer!A57:A63)</f>
        <v>41599</v>
      </c>
      <c r="AB10" s="42">
        <f t="shared" si="0"/>
        <v>48.5</v>
      </c>
      <c r="AC10" s="50">
        <f>AVERAGE(Data_nieuwveer!BO57:BO63)</f>
        <v>14.010285714285715</v>
      </c>
      <c r="AD10" s="21">
        <f>AVERAGE('Edited data B'!E57:E63)</f>
        <v>3.3242857142857143</v>
      </c>
      <c r="AE10" s="21">
        <f>AVERAGE('Edited data B'!M57:M63)</f>
        <v>0.74</v>
      </c>
      <c r="AF10" s="21">
        <f>AVERAGE('Edited data A'!D57:D63)</f>
        <v>1.8474629061642582</v>
      </c>
      <c r="AG10" s="50">
        <f>AVERAGE(Data_nieuwveer!BL57:BL63)</f>
        <v>108</v>
      </c>
      <c r="AH10" s="21">
        <f>AVERAGE('Edited data B'!C57:C63)</f>
        <v>33.239058355437663</v>
      </c>
      <c r="AI10" s="21">
        <f>AVERAGE('Edited data B'!R57:R63)</f>
        <v>8.9829559249968369E-2</v>
      </c>
      <c r="AJ10" s="21">
        <f>AVERAGE('Edited data B'!AA57:AA63)</f>
        <v>19.443941680737169</v>
      </c>
      <c r="AK10" s="41">
        <f>AVERAGE('Edited data B'!AC57:AC63)</f>
        <v>0.14174036368537349</v>
      </c>
      <c r="AL10" s="21">
        <f>AVERAGE('Edited data B'!AF57:AF63)</f>
        <v>0.69275688673034164</v>
      </c>
      <c r="AM10" s="21">
        <f>AVERAGE('Edited data B'!AE57:AE63)</f>
        <v>0.19558613039916253</v>
      </c>
      <c r="AN10" s="50">
        <f>AVERAGE('Additional data LabMET'!L57:L63)</f>
        <v>87.630399999999995</v>
      </c>
      <c r="AO10" s="50">
        <f>AVERAGE('Additional data LabMET'!P57:P63)</f>
        <v>78.203723986856531</v>
      </c>
      <c r="AP10" s="50">
        <f>AVERAGE('Additional data LabMET'!R57:R63)</f>
        <v>108.18181818181817</v>
      </c>
      <c r="AQ10" s="50">
        <f>AVERAGE('Additional data LabMET'!S57:S63)</f>
        <v>66.672144000000003</v>
      </c>
      <c r="AR10" s="50">
        <f>AVERAGE('Additional data LabMET'!T57:T63)</f>
        <v>35.415029166023807</v>
      </c>
      <c r="AS10" s="50" t="e">
        <f>AVERAGE('Additional data LabMET'!U57:U63)</f>
        <v>#DIV/0!</v>
      </c>
    </row>
    <row r="11" spans="1:49" x14ac:dyDescent="0.3">
      <c r="A11" s="2">
        <f>AVERAGE(Data_nieuwveer!A64:A70)</f>
        <v>41606</v>
      </c>
      <c r="B11" s="42">
        <f t="shared" si="1"/>
        <v>55.5</v>
      </c>
      <c r="C11" s="50">
        <f>AVERAGE(Data_nieuwveer!BO64:BO70)</f>
        <v>13.920428571428571</v>
      </c>
      <c r="D11" s="21">
        <f>AVERAGE('Edited data A'!E64:E70)/1000</f>
        <v>2.4359999999999999</v>
      </c>
      <c r="E11" s="21">
        <f>AVERAGE('Edited data A'!M64:M70)</f>
        <v>0.78249999999999997</v>
      </c>
      <c r="F11" s="21">
        <f>AVERAGE('Edited data A'!D64:D70)</f>
        <v>2.1219470097748507</v>
      </c>
      <c r="G11" s="50">
        <f>AVERAGE(Data_nieuwveer!AH64:AH70)</f>
        <v>74</v>
      </c>
      <c r="H11" s="21">
        <f>AVERAGE('Edited data A'!C64:C70)</f>
        <v>100.13565426170467</v>
      </c>
      <c r="I11" s="21">
        <f>AVERAGE('Edited data A'!V64:V70)</f>
        <v>2.7736794684752035</v>
      </c>
      <c r="J11" s="21">
        <f>AVERAGE('Edited data A'!W64:W70)</f>
        <v>2.3952125857504467</v>
      </c>
      <c r="K11" s="41">
        <f>AVERAGE('Edited data A'!Z64:Z70)</f>
        <v>1.7637088706126618E-2</v>
      </c>
      <c r="L11" s="50">
        <f>AVERAGE('Edited data A'!AF64:AF70)</f>
        <v>0.59578351403786078</v>
      </c>
      <c r="M11" s="50">
        <f>AVERAGE('Edited data A'!AE64:AE70)</f>
        <v>0.40637076341095579</v>
      </c>
      <c r="N11" s="50" t="e">
        <f>AVERAGE('Additional data LabMET'!B64:B70)</f>
        <v>#DIV/0!</v>
      </c>
      <c r="O11" s="50">
        <f>AVERAGE('Additional data LabMET'!F64:F70)</f>
        <v>36.004447105105612</v>
      </c>
      <c r="P11" s="50">
        <f>AVERAGE('Additional data LabMET'!G64:G70)</f>
        <v>2.4255991885800001</v>
      </c>
      <c r="Q11" s="50">
        <f>AVERAGE('Additional data LabMET'!H64:H70)</f>
        <v>78.675300000000007</v>
      </c>
      <c r="R11" s="50">
        <f>AVERAGE('Additional data LabMET'!I64:I70)</f>
        <v>50.08296986101567</v>
      </c>
      <c r="S11" s="50" t="e">
        <f>AVERAGE('Additional data LabMET'!J64:J70)</f>
        <v>#DIV/0!</v>
      </c>
      <c r="T11" s="21">
        <f>AVERAGE(Data_nieuwveer!AJ64:AJ70)</f>
        <v>0.29773809523809519</v>
      </c>
      <c r="U11" s="21">
        <f>AVERAGE(Data_nieuwveer!AK64:AK70)</f>
        <v>1.5357142857142854</v>
      </c>
      <c r="AA11" s="2">
        <f>AVERAGE(Data_nieuwveer!A64:A70)</f>
        <v>41606</v>
      </c>
      <c r="AB11" s="42">
        <f t="shared" si="0"/>
        <v>55.5</v>
      </c>
      <c r="AC11" s="50">
        <f>AVERAGE(Data_nieuwveer!BO64:BO70)</f>
        <v>13.920428571428571</v>
      </c>
      <c r="AD11" s="21">
        <f>AVERAGE('Edited data B'!E64:E70)</f>
        <v>3.177</v>
      </c>
      <c r="AE11" s="21" t="e">
        <f>AVERAGE('Edited data B'!M64:M70)</f>
        <v>#DIV/0!</v>
      </c>
      <c r="AF11" s="21">
        <f>AVERAGE('Edited data A'!D64:D70)</f>
        <v>2.1219470097748507</v>
      </c>
      <c r="AG11" s="50">
        <f>AVERAGE(Data_nieuwveer!BL64:BL70)</f>
        <v>112</v>
      </c>
      <c r="AH11" s="21">
        <f>AVERAGE('Edited data B'!C64:C70)</f>
        <v>36.932287061597407</v>
      </c>
      <c r="AI11" s="21">
        <f>AVERAGE('Edited data B'!R64:R70)</f>
        <v>0.10270048079521667</v>
      </c>
      <c r="AJ11" s="21">
        <f>AVERAGE('Edited data B'!AA64:AA70)</f>
        <v>22.327569260017778</v>
      </c>
      <c r="AK11" s="41">
        <f>AVERAGE('Edited data B'!AC64:AC70)</f>
        <v>0.14326697477085487</v>
      </c>
      <c r="AL11" s="21">
        <f>AVERAGE('Edited data B'!AF64:AF70)</f>
        <v>0.66354662730718417</v>
      </c>
      <c r="AM11" s="21">
        <f>AVERAGE('Edited data B'!AE64:AE70)</f>
        <v>1.3819375941836129</v>
      </c>
      <c r="AN11" s="50" t="e">
        <f>AVERAGE('Additional data LabMET'!L64:L70)</f>
        <v>#DIV/0!</v>
      </c>
      <c r="AO11" s="50">
        <f>AVERAGE('Additional data LabMET'!P64:P70)</f>
        <v>61.607813673929378</v>
      </c>
      <c r="AP11" s="50">
        <f>AVERAGE('Additional data LabMET'!R64:R70)</f>
        <v>74.545454545454547</v>
      </c>
      <c r="AQ11" s="50">
        <f>AVERAGE('Additional data LabMET'!S64:S70)</f>
        <v>67.180762000000001</v>
      </c>
      <c r="AR11" s="50">
        <f>AVERAGE('Additional data LabMET'!T64:T70)</f>
        <v>30.945498303258056</v>
      </c>
      <c r="AS11" s="50" t="e">
        <f>AVERAGE('Additional data LabMET'!U64:U70)</f>
        <v>#DIV/0!</v>
      </c>
    </row>
    <row r="12" spans="1:49" x14ac:dyDescent="0.3">
      <c r="A12" s="2">
        <f>AVERAGE(Data_nieuwveer!A71:A77)</f>
        <v>41613</v>
      </c>
      <c r="B12" s="42">
        <f t="shared" si="1"/>
        <v>62.5</v>
      </c>
      <c r="C12" s="50">
        <f>AVERAGE(Data_nieuwveer!BO71:BO77)</f>
        <v>13.133571428571429</v>
      </c>
      <c r="D12" s="21">
        <f>AVERAGE('Edited data A'!E71:E77)/1000</f>
        <v>2.819</v>
      </c>
      <c r="E12" s="21">
        <f>AVERAGE('Edited data A'!M71:M77)</f>
        <v>0.77500000000000002</v>
      </c>
      <c r="F12" s="21">
        <f>AVERAGE('Edited data A'!D71:D77)</f>
        <v>2.0686513503189961</v>
      </c>
      <c r="G12" s="50">
        <f>AVERAGE(Data_nieuwveer!AH71:AH77)</f>
        <v>89.5</v>
      </c>
      <c r="H12" s="21" t="e">
        <f>AVERAGE('Edited data A'!C71:C77)</f>
        <v>#DIV/0!</v>
      </c>
      <c r="I12" s="21" t="e">
        <f>AVERAGE('Edited data A'!V71:V77)</f>
        <v>#DIV/0!</v>
      </c>
      <c r="J12" s="21" t="e">
        <f>AVERAGE('Edited data A'!W71:W77)</f>
        <v>#DIV/0!</v>
      </c>
      <c r="K12" s="41">
        <f>AVERAGE('Edited data A'!Z71:Z77)</f>
        <v>1.7912701184001654E-2</v>
      </c>
      <c r="L12" s="50" t="e">
        <f>AVERAGE('Edited data A'!AF71:AF77)</f>
        <v>#DIV/0!</v>
      </c>
      <c r="M12" s="50" t="e">
        <f>AVERAGE('Edited data A'!AE71:AE77)</f>
        <v>#DIV/0!</v>
      </c>
      <c r="N12" s="50">
        <f>AVERAGE('Additional data LabMET'!B71:B77)</f>
        <v>287.60899999999998</v>
      </c>
      <c r="O12" s="50" t="e">
        <f>AVERAGE('Additional data LabMET'!F71:F77)</f>
        <v>#DIV/0!</v>
      </c>
      <c r="P12" s="50" t="e">
        <f>AVERAGE('Additional data LabMET'!G71:G77)</f>
        <v>#DIV/0!</v>
      </c>
      <c r="Q12" s="50">
        <f>AVERAGE('Additional data LabMET'!H71:H77)</f>
        <v>78.6357</v>
      </c>
      <c r="R12" s="50">
        <f>AVERAGE('Additional data LabMET'!I71:I77)</f>
        <v>52.556568634917888</v>
      </c>
      <c r="S12" s="50">
        <f>AVERAGE('Additional data LabMET'!J71:J77)</f>
        <v>3.5900000000000034</v>
      </c>
      <c r="T12" s="21">
        <f>AVERAGE(Data_nieuwveer!AJ71:AJ77)</f>
        <v>0.28583333333333333</v>
      </c>
      <c r="U12" s="21">
        <f>AVERAGE(Data_nieuwveer!AK71:AK77)</f>
        <v>1.5391666666666666</v>
      </c>
      <c r="AA12" s="2">
        <f>AVERAGE(Data_nieuwveer!A71:A77)</f>
        <v>41613</v>
      </c>
      <c r="AB12" s="42">
        <f t="shared" si="0"/>
        <v>62.5</v>
      </c>
      <c r="AC12" s="50">
        <f>AVERAGE(Data_nieuwveer!BO71:BO77)</f>
        <v>13.133571428571429</v>
      </c>
      <c r="AD12" s="21">
        <f>AVERAGE('Edited data B'!E71:E77)</f>
        <v>3.1849999999999996</v>
      </c>
      <c r="AE12" s="21">
        <f>AVERAGE('Edited data B'!M71:M77)</f>
        <v>0.76</v>
      </c>
      <c r="AF12" s="21">
        <f>AVERAGE('Edited data A'!D71:D77)</f>
        <v>2.0686513503189961</v>
      </c>
      <c r="AG12" s="50">
        <f>AVERAGE(Data_nieuwveer!BL71:BL77)</f>
        <v>112</v>
      </c>
      <c r="AH12" s="21" t="e">
        <f>AVERAGE('Edited data B'!C71:C77)</f>
        <v>#DIV/0!</v>
      </c>
      <c r="AI12" s="21" t="e">
        <f>AVERAGE('Edited data B'!R71:R77)</f>
        <v>#DIV/0!</v>
      </c>
      <c r="AJ12" s="21" t="e">
        <f>AVERAGE('Edited data B'!AA71:AA77)</f>
        <v>#DIV/0!</v>
      </c>
      <c r="AK12" s="41">
        <f>AVERAGE('Edited data B'!AC71:AC77)</f>
        <v>0.14583499376937978</v>
      </c>
      <c r="AL12" s="21" t="e">
        <f>AVERAGE('Edited data B'!AF71:AF77)</f>
        <v>#DIV/0!</v>
      </c>
      <c r="AM12" s="21" t="e">
        <f>AVERAGE('Edited data B'!AE71:AE77)</f>
        <v>#DIV/0!</v>
      </c>
      <c r="AN12" s="50">
        <f>AVERAGE('Additional data LabMET'!L71:L77)</f>
        <v>92.618600000000001</v>
      </c>
      <c r="AO12" s="50" t="e">
        <f>AVERAGE('Additional data LabMET'!P71:P77)</f>
        <v>#DIV/0!</v>
      </c>
      <c r="AP12" s="50" t="e">
        <f>AVERAGE('Additional data LabMET'!R71:R77)</f>
        <v>#DIV/0!</v>
      </c>
      <c r="AQ12" s="50">
        <f>AVERAGE('Additional data LabMET'!S71:S77)</f>
        <v>49.988125000000004</v>
      </c>
      <c r="AR12" s="50">
        <f>AVERAGE('Additional data LabMET'!T71:T77)</f>
        <v>30.817186392098673</v>
      </c>
      <c r="AS12" s="50">
        <f>AVERAGE('Additional data LabMET'!U71:U77)</f>
        <v>9.2999999999999972</v>
      </c>
    </row>
    <row r="13" spans="1:49" x14ac:dyDescent="0.3">
      <c r="A13" s="2">
        <f>AVERAGE(Data_nieuwveer!A78:A84)</f>
        <v>41620</v>
      </c>
      <c r="B13" s="42">
        <f t="shared" si="1"/>
        <v>69.5</v>
      </c>
      <c r="C13" s="50">
        <f>AVERAGE(Data_nieuwveer!BO78:BO84)</f>
        <v>12.817714285714285</v>
      </c>
      <c r="D13" s="21">
        <f>AVERAGE('Edited data A'!E78:E84)/1000</f>
        <v>2.919</v>
      </c>
      <c r="E13" s="21">
        <f>AVERAGE('Edited data A'!M78:M84)</f>
        <v>0.84250000000000003</v>
      </c>
      <c r="F13" s="21">
        <f>AVERAGE('Edited data A'!D78:D84)</f>
        <v>2.121678490918065</v>
      </c>
      <c r="G13" s="50">
        <f>AVERAGE(Data_nieuwveer!AH78:AH84)</f>
        <v>65.5</v>
      </c>
      <c r="H13" s="21">
        <f>AVERAGE('Edited data A'!C78:C84)</f>
        <v>60.081392557022809</v>
      </c>
      <c r="I13" s="21">
        <f>AVERAGE('Edited data A'!V78:V84)</f>
        <v>1.216154927592215</v>
      </c>
      <c r="J13" s="21">
        <f>AVERAGE('Edited data A'!W78:W84)</f>
        <v>2.0661229708253912</v>
      </c>
      <c r="K13" s="41">
        <f>AVERAGE('Edited data A'!Z78:Z84)</f>
        <v>1.9356615770530678E-2</v>
      </c>
      <c r="L13" s="50">
        <f>AVERAGE('Edited data A'!AF78:AF84)</f>
        <v>-7.8980048661800528E-2</v>
      </c>
      <c r="M13" s="50">
        <f>AVERAGE('Edited data A'!AE78:AE84)</f>
        <v>1.2593517604022237</v>
      </c>
      <c r="N13" s="50" t="e">
        <f>AVERAGE('Additional data LabMET'!B78:B84)</f>
        <v>#DIV/0!</v>
      </c>
      <c r="O13" s="50">
        <f>AVERAGE('Additional data LabMET'!F78:F84)</f>
        <v>57.503739405019097</v>
      </c>
      <c r="P13" s="50">
        <f>AVERAGE('Additional data LabMET'!G78:G84)</f>
        <v>4.2131719073799996</v>
      </c>
      <c r="Q13" s="50">
        <f>AVERAGE('Additional data LabMET'!H78:H84)</f>
        <v>78.457499999999996</v>
      </c>
      <c r="R13" s="50">
        <f>AVERAGE('Additional data LabMET'!I78:I84)</f>
        <v>54.326144922112562</v>
      </c>
      <c r="S13" s="50">
        <f>AVERAGE('Additional data LabMET'!J78:J84)</f>
        <v>4.8400000000000034</v>
      </c>
      <c r="T13" s="21">
        <f>AVERAGE(Data_nieuwveer!AJ78:AJ84)</f>
        <v>0.39529761904761906</v>
      </c>
      <c r="U13" s="21">
        <f>AVERAGE(Data_nieuwveer!AK78:AK84)</f>
        <v>1.6414285714285715</v>
      </c>
      <c r="AA13" s="2">
        <f>AVERAGE(Data_nieuwveer!A78:A84)</f>
        <v>41620</v>
      </c>
      <c r="AB13" s="42">
        <f t="shared" si="0"/>
        <v>69.5</v>
      </c>
      <c r="AC13" s="50">
        <f>AVERAGE(Data_nieuwveer!BO78:BO84)</f>
        <v>12.817714285714285</v>
      </c>
      <c r="AD13" s="21">
        <f>AVERAGE('Edited data B'!E78:E84)</f>
        <v>3.3598571428571424</v>
      </c>
      <c r="AE13" s="21" t="e">
        <f>AVERAGE('Edited data B'!M78:M84)</f>
        <v>#DIV/0!</v>
      </c>
      <c r="AF13" s="21">
        <f>AVERAGE('Edited data A'!D78:D84)</f>
        <v>2.121678490918065</v>
      </c>
      <c r="AG13" s="50">
        <f>AVERAGE(Data_nieuwveer!BL78:BL84)</f>
        <v>116.5</v>
      </c>
      <c r="AH13" s="21">
        <f>AVERAGE('Edited data B'!C78:C84)</f>
        <v>59.091659298555854</v>
      </c>
      <c r="AI13" s="21">
        <f>AVERAGE('Edited data B'!R78:R84)</f>
        <v>0.14828724774579227</v>
      </c>
      <c r="AJ13" s="21">
        <f>AVERAGE('Edited data B'!AA78:AA84)</f>
        <v>26.150166425549649</v>
      </c>
      <c r="AK13" s="41">
        <f>AVERAGE('Edited data B'!AC78:AC84)</f>
        <v>0.15781943547462535</v>
      </c>
      <c r="AL13" s="21">
        <f>AVERAGE('Edited data B'!AF78:AF84)</f>
        <v>0.77756771286210646</v>
      </c>
      <c r="AM13" s="21">
        <f>AVERAGE('Edited data B'!AE78:AE84)</f>
        <v>0.585644991776195</v>
      </c>
      <c r="AN13" s="50" t="e">
        <f>AVERAGE('Additional data LabMET'!L78:L84)</f>
        <v>#DIV/0!</v>
      </c>
      <c r="AO13" s="50">
        <f>AVERAGE('Additional data LabMET'!P78:P84)</f>
        <v>61.847988077496254</v>
      </c>
      <c r="AP13" s="50">
        <f>AVERAGE('Additional data LabMET'!R78:R84)</f>
        <v>75.454545454545453</v>
      </c>
      <c r="AQ13" s="50">
        <f>AVERAGE('Additional data LabMET'!S78:S84)</f>
        <v>81.821695999999989</v>
      </c>
      <c r="AR13" s="50">
        <f>AVERAGE('Additional data LabMET'!T78:T84)</f>
        <v>28.791206148827563</v>
      </c>
      <c r="AS13" s="50">
        <f>AVERAGE('Additional data LabMET'!U78:U84)</f>
        <v>9.9099999999999966</v>
      </c>
    </row>
    <row r="14" spans="1:49" x14ac:dyDescent="0.3">
      <c r="A14" s="2">
        <f>AVERAGE(Data_nieuwveer!A85:A91)</f>
        <v>41627</v>
      </c>
      <c r="B14" s="42">
        <f t="shared" si="1"/>
        <v>76.5</v>
      </c>
      <c r="C14" s="50">
        <f>AVERAGE(Data_nieuwveer!BO85:BO91)</f>
        <v>12.54385714285714</v>
      </c>
      <c r="D14" s="21">
        <f>AVERAGE('Edited data A'!E85:E91)/1000</f>
        <v>2.5470000000000002</v>
      </c>
      <c r="E14" s="21">
        <f>AVERAGE('Edited data A'!M85:M91)</f>
        <v>0.84949999999999992</v>
      </c>
      <c r="F14" s="21">
        <f>AVERAGE('Edited data A'!D85:D91)</f>
        <v>1.8060957535318904</v>
      </c>
      <c r="G14" s="50">
        <f>AVERAGE(Data_nieuwveer!AH85:AH91)</f>
        <v>70.5</v>
      </c>
      <c r="H14" s="21">
        <f>AVERAGE('Edited data A'!C85:C91)</f>
        <v>73.432813125250092</v>
      </c>
      <c r="I14" s="21">
        <f>AVERAGE('Edited data A'!V85:V91)</f>
        <v>1.7354868522730538</v>
      </c>
      <c r="J14" s="21">
        <f>AVERAGE('Edited data A'!W85:W91)</f>
        <v>2.673532865755194</v>
      </c>
      <c r="K14" s="41">
        <f>AVERAGE('Edited data A'!Z85:Z91)</f>
        <v>1.898086986605993E-2</v>
      </c>
      <c r="L14" s="50">
        <f>AVERAGE('Edited data A'!AF85:AF91)</f>
        <v>0.28412077431668165</v>
      </c>
      <c r="M14" s="50">
        <f>AVERAGE('Edited data A'!AE85:AE91)</f>
        <v>0.64965534181282425</v>
      </c>
      <c r="N14" s="50">
        <f>AVERAGE('Additional data LabMET'!B85:B91)</f>
        <v>292.65899999999999</v>
      </c>
      <c r="O14" s="50">
        <f>AVERAGE('Additional data LabMET'!F85:F91)</f>
        <v>42.648709315375974</v>
      </c>
      <c r="P14" s="50">
        <f>AVERAGE('Additional data LabMET'!G85:G91)</f>
        <v>1.1690743803000001</v>
      </c>
      <c r="Q14" s="50">
        <f>AVERAGE('Additional data LabMET'!H85:H91)</f>
        <v>51.992511999999998</v>
      </c>
      <c r="R14" s="50">
        <f>AVERAGE('Additional data LabMET'!I85:I91)</f>
        <v>47.67543624928954</v>
      </c>
      <c r="S14" s="50">
        <f>AVERAGE('Additional data LabMET'!J85:J91)</f>
        <v>4.9000000000000057</v>
      </c>
      <c r="T14" s="21">
        <f>AVERAGE(Data_nieuwveer!AJ85:AJ91)</f>
        <v>0.33494047619047623</v>
      </c>
      <c r="U14" s="21">
        <f>AVERAGE(Data_nieuwveer!AK85:AK91)</f>
        <v>1.5248809523809523</v>
      </c>
      <c r="AA14" s="2">
        <f>AVERAGE(Data_nieuwveer!A85:A91)</f>
        <v>41627</v>
      </c>
      <c r="AB14" s="42">
        <f t="shared" si="0"/>
        <v>76.5</v>
      </c>
      <c r="AC14" s="50">
        <f>AVERAGE(Data_nieuwveer!BO85:BO91)</f>
        <v>12.54385714285714</v>
      </c>
      <c r="AD14" s="21">
        <f>AVERAGE('Edited data B'!E85:E91)</f>
        <v>3.540714285714285</v>
      </c>
      <c r="AE14" s="21">
        <f>AVERAGE('Edited data B'!M85:M91)</f>
        <v>0.78</v>
      </c>
      <c r="AF14" s="21">
        <f>AVERAGE('Edited data A'!D85:D91)</f>
        <v>1.8060957535318904</v>
      </c>
      <c r="AG14" s="50">
        <f>AVERAGE(Data_nieuwveer!BL85:BL91)</f>
        <v>116</v>
      </c>
      <c r="AH14" s="21">
        <f>AVERAGE('Edited data B'!C85:C91)</f>
        <v>48.01197318007663</v>
      </c>
      <c r="AI14" s="21">
        <f>AVERAGE('Edited data B'!R85:R91)</f>
        <v>0.11381453867161669</v>
      </c>
      <c r="AJ14" s="21">
        <f>AVERAGE('Edited data B'!AA85:AA91)</f>
        <v>22.652401197565069</v>
      </c>
      <c r="AK14" s="41">
        <f>AVERAGE('Edited data B'!AC85:AC91)</f>
        <v>0.15417977033986294</v>
      </c>
      <c r="AL14" s="21">
        <f>AVERAGE('Edited data B'!AF85:AF91)</f>
        <v>0.69372616188757341</v>
      </c>
      <c r="AM14" s="21">
        <f>AVERAGE('Edited data B'!AE85:AE91)</f>
        <v>0.50388644761287071</v>
      </c>
      <c r="AN14" s="50">
        <f>AVERAGE('Additional data LabMET'!L85:L91)</f>
        <v>89.884699999999995</v>
      </c>
      <c r="AO14" s="50">
        <f>AVERAGE('Additional data LabMET'!P85:P91)</f>
        <v>68.698965704953721</v>
      </c>
      <c r="AP14" s="50">
        <f>AVERAGE('Additional data LabMET'!R85:R91)</f>
        <v>95.606060606060609</v>
      </c>
      <c r="AQ14" s="50">
        <f>AVERAGE('Additional data LabMET'!S85:S91)</f>
        <v>76.904025000000004</v>
      </c>
      <c r="AR14" s="50">
        <f>AVERAGE('Additional data LabMET'!T85:T91)</f>
        <v>31.998314383892801</v>
      </c>
      <c r="AS14" s="50">
        <f>AVERAGE('Additional data LabMET'!U85:U91)</f>
        <v>14.420000000000002</v>
      </c>
    </row>
    <row r="15" spans="1:49" x14ac:dyDescent="0.3">
      <c r="A15" s="2">
        <f>AVERAGE(Data_nieuwveer!A92:A98)</f>
        <v>41634</v>
      </c>
      <c r="B15" s="42">
        <f t="shared" si="1"/>
        <v>83.5</v>
      </c>
      <c r="C15" s="50">
        <f>AVERAGE(Data_nieuwveer!BO92:BO98)</f>
        <v>11.869428571428571</v>
      </c>
      <c r="D15" s="21">
        <f>AVERAGE('Edited data A'!E92:E98)/1000</f>
        <v>2.9119999999999999</v>
      </c>
      <c r="E15" s="21">
        <f>AVERAGE('Edited data A'!M92:M98)</f>
        <v>0.85599999999999998</v>
      </c>
      <c r="F15" s="21">
        <f>AVERAGE('Edited data A'!D92:D98)</f>
        <v>1.2394827234829759</v>
      </c>
      <c r="G15" s="50">
        <f>AVERAGE(Data_nieuwveer!AH92:AH98)</f>
        <v>93</v>
      </c>
      <c r="H15" s="21">
        <f>AVERAGE('Edited data A'!C92:C98)</f>
        <v>104.14108043217286</v>
      </c>
      <c r="I15" s="21">
        <f>AVERAGE('Edited data A'!V92:V98)</f>
        <v>2.3647523118777007</v>
      </c>
      <c r="J15" s="21">
        <f>AVERAGE('Edited data A'!W92:W98)</f>
        <v>1.7817007935696598</v>
      </c>
      <c r="K15" s="41">
        <f>AVERAGE('Edited data A'!Z92:Z98)</f>
        <v>1.7195664907701302E-2</v>
      </c>
      <c r="L15" s="50">
        <f>AVERAGE('Edited data A'!AF92:AF98)</f>
        <v>0.45635146295422369</v>
      </c>
      <c r="M15" s="50">
        <f>AVERAGE('Edited data A'!AE92:AE98)</f>
        <v>0.64529266309247224</v>
      </c>
      <c r="N15" s="50" t="e">
        <f>AVERAGE('Additional data LabMET'!B92:B98)</f>
        <v>#DIV/0!</v>
      </c>
      <c r="O15" s="50" t="e">
        <f>AVERAGE('Additional data LabMET'!F92:F98)</f>
        <v>#DIV/0!</v>
      </c>
      <c r="P15" s="50" t="e">
        <f>AVERAGE('Additional data LabMET'!G92:G98)</f>
        <v>#DIV/0!</v>
      </c>
      <c r="Q15" s="50">
        <f>AVERAGE('Additional data LabMET'!H92:H98)</f>
        <v>60.428368000000006</v>
      </c>
      <c r="R15" s="50">
        <f>AVERAGE('Additional data LabMET'!I92:I98)</f>
        <v>50.919560068736402</v>
      </c>
      <c r="S15" s="50" t="e">
        <f>AVERAGE('Additional data LabMET'!J92:J98)</f>
        <v>#DIV/0!</v>
      </c>
      <c r="T15" s="21">
        <f>AVERAGE(Data_nieuwveer!AJ92:AJ98)</f>
        <v>0.84005952380952387</v>
      </c>
      <c r="U15" s="21">
        <f>AVERAGE(Data_nieuwveer!AK92:AK98)</f>
        <v>1.8973214285714284</v>
      </c>
      <c r="AA15" s="2">
        <f>AVERAGE(Data_nieuwveer!A92:A98)</f>
        <v>41634</v>
      </c>
      <c r="AB15" s="42">
        <f t="shared" si="0"/>
        <v>83.5</v>
      </c>
      <c r="AC15" s="50">
        <f>AVERAGE(Data_nieuwveer!BO92:BO98)</f>
        <v>11.869428571428571</v>
      </c>
      <c r="AD15" s="21">
        <f>AVERAGE('Edited data B'!E92:E98)</f>
        <v>3.838857142857143</v>
      </c>
      <c r="AE15" s="21">
        <f>AVERAGE('Edited data B'!M92:M98)</f>
        <v>0.81</v>
      </c>
      <c r="AF15" s="21">
        <f>AVERAGE('Edited data A'!D92:D98)</f>
        <v>1.2394827234829759</v>
      </c>
      <c r="AG15" s="50">
        <f>AVERAGE(Data_nieuwveer!BL92:BL98)</f>
        <v>116.5</v>
      </c>
      <c r="AH15" s="21">
        <f>AVERAGE('Edited data B'!C92:C98)</f>
        <v>51.705201886236374</v>
      </c>
      <c r="AI15" s="21">
        <f>AVERAGE('Edited data B'!R92:R98)</f>
        <v>0.16806247438745478</v>
      </c>
      <c r="AJ15" s="21">
        <f>AVERAGE('Edited data B'!AA92:AA98)</f>
        <v>12.076089237581492</v>
      </c>
      <c r="AK15" s="41">
        <f>AVERAGE('Edited data B'!AC92:AC98)</f>
        <v>0.13978031238605076</v>
      </c>
      <c r="AL15" s="21">
        <f>AVERAGE('Edited data B'!AF92:AF98)</f>
        <v>0.72408644596909921</v>
      </c>
      <c r="AM15" s="21">
        <f>AVERAGE('Edited data B'!AE92:AE98)</f>
        <v>-0.77507117366539868</v>
      </c>
      <c r="AN15" s="50" t="e">
        <f>AVERAGE('Additional data LabMET'!L92:L98)</f>
        <v>#DIV/0!</v>
      </c>
      <c r="AO15" s="50" t="e">
        <f>AVERAGE('Additional data LabMET'!P92:P98)</f>
        <v>#DIV/0!</v>
      </c>
      <c r="AP15" s="50" t="e">
        <f>AVERAGE('Additional data LabMET'!R92:R98)</f>
        <v>#DIV/0!</v>
      </c>
      <c r="AQ15" s="50">
        <f>AVERAGE('Additional data LabMET'!S92:S98)</f>
        <v>88.704000000000008</v>
      </c>
      <c r="AR15" s="50">
        <f>AVERAGE('Additional data LabMET'!T92:T98)</f>
        <v>29.540756815655534</v>
      </c>
      <c r="AS15" s="50" t="e">
        <f>AVERAGE('Additional data LabMET'!U92:U98)</f>
        <v>#DIV/0!</v>
      </c>
    </row>
    <row r="16" spans="1:49" x14ac:dyDescent="0.3">
      <c r="A16" s="2">
        <f>AVERAGE(Data_nieuwveer!A99:A105)</f>
        <v>41641</v>
      </c>
      <c r="B16" s="42">
        <f t="shared" si="1"/>
        <v>90.5</v>
      </c>
      <c r="C16" s="50">
        <f>AVERAGE(Data_nieuwveer!BO99:BO105)</f>
        <v>11.600000000000003</v>
      </c>
      <c r="D16" s="21">
        <f>AVERAGE('Edited data A'!E99:E105)/1000</f>
        <v>3.38</v>
      </c>
      <c r="E16" s="21">
        <f>AVERAGE('Edited data A'!M99:M105)</f>
        <v>0.85399999999999998</v>
      </c>
      <c r="F16" s="21">
        <f>AVERAGE('Edited data A'!D99:D105)</f>
        <v>1.4573669002016325</v>
      </c>
      <c r="G16" s="50">
        <f>AVERAGE(Data_nieuwveer!AH99:AH105)</f>
        <v>94</v>
      </c>
      <c r="H16" s="21">
        <f>AVERAGE('Edited data A'!C99:C105)</f>
        <v>68.092244897959176</v>
      </c>
      <c r="I16" s="21">
        <f>AVERAGE('Edited data A'!V99:V105)</f>
        <v>1.4019444899669002</v>
      </c>
      <c r="J16" s="21">
        <f>AVERAGE('Edited data A'!W99:W105)</f>
        <v>2.3479192598249279</v>
      </c>
      <c r="K16" s="41">
        <f>AVERAGE('Edited data A'!Z99:Z105)</f>
        <v>1.7371207364919795E-2</v>
      </c>
      <c r="L16" s="50">
        <f>AVERAGE('Edited data A'!AF99:AF105)</f>
        <v>0.22548277617717041</v>
      </c>
      <c r="M16" s="50">
        <f>AVERAGE('Edited data A'!AE99:AE105)</f>
        <v>0.74916226464501046</v>
      </c>
      <c r="N16" s="50" t="e">
        <f>AVERAGE('Additional data LabMET'!B99:B105)</f>
        <v>#DIV/0!</v>
      </c>
      <c r="O16" s="50" t="e">
        <f>AVERAGE('Additional data LabMET'!F99:F105)</f>
        <v>#DIV/0!</v>
      </c>
      <c r="P16" s="50" t="e">
        <f>AVERAGE('Additional data LabMET'!G99:G105)</f>
        <v>#DIV/0!</v>
      </c>
      <c r="Q16" s="50" t="e">
        <f>AVERAGE('Additional data LabMET'!H99:H105)</f>
        <v>#DIV/0!</v>
      </c>
      <c r="R16" s="50" t="e">
        <f>AVERAGE('Additional data LabMET'!I99:I105)</f>
        <v>#DIV/0!</v>
      </c>
      <c r="S16" s="50" t="e">
        <f>AVERAGE('Additional data LabMET'!J99:J105)</f>
        <v>#DIV/0!</v>
      </c>
      <c r="T16" s="21">
        <f>AVERAGE(Data_nieuwveer!AJ99:AJ105)</f>
        <v>0.50571428571428567</v>
      </c>
      <c r="U16" s="21">
        <f>AVERAGE(Data_nieuwveer!AK99:AK105)</f>
        <v>1.6512499999999999</v>
      </c>
      <c r="AA16" s="2">
        <f>AVERAGE(Data_nieuwveer!A99:A105)</f>
        <v>41641</v>
      </c>
      <c r="AB16" s="42">
        <f t="shared" si="0"/>
        <v>90.5</v>
      </c>
      <c r="AC16" s="50">
        <f>AVERAGE(Data_nieuwveer!BO99:BO105)</f>
        <v>11.600000000000003</v>
      </c>
      <c r="AD16" s="21">
        <f>AVERAGE('Edited data B'!E99:E105)</f>
        <v>4.0175714285714283</v>
      </c>
      <c r="AE16" s="21">
        <f>AVERAGE('Edited data B'!M99:M105)</f>
        <v>0.81</v>
      </c>
      <c r="AF16" s="21">
        <f>AVERAGE('Edited data A'!D99:D105)</f>
        <v>1.4573669002016325</v>
      </c>
      <c r="AG16" s="50">
        <f>AVERAGE(Data_nieuwveer!BL99:BL105)</f>
        <v>120.5</v>
      </c>
      <c r="AH16" s="21">
        <f>AVERAGE('Edited data B'!C99:C105)</f>
        <v>48.01197318007663</v>
      </c>
      <c r="AI16" s="21">
        <f>AVERAGE('Edited data B'!R99:R105)</f>
        <v>0.11884069128557949</v>
      </c>
      <c r="AJ16" s="21">
        <f>AVERAGE('Edited data B'!AA99:AA105)</f>
        <v>14.783543875624751</v>
      </c>
      <c r="AK16" s="41">
        <f>AVERAGE('Edited data B'!AC99:AC105)</f>
        <v>0.14114389992032389</v>
      </c>
      <c r="AL16" s="21">
        <f>AVERAGE('Edited data B'!AF99:AF105)</f>
        <v>0.68101571413739626</v>
      </c>
      <c r="AM16" s="21">
        <f>AVERAGE('Edited data B'!AE99:AE105)</f>
        <v>1.4517599750699106</v>
      </c>
      <c r="AN16" s="50" t="e">
        <f>AVERAGE('Additional data LabMET'!L99:L105)</f>
        <v>#DIV/0!</v>
      </c>
      <c r="AO16" s="50" t="e">
        <f>AVERAGE('Additional data LabMET'!P99:P105)</f>
        <v>#DIV/0!</v>
      </c>
      <c r="AP16" s="50" t="e">
        <f>AVERAGE('Additional data LabMET'!R99:R105)</f>
        <v>#DIV/0!</v>
      </c>
      <c r="AQ16" s="50" t="e">
        <f>AVERAGE('Additional data LabMET'!S99:S105)</f>
        <v>#DIV/0!</v>
      </c>
      <c r="AR16" s="50" t="e">
        <f>AVERAGE('Additional data LabMET'!T99:T105)</f>
        <v>#DIV/0!</v>
      </c>
      <c r="AS16" s="50" t="e">
        <f>AVERAGE('Additional data LabMET'!U99:U105)</f>
        <v>#DIV/0!</v>
      </c>
    </row>
    <row r="17" spans="1:45" x14ac:dyDescent="0.3">
      <c r="A17" s="2">
        <f>AVERAGE(Data_nieuwveer!A106:A112)</f>
        <v>41648</v>
      </c>
      <c r="B17" s="42">
        <f t="shared" si="1"/>
        <v>97.5</v>
      </c>
      <c r="C17" s="50">
        <f>AVERAGE(Data_nieuwveer!BO106:BO112)</f>
        <v>12.293428571428572</v>
      </c>
      <c r="D17" s="21">
        <f>AVERAGE('Edited data A'!E106:E112)/1000</f>
        <v>3.0150000000000001</v>
      </c>
      <c r="E17" s="21">
        <f>AVERAGE('Edited data A'!M106:M112)</f>
        <v>0.80300000000000005</v>
      </c>
      <c r="F17" s="21">
        <f>AVERAGE('Edited data A'!D106:D112)</f>
        <v>1.4906491357159992</v>
      </c>
      <c r="G17" s="50">
        <f>AVERAGE(Data_nieuwveer!AH106:AH112)</f>
        <v>74</v>
      </c>
      <c r="H17" s="21">
        <f>AVERAGE('Edited data A'!C106:C112)</f>
        <v>84.113949579831925</v>
      </c>
      <c r="I17" s="21">
        <f>AVERAGE('Edited data A'!V106:V112)</f>
        <v>1.7828214081753269</v>
      </c>
      <c r="J17" s="21">
        <f>AVERAGE('Edited data A'!W106:W112)</f>
        <v>1.4249403553113016</v>
      </c>
      <c r="K17" s="41">
        <f>AVERAGE('Edited data A'!Z106:Z112)</f>
        <v>1.9543381342318512E-2</v>
      </c>
      <c r="L17" s="50">
        <f>AVERAGE('Edited data A'!AF106:AF112)</f>
        <v>0.41919248447570312</v>
      </c>
      <c r="M17" s="50">
        <f>AVERAGE('Edited data A'!AE106:AE112)</f>
        <v>0.90896224956984428</v>
      </c>
      <c r="N17" s="50" t="e">
        <f>AVERAGE('Additional data LabMET'!B106:B112)</f>
        <v>#DIV/0!</v>
      </c>
      <c r="O17" s="50" t="e">
        <f>AVERAGE('Additional data LabMET'!F106:F112)</f>
        <v>#DIV/0!</v>
      </c>
      <c r="P17" s="50" t="e">
        <f>AVERAGE('Additional data LabMET'!G106:G112)</f>
        <v>#DIV/0!</v>
      </c>
      <c r="Q17" s="50">
        <f>AVERAGE('Additional data LabMET'!H106:H112)</f>
        <v>58.744399999999992</v>
      </c>
      <c r="R17" s="50">
        <f>AVERAGE('Additional data LabMET'!I106:I112)</f>
        <v>47.427933811203559</v>
      </c>
      <c r="S17" s="50" t="e">
        <f>AVERAGE('Additional data LabMET'!J106:J112)</f>
        <v>#DIV/0!</v>
      </c>
      <c r="T17" s="21">
        <f>AVERAGE(Data_nieuwveer!AJ106:AJ112)</f>
        <v>0.37154761904761902</v>
      </c>
      <c r="U17" s="21">
        <f>AVERAGE(Data_nieuwveer!AK106:AK112)</f>
        <v>1.5297619047619049</v>
      </c>
      <c r="AA17" s="2">
        <f>AVERAGE(Data_nieuwveer!A106:A112)</f>
        <v>41648</v>
      </c>
      <c r="AB17" s="42">
        <f t="shared" si="0"/>
        <v>97.5</v>
      </c>
      <c r="AC17" s="50">
        <f>AVERAGE(Data_nieuwveer!BO106:BO112)</f>
        <v>12.293428571428572</v>
      </c>
      <c r="AD17" s="21">
        <f>AVERAGE('Edited data B'!E106:E112)</f>
        <v>3.9505714285714286</v>
      </c>
      <c r="AE17" s="21" t="e">
        <f>AVERAGE('Edited data B'!M106:M112)</f>
        <v>#DIV/0!</v>
      </c>
      <c r="AF17" s="21">
        <f>AVERAGE('Edited data A'!D106:D112)</f>
        <v>1.4906491357159992</v>
      </c>
      <c r="AG17" s="50">
        <f>AVERAGE(Data_nieuwveer!BL106:BL112)</f>
        <v>108.5</v>
      </c>
      <c r="AH17" s="21">
        <f>AVERAGE('Edited data B'!C106:C112)</f>
        <v>44.318744473916887</v>
      </c>
      <c r="AI17" s="21">
        <f>AVERAGE('Edited data B'!R106:R112)</f>
        <v>9.9914366651323569E-2</v>
      </c>
      <c r="AJ17" s="21">
        <f>AVERAGE('Edited data B'!AA106:AA112)</f>
        <v>15.200530603075533</v>
      </c>
      <c r="AK17" s="41">
        <f>AVERAGE('Edited data B'!AC106:AC112)</f>
        <v>0.15978753788674777</v>
      </c>
      <c r="AL17" s="21">
        <f>AVERAGE('Edited data B'!AF106:AF112)</f>
        <v>0.68024813599968514</v>
      </c>
      <c r="AM17" s="21">
        <f>AVERAGE('Edited data B'!AE106:AE112)</f>
        <v>1.3354020658120824</v>
      </c>
      <c r="AN17" s="50">
        <f>AVERAGE('Additional data LabMET'!L106:L112)</f>
        <v>83.212699999999998</v>
      </c>
      <c r="AO17" s="50" t="e">
        <f>AVERAGE('Additional data LabMET'!P106:P112)</f>
        <v>#DIV/0!</v>
      </c>
      <c r="AP17" s="50" t="e">
        <f>AVERAGE('Additional data LabMET'!R106:R112)</f>
        <v>#DIV/0!</v>
      </c>
      <c r="AQ17" s="50">
        <f>AVERAGE('Additional data LabMET'!S106:S112)</f>
        <v>86.496256000000002</v>
      </c>
      <c r="AR17" s="50">
        <f>AVERAGE('Additional data LabMET'!T106:T112)</f>
        <v>30.943471019742098</v>
      </c>
      <c r="AS17" s="50" t="e">
        <f>AVERAGE('Additional data LabMET'!U106:U112)</f>
        <v>#DIV/0!</v>
      </c>
    </row>
    <row r="18" spans="1:45" x14ac:dyDescent="0.3">
      <c r="A18" s="2">
        <f>AVERAGE(Data_nieuwveer!A113:A119)</f>
        <v>41655</v>
      </c>
      <c r="B18" s="42">
        <f t="shared" si="1"/>
        <v>104.5</v>
      </c>
      <c r="C18" s="50">
        <f>AVERAGE(Data_nieuwveer!BO113:BO119)</f>
        <v>11.828999999999999</v>
      </c>
      <c r="D18" s="21">
        <f>AVERAGE('Edited data A'!E113:E119)/1000</f>
        <v>2.9430000000000001</v>
      </c>
      <c r="E18" s="21">
        <f>AVERAGE('Edited data A'!M113:M119)</f>
        <v>0.79849999999999999</v>
      </c>
      <c r="F18" s="21">
        <f>AVERAGE('Edited data A'!D113:D119)</f>
        <v>0.84257204593410095</v>
      </c>
      <c r="G18" s="50">
        <f>AVERAGE(Data_nieuwveer!AH113:AH119)</f>
        <v>81.5</v>
      </c>
      <c r="H18" s="21">
        <f>AVERAGE('Edited data A'!C113:C119)</f>
        <v>96.130228091236489</v>
      </c>
      <c r="I18" s="21">
        <f>AVERAGE('Edited data A'!V113:V119)</f>
        <v>1.3446150766501686</v>
      </c>
      <c r="J18" s="21">
        <f>AVERAGE('Edited data A'!W113:W119)</f>
        <v>1.8484849798000944</v>
      </c>
      <c r="K18" s="41">
        <f>AVERAGE('Edited data A'!Z113:Z119)</f>
        <v>2.5198876677537639E-2</v>
      </c>
      <c r="L18" s="50">
        <f>AVERAGE('Edited data A'!AF113:AF119)</f>
        <v>0.49003852330931497</v>
      </c>
      <c r="M18" s="50">
        <f>AVERAGE('Edited data A'!AE113:AE119)</f>
        <v>1.0824338769791788</v>
      </c>
      <c r="N18" s="50">
        <f>AVERAGE('Additional data LabMET'!B113:B119)</f>
        <v>237.40100000000001</v>
      </c>
      <c r="O18" s="50" t="e">
        <f>AVERAGE('Additional data LabMET'!F113:F119)</f>
        <v>#DIV/0!</v>
      </c>
      <c r="P18" s="50" t="e">
        <f>AVERAGE('Additional data LabMET'!G113:G119)</f>
        <v>#DIV/0!</v>
      </c>
      <c r="Q18" s="50">
        <f>AVERAGE('Additional data LabMET'!H113:H119)</f>
        <v>58.632859999999994</v>
      </c>
      <c r="R18" s="50">
        <f>AVERAGE('Additional data LabMET'!I113:I119)</f>
        <v>46.554803407739044</v>
      </c>
      <c r="S18" s="50">
        <f>AVERAGE('Additional data LabMET'!J113:J119)</f>
        <v>4.0100000000000051</v>
      </c>
      <c r="T18" s="21">
        <f>AVERAGE(Data_nieuwveer!AJ113:AJ119)</f>
        <v>0.63547619047619031</v>
      </c>
      <c r="U18" s="21">
        <f>AVERAGE(Data_nieuwveer!AK113:AK119)</f>
        <v>2.0479166666666666</v>
      </c>
      <c r="AA18" s="2">
        <f>AVERAGE(Data_nieuwveer!A113:A119)</f>
        <v>41655</v>
      </c>
      <c r="AB18" s="42">
        <f t="shared" si="0"/>
        <v>104.5</v>
      </c>
      <c r="AC18" s="50">
        <f>AVERAGE(Data_nieuwveer!BO113:BO119)</f>
        <v>11.828999999999999</v>
      </c>
      <c r="AD18" s="21">
        <f>AVERAGE('Edited data B'!E113:E119)</f>
        <v>3.6032857142857146</v>
      </c>
      <c r="AE18" s="21">
        <f>AVERAGE('Edited data B'!M113:M119)</f>
        <v>0.78</v>
      </c>
      <c r="AF18" s="21">
        <f>AVERAGE('Edited data A'!D113:D119)</f>
        <v>0.84257204593410095</v>
      </c>
      <c r="AG18" s="50">
        <f>AVERAGE(Data_nieuwveer!BL113:BL119)</f>
        <v>109.5</v>
      </c>
      <c r="AH18" s="21">
        <f>AVERAGE('Edited data B'!C113:C119)</f>
        <v>44.318744473916887</v>
      </c>
      <c r="AI18" s="21">
        <f>AVERAGE('Edited data B'!R113:R119)</f>
        <v>7.3148877674732216E-2</v>
      </c>
      <c r="AJ18" s="21">
        <f>AVERAGE('Edited data B'!AA113:AA119)</f>
        <v>23.193626491049983</v>
      </c>
      <c r="AK18" s="41">
        <f>AVERAGE('Edited data B'!AC113:AC119)</f>
        <v>0.20702512116832292</v>
      </c>
      <c r="AL18" s="21">
        <f>AVERAGE('Edited data B'!AF113:AF119)</f>
        <v>0.70586013482155263</v>
      </c>
      <c r="AM18" s="21">
        <f>AVERAGE('Edited data B'!AE113:AE119)</f>
        <v>-0.26393355311142436</v>
      </c>
      <c r="AN18" s="50">
        <f>AVERAGE('Additional data LabMET'!L113:L119)</f>
        <v>81.155100000000004</v>
      </c>
      <c r="AO18" s="50">
        <f>AVERAGE('Additional data LabMET'!P113:P119)</f>
        <v>58.470612161887324</v>
      </c>
      <c r="AP18" s="50">
        <f>AVERAGE('Additional data LabMET'!R113:R119)</f>
        <v>87.12121212121211</v>
      </c>
      <c r="AQ18" s="50">
        <f>AVERAGE('Additional data LabMET'!S113:S119)</f>
        <v>70.834907000000015</v>
      </c>
      <c r="AR18" s="50">
        <f>AVERAGE('Additional data LabMET'!T113:T119)</f>
        <v>27.264941182835443</v>
      </c>
      <c r="AS18" s="50">
        <f>AVERAGE('Additional data LabMET'!U113:U119)</f>
        <v>10.11</v>
      </c>
    </row>
    <row r="19" spans="1:45" x14ac:dyDescent="0.3">
      <c r="A19" s="2">
        <f>AVERAGE(Data_nieuwveer!A120:A126)</f>
        <v>41662</v>
      </c>
      <c r="B19" s="42">
        <f t="shared" si="1"/>
        <v>111.5</v>
      </c>
      <c r="C19" s="50">
        <f>AVERAGE(Data_nieuwveer!BO120:BO126)</f>
        <v>11.32157142857143</v>
      </c>
      <c r="D19" s="21">
        <f>AVERAGE('Edited data A'!E120:E126)/1000</f>
        <v>2.0150000000000001</v>
      </c>
      <c r="E19" s="21">
        <f>AVERAGE('Edited data A'!M120:M126)</f>
        <v>0.82299999999999995</v>
      </c>
      <c r="F19" s="21">
        <f>AVERAGE('Edited data A'!D120:D126)</f>
        <v>0.74290670602506814</v>
      </c>
      <c r="G19" s="50">
        <f>AVERAGE(Data_nieuwveer!AH120:AH126)</f>
        <v>83</v>
      </c>
      <c r="H19" s="21">
        <f>AVERAGE('Edited data A'!C120:C126)</f>
        <v>98.132941176470581</v>
      </c>
      <c r="I19" s="21">
        <f>AVERAGE('Edited data A'!V120:V126)</f>
        <v>2.3065726920647855</v>
      </c>
      <c r="J19" s="21">
        <f>AVERAGE('Edited data A'!W120:W126)</f>
        <v>1.2314194126644018</v>
      </c>
      <c r="K19" s="41">
        <f>AVERAGE('Edited data A'!Z120:Z126)</f>
        <v>2.2883370411221512E-2</v>
      </c>
      <c r="L19" s="50">
        <f>AVERAGE('Edited data A'!AF120:AF126)</f>
        <v>0.51620940496600243</v>
      </c>
      <c r="M19" s="50">
        <f>AVERAGE('Edited data A'!AE120:AE126)</f>
        <v>0.94903592438462048</v>
      </c>
      <c r="N19" s="50">
        <f>AVERAGE('Additional data LabMET'!B120:B126)</f>
        <v>312.42399999999998</v>
      </c>
      <c r="O19" s="50" t="e">
        <f>AVERAGE('Additional data LabMET'!F120:F126)</f>
        <v>#DIV/0!</v>
      </c>
      <c r="P19" s="50" t="e">
        <f>AVERAGE('Additional data LabMET'!G120:G126)</f>
        <v>#DIV/0!</v>
      </c>
      <c r="Q19" s="50">
        <f>AVERAGE('Additional data LabMET'!H120:H126)</f>
        <v>58.714656000000005</v>
      </c>
      <c r="R19" s="50">
        <f>AVERAGE('Additional data LabMET'!I120:I126)</f>
        <v>50.634670290811435</v>
      </c>
      <c r="S19" s="50">
        <f>AVERAGE('Additional data LabMET'!J120:J126)</f>
        <v>4.0400000000000063</v>
      </c>
      <c r="T19" s="21">
        <f>AVERAGE(Data_nieuwveer!AJ120:AJ126)</f>
        <v>0.6183333333333334</v>
      </c>
      <c r="U19" s="21">
        <f>AVERAGE(Data_nieuwveer!AK120:AK126)</f>
        <v>2.0096428571428571</v>
      </c>
      <c r="AA19" s="2">
        <f>AVERAGE(Data_nieuwveer!A120:A126)</f>
        <v>41662</v>
      </c>
      <c r="AB19" s="42">
        <f t="shared" si="0"/>
        <v>111.5</v>
      </c>
      <c r="AC19" s="50">
        <f>AVERAGE(Data_nieuwveer!BO120:BO126)</f>
        <v>11.32157142857143</v>
      </c>
      <c r="AD19" s="21">
        <f>AVERAGE('Edited data B'!E120:E126)</f>
        <v>3.3171428571428576</v>
      </c>
      <c r="AE19" s="21">
        <f>AVERAGE('Edited data B'!M120:M126)</f>
        <v>0.77</v>
      </c>
      <c r="AF19" s="21">
        <f>AVERAGE('Edited data A'!D120:D126)</f>
        <v>0.74290670602506814</v>
      </c>
      <c r="AG19" s="50">
        <f>AVERAGE(Data_nieuwveer!BL120:BL126)</f>
        <v>101.5</v>
      </c>
      <c r="AH19" s="21">
        <f>AVERAGE('Edited data B'!C120:C126)</f>
        <v>43.210775862068971</v>
      </c>
      <c r="AI19" s="21">
        <f>AVERAGE('Edited data B'!R120:R126)</f>
        <v>0.10732760557694457</v>
      </c>
      <c r="AJ19" s="21">
        <f>AVERAGE('Edited data B'!AA120:AA126)</f>
        <v>21.352965961928767</v>
      </c>
      <c r="AK19" s="41">
        <f>AVERAGE('Edited data B'!AC120:AC126)</f>
        <v>0.18739476561911808</v>
      </c>
      <c r="AL19" s="21">
        <f>AVERAGE('Edited data B'!AF120:AF126)</f>
        <v>0.69193391258870052</v>
      </c>
      <c r="AM19" s="21">
        <f>AVERAGE('Edited data B'!AE120:AE126)</f>
        <v>-0.39307748025566031</v>
      </c>
      <c r="AN19" s="50">
        <f>AVERAGE('Additional data LabMET'!L120:L126)</f>
        <v>80.289299999999997</v>
      </c>
      <c r="AO19" s="50" t="e">
        <f>AVERAGE('Additional data LabMET'!P120:P126)</f>
        <v>#DIV/0!</v>
      </c>
      <c r="AP19" s="50">
        <f>AVERAGE('Additional data LabMET'!R120:R126)</f>
        <v>110.60606060606061</v>
      </c>
      <c r="AQ19" s="50">
        <f>AVERAGE('Additional data LabMET'!S120:S126)</f>
        <v>50.008749999999999</v>
      </c>
      <c r="AR19" s="50">
        <f>AVERAGE('Additional data LabMET'!T120:T126)</f>
        <v>22.063316036963908</v>
      </c>
      <c r="AS19" s="50" t="e">
        <f>AVERAGE('Additional data LabMET'!U120:U126)</f>
        <v>#DIV/0!</v>
      </c>
    </row>
    <row r="20" spans="1:45" x14ac:dyDescent="0.3">
      <c r="A20" s="2">
        <f>AVERAGE(Data_nieuwveer!A127:A133)</f>
        <v>41669</v>
      </c>
      <c r="B20" s="42">
        <f t="shared" si="1"/>
        <v>118.5</v>
      </c>
      <c r="C20" s="50">
        <f>AVERAGE(Data_nieuwveer!BO127:BO133)</f>
        <v>10.355857142857143</v>
      </c>
      <c r="D20" s="21">
        <f>AVERAGE('Edited data A'!E127:E133)/1000</f>
        <v>2.8374999999999999</v>
      </c>
      <c r="E20" s="21">
        <f>AVERAGE('Edited data A'!M127:M133)</f>
        <v>0.78950000000000009</v>
      </c>
      <c r="F20" s="21">
        <f>AVERAGE('Edited data A'!D127:D133)</f>
        <v>0.73315505679661308</v>
      </c>
      <c r="G20" s="50">
        <f>AVERAGE(Data_nieuwveer!AH127:AH133)</f>
        <v>72</v>
      </c>
      <c r="H20" s="21">
        <f>AVERAGE('Edited data A'!C127:C133)</f>
        <v>108.14650660264105</v>
      </c>
      <c r="I20" s="21">
        <f>AVERAGE('Edited data A'!V127:V133)</f>
        <v>2.4902307468171032</v>
      </c>
      <c r="J20" s="21">
        <f>AVERAGE('Edited data A'!W127:W133)</f>
        <v>2.0169499177505661</v>
      </c>
      <c r="K20" s="41">
        <f>AVERAGE('Edited data A'!Z127:Z133)</f>
        <v>2.25520979926476E-2</v>
      </c>
      <c r="L20" s="50">
        <f>AVERAGE('Edited data A'!AF127:AF133)</f>
        <v>0.51170484017609341</v>
      </c>
      <c r="M20" s="50">
        <f>AVERAGE('Edited data A'!AE127:AE133)</f>
        <v>0.55047666401356776</v>
      </c>
      <c r="N20" s="50">
        <f>AVERAGE('Additional data LabMET'!B127:B133)</f>
        <v>298.22300000000001</v>
      </c>
      <c r="O20" s="50">
        <f>AVERAGE('Additional data LabMET'!F127:F133)</f>
        <v>30.257666485211399</v>
      </c>
      <c r="P20" s="50">
        <f>AVERAGE('Additional data LabMET'!G127:G133)</f>
        <v>1.1014166776700001</v>
      </c>
      <c r="Q20" s="50">
        <f>AVERAGE('Additional data LabMET'!H127:H133)</f>
        <v>58.521320000000003</v>
      </c>
      <c r="R20" s="50">
        <f>AVERAGE('Additional data LabMET'!I127:I133)</f>
        <v>52.609723636628388</v>
      </c>
      <c r="S20" s="50">
        <f>AVERAGE('Additional data LabMET'!J127:J133)</f>
        <v>7.980000000000004</v>
      </c>
      <c r="T20" s="21">
        <f>AVERAGE(Data_nieuwveer!AJ127:AJ133)</f>
        <v>0.72755952380952393</v>
      </c>
      <c r="U20" s="21">
        <f>AVERAGE(Data_nieuwveer!AK127:AK133)</f>
        <v>2.3582738095238094</v>
      </c>
      <c r="AA20" s="2">
        <f>AVERAGE(Data_nieuwveer!A127:A133)</f>
        <v>41669</v>
      </c>
      <c r="AB20" s="42">
        <f t="shared" si="0"/>
        <v>118.5</v>
      </c>
      <c r="AC20" s="50">
        <f>AVERAGE(Data_nieuwveer!BO127:BO133)</f>
        <v>10.355857142857143</v>
      </c>
      <c r="AD20" s="21">
        <f>AVERAGE('Edited data B'!E127:E133)</f>
        <v>3.5835714285714286</v>
      </c>
      <c r="AE20" s="21" t="e">
        <f>AVERAGE('Edited data B'!M127:M133)</f>
        <v>#DIV/0!</v>
      </c>
      <c r="AF20" s="21">
        <f>AVERAGE('Edited data A'!D127:D133)</f>
        <v>0.73315505679661308</v>
      </c>
      <c r="AG20" s="50">
        <f>AVERAGE(Data_nieuwveer!BL127:BL133)</f>
        <v>118</v>
      </c>
      <c r="AH20" s="21">
        <f>AVERAGE('Edited data B'!C127:C133)</f>
        <v>48.01197318007663</v>
      </c>
      <c r="AI20" s="21">
        <f>AVERAGE('Edited data B'!R127:R133)</f>
        <v>0.10452007556492365</v>
      </c>
      <c r="AJ20" s="21">
        <f>AVERAGE('Edited data B'!AA127:AA133)</f>
        <v>21.748894672643896</v>
      </c>
      <c r="AK20" s="41">
        <f>AVERAGE('Edited data B'!AC127:AC133)</f>
        <v>0.18445255527149426</v>
      </c>
      <c r="AL20" s="21">
        <f>AVERAGE('Edited data B'!AF127:AF133)</f>
        <v>0.71177117382958299</v>
      </c>
      <c r="AM20" s="21">
        <f>AVERAGE('Edited data B'!AE127:AE133)</f>
        <v>-0.12567967461114818</v>
      </c>
      <c r="AN20" s="50">
        <f>AVERAGE('Additional data LabMET'!L127:L133)</f>
        <v>79.570700000000002</v>
      </c>
      <c r="AO20" s="50">
        <f>AVERAGE('Additional data LabMET'!P127:P133)</f>
        <v>65.83774969425194</v>
      </c>
      <c r="AP20" s="50">
        <f>AVERAGE('Additional data LabMET'!R127:R133)</f>
        <v>97.878787878787875</v>
      </c>
      <c r="AQ20" s="50">
        <f>AVERAGE('Additional data LabMET'!S127:S133)</f>
        <v>44.585177999999999</v>
      </c>
      <c r="AR20" s="50">
        <f>AVERAGE('Additional data LabMET'!T127:T133)</f>
        <v>26.371348700810373</v>
      </c>
      <c r="AS20" s="50" t="e">
        <f>AVERAGE('Additional data LabMET'!U127:U133)</f>
        <v>#DIV/0!</v>
      </c>
    </row>
    <row r="21" spans="1:45" x14ac:dyDescent="0.3">
      <c r="A21" s="2">
        <f>AVERAGE(Data_nieuwveer!A134:A140)</f>
        <v>41676</v>
      </c>
      <c r="B21" s="42">
        <f t="shared" si="1"/>
        <v>125.5</v>
      </c>
      <c r="C21" s="50">
        <f>AVERAGE(Data_nieuwveer!BO134:BO140)</f>
        <v>10.798714285714285</v>
      </c>
      <c r="D21" s="21">
        <f>AVERAGE('Edited data A'!E134:E140)/1000</f>
        <v>2.464</v>
      </c>
      <c r="E21" s="21">
        <f>AVERAGE('Edited data A'!M134:M140)</f>
        <v>0.8145</v>
      </c>
      <c r="F21" s="21">
        <f>AVERAGE('Edited data A'!D134:D140)</f>
        <v>0.91513177890936848</v>
      </c>
      <c r="G21" s="50">
        <f>AVERAGE(Data_nieuwveer!AH134:AH140)</f>
        <v>79.5</v>
      </c>
      <c r="H21" s="21">
        <f>AVERAGE('Edited data A'!C134:C140)</f>
        <v>112.15193277310924</v>
      </c>
      <c r="I21" s="21">
        <f>AVERAGE('Edited data A'!V134:V140)</f>
        <v>3.0119498519878158</v>
      </c>
      <c r="J21" s="21">
        <f>AVERAGE('Edited data A'!W134:W140)</f>
        <v>1.5789645429101333</v>
      </c>
      <c r="K21" s="41">
        <f>AVERAGE('Edited data A'!Z134:Z140)</f>
        <v>2.0744053056197857E-2</v>
      </c>
      <c r="L21" s="50">
        <f>AVERAGE('Edited data A'!AF134:AF140)</f>
        <v>0.49726511667040607</v>
      </c>
      <c r="M21" s="50">
        <f>AVERAGE('Edited data A'!AE134:AE140)</f>
        <v>0.52241732016402709</v>
      </c>
      <c r="N21" s="50">
        <f>AVERAGE('Additional data LabMET'!B134:B140)</f>
        <v>210.715</v>
      </c>
      <c r="O21" s="50">
        <f>AVERAGE('Additional data LabMET'!F134:F140)</f>
        <v>42.323747680890534</v>
      </c>
      <c r="P21" s="50" t="e">
        <f>AVERAGE('Additional data LabMET'!G134:G140)</f>
        <v>#DIV/0!</v>
      </c>
      <c r="Q21" s="50">
        <f>AVERAGE('Additional data LabMET'!H134:H140)</f>
        <v>69.399680000000004</v>
      </c>
      <c r="R21" s="50">
        <f>AVERAGE('Additional data LabMET'!I134:I140)</f>
        <v>42.875399132289992</v>
      </c>
      <c r="S21" s="50" t="e">
        <f>AVERAGE('Additional data LabMET'!J134:J140)</f>
        <v>#DIV/0!</v>
      </c>
      <c r="T21" s="21">
        <f>AVERAGE(Data_nieuwveer!AJ134:AJ140)</f>
        <v>0.59089285714285711</v>
      </c>
      <c r="U21" s="21">
        <f>AVERAGE(Data_nieuwveer!AK134:AK140)</f>
        <v>1.686666666666667</v>
      </c>
      <c r="AA21" s="2">
        <f>AVERAGE(Data_nieuwveer!A134:A140)</f>
        <v>41676</v>
      </c>
      <c r="AB21" s="42">
        <f t="shared" si="0"/>
        <v>125.5</v>
      </c>
      <c r="AC21" s="50">
        <f>AVERAGE(Data_nieuwveer!BO134:BO140)</f>
        <v>10.798714285714285</v>
      </c>
      <c r="AD21" s="21">
        <f>AVERAGE('Edited data B'!E134:E140)</f>
        <v>3.5572857142857144</v>
      </c>
      <c r="AE21" s="21">
        <f>AVERAGE('Edited data B'!M134:M140)</f>
        <v>0.77</v>
      </c>
      <c r="AF21" s="21">
        <f>AVERAGE('Edited data A'!D134:D140)</f>
        <v>0.91513177890936848</v>
      </c>
      <c r="AG21" s="50">
        <f>AVERAGE(Data_nieuwveer!BL134:BL140)</f>
        <v>82</v>
      </c>
      <c r="AH21" s="21">
        <f>AVERAGE('Edited data B'!C134:C140)</f>
        <v>51.705201886236374</v>
      </c>
      <c r="AI21" s="21">
        <f>AVERAGE('Edited data B'!R134:R140)</f>
        <v>0.12737715339733363</v>
      </c>
      <c r="AJ21" s="21">
        <f>AVERAGE('Edited data B'!AA134:AA140)</f>
        <v>33.196543476300945</v>
      </c>
      <c r="AK21" s="41">
        <f>AVERAGE('Edited data B'!AC134:AC140)</f>
        <v>0.16927086577686398</v>
      </c>
      <c r="AL21" s="21">
        <f>AVERAGE('Edited data B'!AF134:AF140)</f>
        <v>0.73004800300417749</v>
      </c>
      <c r="AM21" s="21">
        <f>AVERAGE('Edited data B'!AE134:AE140)</f>
        <v>-0.11719059676283529</v>
      </c>
      <c r="AN21" s="50">
        <f>AVERAGE('Additional data LabMET'!L134:L140)</f>
        <v>81.238699999999994</v>
      </c>
      <c r="AO21" s="50" t="e">
        <f>AVERAGE('Additional data LabMET'!P134:P140)</f>
        <v>#DIV/0!</v>
      </c>
      <c r="AP21" s="50">
        <f>AVERAGE('Additional data LabMET'!R134:R140)</f>
        <v>100.45454545454545</v>
      </c>
      <c r="AQ21" s="50">
        <f>AVERAGE('Additional data LabMET'!S134:S140)</f>
        <v>210.70080000000002</v>
      </c>
      <c r="AR21" s="50">
        <f>AVERAGE('Additional data LabMET'!T134:T140)</f>
        <v>37.848427720701103</v>
      </c>
      <c r="AS21" s="50" t="e">
        <f>AVERAGE('Additional data LabMET'!U134:U140)</f>
        <v>#DIV/0!</v>
      </c>
    </row>
    <row r="22" spans="1:45" x14ac:dyDescent="0.3">
      <c r="A22" s="2">
        <f>AVERAGE(Data_nieuwveer!A141:A147)</f>
        <v>41683</v>
      </c>
      <c r="B22" s="42">
        <f t="shared" si="1"/>
        <v>132.5</v>
      </c>
      <c r="C22" s="50">
        <f>AVERAGE(Data_nieuwveer!BO141:BO147)</f>
        <v>10.526285714285715</v>
      </c>
      <c r="D22" s="21">
        <f>AVERAGE('Edited data A'!E141:E147)/1000</f>
        <v>2.7719999999999998</v>
      </c>
      <c r="E22" s="21">
        <f>AVERAGE('Edited data A'!M141:M147)</f>
        <v>0.78600000000000003</v>
      </c>
      <c r="F22" s="21">
        <f>AVERAGE('Edited data A'!D141:D147)</f>
        <v>0.57815883205460106</v>
      </c>
      <c r="G22" s="50">
        <f>AVERAGE(Data_nieuwveer!AH141:AH147)</f>
        <v>78</v>
      </c>
      <c r="H22" s="21">
        <f>AVERAGE('Edited data A'!C141:C147)</f>
        <v>96.130228091236489</v>
      </c>
      <c r="I22" s="21">
        <f>AVERAGE('Edited data A'!V141:V147)</f>
        <v>1.6592807463156611</v>
      </c>
      <c r="J22" s="21">
        <f>AVERAGE('Edited data A'!W141:W147)</f>
        <v>2.2694170196783041</v>
      </c>
      <c r="K22" s="41">
        <f>AVERAGE('Edited data A'!Z141:Z147)</f>
        <v>2.1513986570983253E-2</v>
      </c>
      <c r="L22" s="50">
        <f>AVERAGE('Edited data A'!AF141:AF147)</f>
        <v>0.49216840914609988</v>
      </c>
      <c r="M22" s="50">
        <f>AVERAGE('Edited data A'!AE141:AE147)</f>
        <v>0.62687295261512799</v>
      </c>
      <c r="N22" s="50">
        <f>AVERAGE('Additional data LabMET'!B141:B147)</f>
        <v>320.63400000000001</v>
      </c>
      <c r="O22" s="50" t="e">
        <f>AVERAGE('Additional data LabMET'!F141:F147)</f>
        <v>#DIV/0!</v>
      </c>
      <c r="P22" s="50" t="e">
        <f>AVERAGE('Additional data LabMET'!G141:G147)</f>
        <v>#DIV/0!</v>
      </c>
      <c r="Q22" s="50">
        <f>AVERAGE('Additional data LabMET'!H141:H147)</f>
        <v>79.650000000000006</v>
      </c>
      <c r="R22" s="50">
        <f>AVERAGE('Additional data LabMET'!I141:I147)</f>
        <v>44.410789172968336</v>
      </c>
      <c r="S22" s="50">
        <f>AVERAGE('Additional data LabMET'!J141:J147)</f>
        <v>6.0900000000000034</v>
      </c>
      <c r="T22" s="21">
        <f>AVERAGE(Data_nieuwveer!AJ141:AJ147)</f>
        <v>0.94351190476190483</v>
      </c>
      <c r="U22" s="21">
        <f>AVERAGE(Data_nieuwveer!AK141:AK147)</f>
        <v>2.3320238095238097</v>
      </c>
      <c r="AA22" s="2">
        <f>AVERAGE(Data_nieuwveer!A141:A147)</f>
        <v>41683</v>
      </c>
      <c r="AB22" s="42">
        <f t="shared" si="0"/>
        <v>132.5</v>
      </c>
      <c r="AC22" s="50">
        <f>AVERAGE(Data_nieuwveer!BO141:BO147)</f>
        <v>10.526285714285715</v>
      </c>
      <c r="AD22" s="21">
        <f>AVERAGE('Edited data B'!E141:E147)</f>
        <v>3.741571428571429</v>
      </c>
      <c r="AE22" s="21" t="e">
        <f>AVERAGE('Edited data B'!M141:M147)</f>
        <v>#DIV/0!</v>
      </c>
      <c r="AF22" s="21">
        <f>AVERAGE('Edited data A'!D141:D147)</f>
        <v>0.57815883205460106</v>
      </c>
      <c r="AG22" s="50">
        <f>AVERAGE(Data_nieuwveer!BL141:BL147)</f>
        <v>90</v>
      </c>
      <c r="AH22" s="21">
        <f>AVERAGE('Edited data B'!C141:C147)</f>
        <v>44.318744473916887</v>
      </c>
      <c r="AI22" s="21">
        <f>AVERAGE('Edited data B'!R141:R147)</f>
        <v>8.7429637268222837E-2</v>
      </c>
      <c r="AJ22" s="21">
        <f>AVERAGE('Edited data B'!AA141:AA147)</f>
        <v>21.625386633905087</v>
      </c>
      <c r="AK22" s="41">
        <f>AVERAGE('Edited data B'!AC141:AC147)</f>
        <v>0.17624925994879423</v>
      </c>
      <c r="AL22" s="21">
        <f>AVERAGE('Edited data B'!AF141:AF147)</f>
        <v>0.70462648897485769</v>
      </c>
      <c r="AM22" s="21">
        <f>AVERAGE('Edited data B'!AE141:AE147)</f>
        <v>0.93681376387370152</v>
      </c>
      <c r="AN22" s="50">
        <f>AVERAGE('Additional data LabMET'!L141:L147)</f>
        <v>85.912499999999994</v>
      </c>
      <c r="AO22" s="50" t="e">
        <f>AVERAGE('Additional data LabMET'!P141:P147)</f>
        <v>#DIV/0!</v>
      </c>
      <c r="AP22" s="50" t="e">
        <f>AVERAGE('Additional data LabMET'!R141:R147)</f>
        <v>#DIV/0!</v>
      </c>
      <c r="AQ22" s="50">
        <f>AVERAGE('Additional data LabMET'!S141:S147)</f>
        <v>183.43536</v>
      </c>
      <c r="AR22" s="50">
        <f>AVERAGE('Additional data LabMET'!T141:T147)</f>
        <v>33.329692596295658</v>
      </c>
      <c r="AS22" s="50">
        <f>AVERAGE('Additional data LabMET'!U141:U147)</f>
        <v>6.8299999999999983</v>
      </c>
    </row>
    <row r="23" spans="1:45" x14ac:dyDescent="0.3">
      <c r="A23" s="2">
        <f>AVERAGE(Data_nieuwveer!A148:A154)</f>
        <v>41690</v>
      </c>
      <c r="B23" s="42">
        <f t="shared" si="1"/>
        <v>139.5</v>
      </c>
      <c r="C23" s="50">
        <f>AVERAGE(Data_nieuwveer!BO148:BO154)</f>
        <v>11.388571428571428</v>
      </c>
      <c r="D23" s="21">
        <f>AVERAGE('Edited data A'!E148:E154)/1000</f>
        <v>2.0099999999999998</v>
      </c>
      <c r="E23" s="21">
        <f>AVERAGE('Edited data A'!M148:M154)</f>
        <v>0.76300000000000001</v>
      </c>
      <c r="F23" s="21">
        <f>AVERAGE('Edited data A'!D148:D154)</f>
        <v>0.87497788282189204</v>
      </c>
      <c r="G23" s="50">
        <f>AVERAGE(Data_nieuwveer!AH148:AH154)</f>
        <v>80</v>
      </c>
      <c r="H23" s="21">
        <f>AVERAGE('Edited data A'!C148:C154)</f>
        <v>100.13565426170467</v>
      </c>
      <c r="I23" s="21">
        <f>AVERAGE('Edited data A'!V148:V154)</f>
        <v>2.1793094039385683</v>
      </c>
      <c r="J23" s="21">
        <f>AVERAGE('Edited data A'!W148:W154)</f>
        <v>1.1100582499921117</v>
      </c>
      <c r="K23" s="41">
        <f>AVERAGE('Edited data A'!Z148:Z154)</f>
        <v>2.4645125191970783E-2</v>
      </c>
      <c r="L23" s="50">
        <f>AVERAGE('Edited data A'!AF148:AF154)</f>
        <v>0.59230474290434698</v>
      </c>
      <c r="M23" s="50">
        <f>AVERAGE('Edited data A'!AE148:AE154)</f>
        <v>1.000613495183067</v>
      </c>
      <c r="N23" s="50">
        <f>AVERAGE('Additional data LabMET'!B148:B154)</f>
        <v>214.952</v>
      </c>
      <c r="O23" s="50">
        <f>AVERAGE('Additional data LabMET'!F148:F154)</f>
        <v>50.488354620586058</v>
      </c>
      <c r="P23" s="50" t="e">
        <f>AVERAGE('Additional data LabMET'!G148:G154)</f>
        <v>#DIV/0!</v>
      </c>
      <c r="Q23" s="50">
        <f>AVERAGE('Additional data LabMET'!H148:H154)</f>
        <v>19.312000000000001</v>
      </c>
      <c r="R23" s="50">
        <f>AVERAGE('Additional data LabMET'!I148:I154)</f>
        <v>44.171245799851164</v>
      </c>
      <c r="S23" s="50">
        <f>AVERAGE('Additional data LabMET'!J148:J154)</f>
        <v>10.209999999999994</v>
      </c>
      <c r="T23" s="21">
        <f>AVERAGE(Data_nieuwveer!AJ148:AJ154)</f>
        <v>0.50339285714285709</v>
      </c>
      <c r="U23" s="21">
        <f>AVERAGE(Data_nieuwveer!AK148:AK154)</f>
        <v>1.7416071428571431</v>
      </c>
      <c r="AA23" s="2">
        <f>AVERAGE(Data_nieuwveer!A148:A154)</f>
        <v>41690</v>
      </c>
      <c r="AB23" s="42">
        <f t="shared" si="0"/>
        <v>139.5</v>
      </c>
      <c r="AC23" s="50">
        <f>AVERAGE(Data_nieuwveer!BO148:BO154)</f>
        <v>11.388571428571428</v>
      </c>
      <c r="AD23" s="21">
        <f>AVERAGE('Edited data B'!E148:E154)</f>
        <v>3.8144285714285715</v>
      </c>
      <c r="AE23" s="21">
        <f>AVERAGE('Edited data B'!M148:M154)</f>
        <v>0.77</v>
      </c>
      <c r="AF23" s="21">
        <f>AVERAGE('Edited data A'!D148:D154)</f>
        <v>0.87497788282189204</v>
      </c>
      <c r="AG23" s="50">
        <f>AVERAGE(Data_nieuwveer!BL148:BL154)</f>
        <v>88</v>
      </c>
      <c r="AH23" s="21">
        <f>AVERAGE('Edited data B'!C148:C154)</f>
        <v>36.932287061597407</v>
      </c>
      <c r="AI23" s="21">
        <f>AVERAGE('Edited data B'!R148:R154)</f>
        <v>6.1204657652122164E-2</v>
      </c>
      <c r="AJ23" s="21">
        <f>AVERAGE('Edited data B'!AA148:AA154)</f>
        <v>22.733521740396142</v>
      </c>
      <c r="AK23" s="41">
        <f>AVERAGE('Edited data B'!AC148:AC154)</f>
        <v>0.20228461682029611</v>
      </c>
      <c r="AL23" s="21">
        <f>AVERAGE('Edited data B'!AF148:AF154)</f>
        <v>0.64679500805128354</v>
      </c>
      <c r="AM23" s="21">
        <f>AVERAGE('Edited data B'!AE148:AE154)</f>
        <v>6.7716799918111012E-2</v>
      </c>
      <c r="AN23" s="50">
        <f>AVERAGE('Additional data LabMET'!L148:L154)</f>
        <v>80.055800000000005</v>
      </c>
      <c r="AO23" s="50">
        <f>AVERAGE('Additional data LabMET'!P148:P154)</f>
        <v>63.160339022408024</v>
      </c>
      <c r="AP23" s="50">
        <f>AVERAGE('Additional data LabMET'!R148:R154)</f>
        <v>82.424242424242422</v>
      </c>
      <c r="AQ23" s="50">
        <f>AVERAGE('Additional data LabMET'!S148:S154)</f>
        <v>211.71456000000001</v>
      </c>
      <c r="AR23" s="50">
        <f>AVERAGE('Additional data LabMET'!T148:T154)</f>
        <v>27.986254714868529</v>
      </c>
      <c r="AS23" s="50">
        <f>AVERAGE('Additional data LabMET'!U148:U154)</f>
        <v>18.489999999999995</v>
      </c>
    </row>
    <row r="24" spans="1:45" x14ac:dyDescent="0.3">
      <c r="A24" s="2">
        <f>AVERAGE(Data_nieuwveer!A155:A161)</f>
        <v>41697</v>
      </c>
      <c r="B24" s="42">
        <f t="shared" si="1"/>
        <v>146.5</v>
      </c>
      <c r="C24" s="50">
        <f>AVERAGE(Data_nieuwveer!BO155:BO161)</f>
        <v>11.817999999999998</v>
      </c>
      <c r="D24" s="21">
        <f>AVERAGE('Edited data A'!E155:E161)/1000</f>
        <v>2.573</v>
      </c>
      <c r="E24" s="21">
        <f>AVERAGE('Edited data A'!M155:M161)</f>
        <v>0.78350000000000009</v>
      </c>
      <c r="F24" s="21">
        <f>AVERAGE('Edited data A'!D155:D161)</f>
        <v>0.98383718511489782</v>
      </c>
      <c r="G24" s="50">
        <f>AVERAGE(Data_nieuwveer!AH155:AH161)</f>
        <v>77.5</v>
      </c>
      <c r="H24" s="21" t="e">
        <f>AVERAGE('Edited data A'!C155:C161)</f>
        <v>#DIV/0!</v>
      </c>
      <c r="I24" s="21" t="e">
        <f>AVERAGE('Edited data A'!V155:V161)</f>
        <v>#DIV/0!</v>
      </c>
      <c r="J24" s="21">
        <f>AVERAGE('Edited data A'!W155:W161)</f>
        <v>1.5513710944046901</v>
      </c>
      <c r="K24" s="41">
        <f>AVERAGE('Edited data A'!Z155:Z161)</f>
        <v>2.4365050107541236E-2</v>
      </c>
      <c r="L24" s="50" t="e">
        <f>AVERAGE('Edited data A'!AF155:AF161)</f>
        <v>#DIV/0!</v>
      </c>
      <c r="M24" s="50" t="e">
        <f>AVERAGE('Edited data A'!AE155:AE161)</f>
        <v>#DIV/0!</v>
      </c>
      <c r="N24" s="50" t="e">
        <f>AVERAGE('Additional data LabMET'!B155:B161)</f>
        <v>#DIV/0!</v>
      </c>
      <c r="O24" s="50">
        <f>AVERAGE('Additional data LabMET'!F155:F161)</f>
        <v>30.828082808280829</v>
      </c>
      <c r="P24" s="50" t="e">
        <f>AVERAGE('Additional data LabMET'!G155:G161)</f>
        <v>#DIV/0!</v>
      </c>
      <c r="Q24" s="50">
        <f>AVERAGE('Additional data LabMET'!H155:H161)</f>
        <v>133.32691</v>
      </c>
      <c r="R24" s="50">
        <f>AVERAGE('Additional data LabMET'!I155:I161)</f>
        <v>51.809275693970271</v>
      </c>
      <c r="S24" s="50">
        <f>AVERAGE('Additional data LabMET'!J155:J161)</f>
        <v>7.4500000000000028</v>
      </c>
      <c r="T24" s="21">
        <f>AVERAGE(Data_nieuwveer!AJ155:AJ161)</f>
        <v>0.38220238095238085</v>
      </c>
      <c r="U24" s="21">
        <f>AVERAGE(Data_nieuwveer!AK155:AK161)</f>
        <v>1.6331547619047619</v>
      </c>
      <c r="AA24" s="2">
        <f>AVERAGE(Data_nieuwveer!A155:A161)</f>
        <v>41697</v>
      </c>
      <c r="AB24" s="42">
        <f t="shared" si="0"/>
        <v>146.5</v>
      </c>
      <c r="AC24" s="50">
        <f>AVERAGE(Data_nieuwveer!BO155:BO161)</f>
        <v>11.817999999999998</v>
      </c>
      <c r="AD24" s="21">
        <f>AVERAGE('Edited data B'!E155:E161)</f>
        <v>3.8735714285714287</v>
      </c>
      <c r="AE24" s="21" t="e">
        <f>AVERAGE('Edited data B'!M155:M161)</f>
        <v>#DIV/0!</v>
      </c>
      <c r="AF24" s="21">
        <f>AVERAGE('Edited data A'!D155:D161)</f>
        <v>0.98383718511489782</v>
      </c>
      <c r="AG24" s="50">
        <f>AVERAGE(Data_nieuwveer!BL155:BL161)</f>
        <v>102.5</v>
      </c>
      <c r="AH24" s="21">
        <f>AVERAGE('Edited data B'!C155:C161)</f>
        <v>48.01197318007663</v>
      </c>
      <c r="AI24" s="21">
        <f>AVERAGE('Edited data B'!R155:R161)</f>
        <v>8.5039553012090485E-2</v>
      </c>
      <c r="AJ24" s="21">
        <f>AVERAGE('Edited data B'!AA155:AA161)</f>
        <v>17.542045192178811</v>
      </c>
      <c r="AK24" s="41">
        <f>AVERAGE('Edited data B'!AC155:AC161)</f>
        <v>0.19908503575736641</v>
      </c>
      <c r="AL24" s="21">
        <f>AVERAGE('Edited data B'!AF155:AF161)</f>
        <v>0.74340487627462204</v>
      </c>
      <c r="AM24" s="21">
        <f>AVERAGE('Edited data B'!AE155:AE161)</f>
        <v>0.57182498948662641</v>
      </c>
      <c r="AN24" s="50" t="e">
        <f>AVERAGE('Additional data LabMET'!L155:L161)</f>
        <v>#DIV/0!</v>
      </c>
      <c r="AO24" s="50" t="e">
        <f>AVERAGE('Additional data LabMET'!P155:P161)</f>
        <v>#DIV/0!</v>
      </c>
      <c r="AP24" s="50" t="e">
        <f>AVERAGE('Additional data LabMET'!R155:R161)</f>
        <v>#DIV/0!</v>
      </c>
      <c r="AQ24" s="50">
        <f>AVERAGE('Additional data LabMET'!S155:S161)</f>
        <v>124.02234</v>
      </c>
      <c r="AR24" s="50">
        <f>AVERAGE('Additional data LabMET'!T155:T161)</f>
        <v>27.208199797307799</v>
      </c>
      <c r="AS24" s="50">
        <f>AVERAGE('Additional data LabMET'!U155:U161)</f>
        <v>19.489999999999995</v>
      </c>
    </row>
    <row r="25" spans="1:45" x14ac:dyDescent="0.3">
      <c r="A25" s="2">
        <f>AVERAGE(Data_nieuwveer!A162:A168)</f>
        <v>41704</v>
      </c>
      <c r="B25" s="42">
        <f t="shared" si="1"/>
        <v>153.5</v>
      </c>
      <c r="C25" s="50">
        <f>AVERAGE(Data_nieuwveer!BO162:BO168)</f>
        <v>12.249571428571429</v>
      </c>
      <c r="D25" s="21">
        <f>AVERAGE('Edited data A'!E162:E168)/1000</f>
        <v>2.637</v>
      </c>
      <c r="E25" s="21">
        <f>AVERAGE('Edited data A'!M162:M168)</f>
        <v>0.80200000000000005</v>
      </c>
      <c r="F25" s="21">
        <f>AVERAGE('Edited data A'!D162:D168)</f>
        <v>1.325976214711083</v>
      </c>
      <c r="G25" s="50">
        <f>AVERAGE(Data_nieuwveer!AH162:AH168)</f>
        <v>82.5</v>
      </c>
      <c r="H25" s="21">
        <f>AVERAGE('Edited data A'!C162:C168)</f>
        <v>90.122088835534214</v>
      </c>
      <c r="I25" s="21">
        <f>AVERAGE('Edited data A'!V162:V168)</f>
        <v>1.5876862507803802</v>
      </c>
      <c r="J25" s="21">
        <f>AVERAGE('Edited data A'!W162:W168)</f>
        <v>1.8538671087998015</v>
      </c>
      <c r="K25" s="41">
        <f>AVERAGE('Edited data A'!Z162:Z168)</f>
        <v>2.6978056781446859E-2</v>
      </c>
      <c r="L25" s="50">
        <f>AVERAGE('Edited data A'!AF162:AF168)</f>
        <v>0.39057442927332819</v>
      </c>
      <c r="M25" s="50">
        <f>AVERAGE('Edited data A'!AE162:AE168)</f>
        <v>0.89782474729188344</v>
      </c>
      <c r="N25" s="50">
        <f>AVERAGE('Additional data LabMET'!B162:B168)</f>
        <v>240.50800000000001</v>
      </c>
      <c r="O25" s="50">
        <f>AVERAGE('Additional data LabMET'!F162:F168)</f>
        <v>35.363370806408788</v>
      </c>
      <c r="P25" s="50" t="e">
        <f>AVERAGE('Additional data LabMET'!G162:G168)</f>
        <v>#DIV/0!</v>
      </c>
      <c r="Q25" s="50">
        <f>AVERAGE('Additional data LabMET'!H162:H168)</f>
        <v>133.58702</v>
      </c>
      <c r="R25" s="50">
        <f>AVERAGE('Additional data LabMET'!I162:I168)</f>
        <v>52.902722538938193</v>
      </c>
      <c r="S25" s="50" t="e">
        <f>AVERAGE('Additional data LabMET'!J162:J168)</f>
        <v>#DIV/0!</v>
      </c>
      <c r="T25" s="21">
        <f>AVERAGE(Data_nieuwveer!AJ162:AJ168)</f>
        <v>0.30136904761904765</v>
      </c>
      <c r="U25" s="21">
        <f>AVERAGE(Data_nieuwveer!AK162:AK168)</f>
        <v>1.7865476190476188</v>
      </c>
      <c r="AA25" s="2">
        <f>AVERAGE(Data_nieuwveer!A162:A168)</f>
        <v>41704</v>
      </c>
      <c r="AB25" s="42">
        <f t="shared" si="0"/>
        <v>153.5</v>
      </c>
      <c r="AC25" s="50">
        <f>AVERAGE(Data_nieuwveer!BO162:BO168)</f>
        <v>12.249571428571429</v>
      </c>
      <c r="AD25" s="21">
        <f>AVERAGE('Edited data B'!E162:E168)</f>
        <v>3.6471428571428572</v>
      </c>
      <c r="AE25" s="21">
        <f>AVERAGE('Edited data B'!M162:M168)</f>
        <v>0.78</v>
      </c>
      <c r="AF25" s="21">
        <f>AVERAGE('Edited data A'!D162:D168)</f>
        <v>1.325976214711083</v>
      </c>
      <c r="AG25" s="50">
        <f>AVERAGE(Data_nieuwveer!BL162:BL168)</f>
        <v>98.5</v>
      </c>
      <c r="AH25" s="21">
        <f>AVERAGE('Edited data B'!C162:C168)</f>
        <v>49.858587533156495</v>
      </c>
      <c r="AI25" s="21">
        <f>AVERAGE('Edited data B'!R162:R168)</f>
        <v>9.0902337578038603E-2</v>
      </c>
      <c r="AJ25" s="21">
        <f>AVERAGE('Edited data B'!AA162:AA168)</f>
        <v>25.164907420131932</v>
      </c>
      <c r="AK25" s="41">
        <f>AVERAGE('Edited data B'!AC162:AC168)</f>
        <v>0.22015047894939868</v>
      </c>
      <c r="AL25" s="21">
        <f>AVERAGE('Edited data B'!AF162:AF168)</f>
        <v>0.72107685342218253</v>
      </c>
      <c r="AM25" s="21">
        <f>AVERAGE('Edited data B'!AE162:AE168)</f>
        <v>0.26672644727868078</v>
      </c>
      <c r="AN25" s="50">
        <f>AVERAGE('Additional data LabMET'!L162:L168)</f>
        <v>81.742699999999999</v>
      </c>
      <c r="AO25" s="50">
        <f>AVERAGE('Additional data LabMET'!P162:P168)</f>
        <v>70.8232445520581</v>
      </c>
      <c r="AP25" s="50" t="e">
        <f>AVERAGE('Additional data LabMET'!R162:R168)</f>
        <v>#DIV/0!</v>
      </c>
      <c r="AQ25" s="50">
        <f>AVERAGE('Additional data LabMET'!S162:S168)</f>
        <v>130.30400000000003</v>
      </c>
      <c r="AR25" s="50">
        <f>AVERAGE('Additional data LabMET'!T162:T168)</f>
        <v>31.760704224547275</v>
      </c>
      <c r="AS25" s="50" t="e">
        <f>AVERAGE('Additional data LabMET'!U162:U168)</f>
        <v>#DIV/0!</v>
      </c>
    </row>
    <row r="26" spans="1:45" x14ac:dyDescent="0.3">
      <c r="A26" s="2">
        <f>AVERAGE(Data_nieuwveer!A169:A175)</f>
        <v>41711</v>
      </c>
      <c r="B26" s="42">
        <f t="shared" si="1"/>
        <v>160.5</v>
      </c>
      <c r="C26" s="50">
        <f>AVERAGE(Data_nieuwveer!BO169:BO175)</f>
        <v>13.443142857142858</v>
      </c>
      <c r="D26" s="21">
        <f>AVERAGE('Edited data A'!E169:E175)/1000</f>
        <v>2.77</v>
      </c>
      <c r="E26" s="21">
        <f>AVERAGE('Edited data A'!M169:M175)</f>
        <v>0.83149999999999991</v>
      </c>
      <c r="F26" s="21">
        <f>AVERAGE('Edited data A'!D169:D175)</f>
        <v>1.3791430120747716</v>
      </c>
      <c r="G26" s="50">
        <f>AVERAGE(Data_nieuwveer!AH169:AH175)</f>
        <v>79.5</v>
      </c>
      <c r="H26" s="21">
        <f>AVERAGE('Edited data A'!C169:C175)</f>
        <v>104.14108043217286</v>
      </c>
      <c r="I26" s="21">
        <f>AVERAGE('Edited data A'!V169:V175)</f>
        <v>1.5881698014325794</v>
      </c>
      <c r="J26" s="21">
        <f>AVERAGE('Edited data A'!W169:W175)</f>
        <v>1.8156535640183211</v>
      </c>
      <c r="K26" s="41">
        <f>AVERAGE('Edited data A'!Z169:Z175)</f>
        <v>2.8320854920124702E-2</v>
      </c>
      <c r="L26" s="50">
        <f>AVERAGE('Edited data A'!AF169:AF175)</f>
        <v>0.41230415794796788</v>
      </c>
      <c r="M26" s="50">
        <f>AVERAGE('Edited data A'!AE169:AE175)</f>
        <v>0.9300680915362054</v>
      </c>
      <c r="N26" s="50" t="e">
        <f>AVERAGE('Additional data LabMET'!B169:B175)</f>
        <v>#DIV/0!</v>
      </c>
      <c r="O26" s="50">
        <f>AVERAGE('Additional data LabMET'!F169:F175)</f>
        <v>29.568342884269768</v>
      </c>
      <c r="P26" s="50" t="e">
        <f>AVERAGE('Additional data LabMET'!G169:G175)</f>
        <v>#DIV/0!</v>
      </c>
      <c r="Q26" s="50">
        <f>AVERAGE('Additional data LabMET'!H169:H175)</f>
        <v>163.86388000000002</v>
      </c>
      <c r="R26" s="50">
        <f>AVERAGE('Additional data LabMET'!I169:I175)</f>
        <v>51.563021090455187</v>
      </c>
      <c r="S26" s="50" t="e">
        <f>AVERAGE('Additional data LabMET'!J169:J175)</f>
        <v>#DIV/0!</v>
      </c>
      <c r="T26" s="21">
        <f>AVERAGE(Data_nieuwveer!AJ169:AJ175)</f>
        <v>0.2297619047619047</v>
      </c>
      <c r="U26" s="21">
        <f>AVERAGE(Data_nieuwveer!AK169:AK175)</f>
        <v>1.4980952380952381</v>
      </c>
      <c r="AA26" s="2">
        <f>AVERAGE(Data_nieuwveer!A169:A175)</f>
        <v>41711</v>
      </c>
      <c r="AB26" s="42">
        <f t="shared" si="0"/>
        <v>160.5</v>
      </c>
      <c r="AC26" s="50">
        <f>AVERAGE(Data_nieuwveer!BO169:BO175)</f>
        <v>13.443142857142858</v>
      </c>
      <c r="AD26" s="21">
        <f>AVERAGE('Edited data B'!E169:E175)</f>
        <v>3.7005714285714291</v>
      </c>
      <c r="AE26" s="21">
        <f>AVERAGE('Edited data B'!M169:M175)</f>
        <v>0.83</v>
      </c>
      <c r="AF26" s="21">
        <f>AVERAGE('Edited data A'!D169:D175)</f>
        <v>1.3791430120747716</v>
      </c>
      <c r="AG26" s="50">
        <f>AVERAGE(Data_nieuwveer!BL169:BL175)</f>
        <v>110</v>
      </c>
      <c r="AH26" s="21">
        <f>AVERAGE('Edited data B'!C169:C175)</f>
        <v>55.39843059239611</v>
      </c>
      <c r="AI26" s="21">
        <f>AVERAGE('Edited data B'!R169:R175)</f>
        <v>9.3655963723428035E-2</v>
      </c>
      <c r="AJ26" s="21">
        <f>AVERAGE('Edited data B'!AA169:AA175)</f>
        <v>26.232398865816222</v>
      </c>
      <c r="AK26" s="41">
        <f>AVERAGE('Edited data B'!AC169:AC175)</f>
        <v>0.23092238662466519</v>
      </c>
      <c r="AL26" s="21">
        <f>AVERAGE('Edited data B'!AF169:AF175)</f>
        <v>0.71204361657575543</v>
      </c>
      <c r="AM26" s="21">
        <f>AVERAGE('Edited data B'!AE169:AE175)</f>
        <v>0.34895924691324143</v>
      </c>
      <c r="AN26" s="50" t="e">
        <f>AVERAGE('Additional data LabMET'!L169:L175)</f>
        <v>#DIV/0!</v>
      </c>
      <c r="AO26" s="50">
        <f>AVERAGE('Additional data LabMET'!P169:P175)</f>
        <v>63.63636363636364</v>
      </c>
      <c r="AP26" s="50" t="e">
        <f>AVERAGE('Additional data LabMET'!R169:R175)</f>
        <v>#DIV/0!</v>
      </c>
      <c r="AQ26" s="50">
        <f>AVERAGE('Additional data LabMET'!S169:S175)</f>
        <v>105.80543999999999</v>
      </c>
      <c r="AR26" s="50">
        <f>AVERAGE('Additional data LabMET'!T169:T175)</f>
        <v>30.255084768612683</v>
      </c>
      <c r="AS26" s="50" t="e">
        <f>AVERAGE('Additional data LabMET'!U169:U175)</f>
        <v>#DIV/0!</v>
      </c>
    </row>
    <row r="27" spans="1:45" x14ac:dyDescent="0.3">
      <c r="A27" s="2">
        <f>AVERAGE(Data_nieuwveer!A176:A182)</f>
        <v>41718</v>
      </c>
      <c r="B27" s="42">
        <f t="shared" si="1"/>
        <v>167.5</v>
      </c>
      <c r="C27" s="50">
        <f>AVERAGE(Data_nieuwveer!BO176:BO182)</f>
        <v>13.360571428571429</v>
      </c>
      <c r="D27" s="21">
        <f>AVERAGE('Edited data A'!E176:E182)/1000</f>
        <v>2.8519999999999999</v>
      </c>
      <c r="E27" s="21">
        <f>AVERAGE('Edited data A'!M176:M182)</f>
        <v>0.83350000000000002</v>
      </c>
      <c r="F27" s="21">
        <f>AVERAGE('Edited data A'!D176:D182)</f>
        <v>1.0199270055429495</v>
      </c>
      <c r="G27" s="50">
        <f>AVERAGE(Data_nieuwveer!AH176:AH182)</f>
        <v>77</v>
      </c>
      <c r="H27" s="21">
        <f>AVERAGE('Edited data A'!C176:C182)</f>
        <v>96.130228091236489</v>
      </c>
      <c r="I27" s="21">
        <f>AVERAGE('Edited data A'!V176:V182)</f>
        <v>1.3448835079190715</v>
      </c>
      <c r="J27" s="21">
        <f>AVERAGE('Edited data A'!W176:W182)</f>
        <v>1.8522961119951467</v>
      </c>
      <c r="K27" s="41">
        <f>AVERAGE('Edited data A'!Z176:Z182)</f>
        <v>2.4982453714145734E-2</v>
      </c>
      <c r="L27" s="50">
        <f>AVERAGE('Edited data A'!AF176:AF182)</f>
        <v>0.32012053925455991</v>
      </c>
      <c r="M27" s="50">
        <f>AVERAGE('Edited data A'!AE176:AE182)</f>
        <v>1.3218260895592879</v>
      </c>
      <c r="N27" s="50">
        <f>AVERAGE('Additional data LabMET'!B176:B182)</f>
        <v>265.87599999999998</v>
      </c>
      <c r="O27" s="50">
        <f>AVERAGE('Additional data LabMET'!F176:F182)</f>
        <v>34.913580246913575</v>
      </c>
      <c r="P27" s="50" t="e">
        <f>AVERAGE('Additional data LabMET'!G176:G182)</f>
        <v>#DIV/0!</v>
      </c>
      <c r="Q27" s="50">
        <f>AVERAGE('Additional data LabMET'!H176:H182)</f>
        <v>163.69578000000001</v>
      </c>
      <c r="R27" s="50">
        <f>AVERAGE('Additional data LabMET'!I176:I182)</f>
        <v>50.897530899227995</v>
      </c>
      <c r="S27" s="50">
        <f>AVERAGE('Additional data LabMET'!J176:J182)</f>
        <v>1.75</v>
      </c>
      <c r="T27" s="21">
        <f>AVERAGE(Data_nieuwveer!AJ176:AJ182)</f>
        <v>0.31982142857142859</v>
      </c>
      <c r="U27" s="21">
        <f>AVERAGE(Data_nieuwveer!AK176:AK182)</f>
        <v>1.6653571428571428</v>
      </c>
      <c r="AA27" s="2">
        <f>AVERAGE(Data_nieuwveer!A176:A182)</f>
        <v>41718</v>
      </c>
      <c r="AB27" s="42">
        <f t="shared" si="0"/>
        <v>167.5</v>
      </c>
      <c r="AC27" s="50">
        <f>AVERAGE(Data_nieuwveer!BO176:BO182)</f>
        <v>13.360571428571429</v>
      </c>
      <c r="AD27" s="21">
        <f>AVERAGE('Edited data B'!E176:E182)</f>
        <v>3.7074285714285713</v>
      </c>
      <c r="AE27" s="21" t="e">
        <f>AVERAGE('Edited data B'!M176:M182)</f>
        <v>#DIV/0!</v>
      </c>
      <c r="AF27" s="21">
        <f>AVERAGE('Edited data A'!D176:D182)</f>
        <v>1.0199270055429495</v>
      </c>
      <c r="AG27" s="50">
        <f>AVERAGE(Data_nieuwveer!BL176:BL182)</f>
        <v>119</v>
      </c>
      <c r="AH27" s="21">
        <f>AVERAGE('Edited data B'!C176:C182)</f>
        <v>59.091659298555854</v>
      </c>
      <c r="AI27" s="21">
        <f>AVERAGE('Edited data B'!R176:R182)</f>
        <v>9.9062970709675346E-2</v>
      </c>
      <c r="AJ27" s="21">
        <f>AVERAGE('Edited data B'!AA176:AA182)</f>
        <v>20.77389569549414</v>
      </c>
      <c r="AK27" s="41">
        <f>AVERAGE('Edited data B'!AC176:AC182)</f>
        <v>0.20399262250700079</v>
      </c>
      <c r="AL27" s="21">
        <f>AVERAGE('Edited data B'!AF176:AF182)</f>
        <v>0.73034435673005738</v>
      </c>
      <c r="AM27" s="21">
        <f>AVERAGE('Edited data B'!AE176:AE182)</f>
        <v>0.19724138267613053</v>
      </c>
      <c r="AN27" s="50">
        <f>AVERAGE('Additional data LabMET'!L176:L182)</f>
        <v>83.664000000000001</v>
      </c>
      <c r="AO27" s="50">
        <f>AVERAGE('Additional data LabMET'!P176:P182)</f>
        <v>81.37219730941699</v>
      </c>
      <c r="AP27" s="50" t="e">
        <f>AVERAGE('Additional data LabMET'!R176:R182)</f>
        <v>#DIV/0!</v>
      </c>
      <c r="AQ27" s="50">
        <f>AVERAGE('Additional data LabMET'!S176:S182)</f>
        <v>98.74224000000001</v>
      </c>
      <c r="AR27" s="50">
        <f>AVERAGE('Additional data LabMET'!T176:T182)</f>
        <v>32.622073342857469</v>
      </c>
      <c r="AS27" s="50">
        <f>AVERAGE('Additional data LabMET'!U176:U182)</f>
        <v>7.230000000000004</v>
      </c>
    </row>
    <row r="28" spans="1:45" x14ac:dyDescent="0.3">
      <c r="A28" s="2">
        <f>AVERAGE(Data_nieuwveer!A183:A189)</f>
        <v>41725</v>
      </c>
      <c r="B28" s="42">
        <f t="shared" si="1"/>
        <v>174.5</v>
      </c>
      <c r="C28" s="50">
        <f>AVERAGE(Data_nieuwveer!BO183:BO189)</f>
        <v>13.460428571428571</v>
      </c>
      <c r="D28" s="21">
        <f>AVERAGE('Edited data A'!E183:E189)/1000</f>
        <v>3.6280000000000001</v>
      </c>
      <c r="E28" s="21">
        <f>AVERAGE('Edited data A'!M183:M189)</f>
        <v>0.81549999999999989</v>
      </c>
      <c r="F28" s="21">
        <f>AVERAGE('Edited data A'!D183:D189)</f>
        <v>1.2418393277328854</v>
      </c>
      <c r="G28" s="50">
        <f>AVERAGE(Data_nieuwveer!AH183:AH189)</f>
        <v>72.5</v>
      </c>
      <c r="H28" s="21">
        <f>AVERAGE('Edited data A'!C183:C189)</f>
        <v>128.17363745498199</v>
      </c>
      <c r="I28" s="21">
        <f>AVERAGE('Edited data A'!V183:V189)</f>
        <v>1.8497533642985498</v>
      </c>
      <c r="J28" s="21">
        <f>AVERAGE('Edited data A'!W183:W189)</f>
        <v>1.9253600844311012</v>
      </c>
      <c r="K28" s="41">
        <f>AVERAGE('Edited data A'!Z183:Z189)</f>
        <v>2.6544502726794147E-2</v>
      </c>
      <c r="L28" s="50">
        <f>AVERAGE('Edited data A'!AF183:AF189)</f>
        <v>0.48943093313739899</v>
      </c>
      <c r="M28" s="50">
        <f>AVERAGE('Edited data A'!AE183:AE189)</f>
        <v>0.62671224853409679</v>
      </c>
      <c r="N28" s="50">
        <f>AVERAGE('Additional data LabMET'!B183:B189)</f>
        <v>246.76499999999999</v>
      </c>
      <c r="O28" s="50">
        <f>AVERAGE('Additional data LabMET'!F183:F189)</f>
        <v>25.964539007092206</v>
      </c>
      <c r="P28" s="50" t="e">
        <f>AVERAGE('Additional data LabMET'!G183:G189)</f>
        <v>#DIV/0!</v>
      </c>
      <c r="Q28" s="50">
        <f>AVERAGE('Additional data LabMET'!H183:H189)</f>
        <v>113.35736000000001</v>
      </c>
      <c r="R28" s="50">
        <f>AVERAGE('Additional data LabMET'!I183:I189)</f>
        <v>48.546013651412366</v>
      </c>
      <c r="S28" s="50">
        <f>AVERAGE('Additional data LabMET'!J183:J189)</f>
        <v>4.7099999999999937</v>
      </c>
      <c r="T28" s="21">
        <f>AVERAGE(Data_nieuwveer!AJ183:AJ189)</f>
        <v>0.5435119047619047</v>
      </c>
      <c r="U28" s="21">
        <f>AVERAGE(Data_nieuwveer!AK183:AK189)</f>
        <v>1.5780952380952378</v>
      </c>
      <c r="AA28" s="2">
        <f>AVERAGE(Data_nieuwveer!A183:A189)</f>
        <v>41725</v>
      </c>
      <c r="AB28" s="42">
        <f t="shared" si="0"/>
        <v>174.5</v>
      </c>
      <c r="AC28" s="50">
        <f>AVERAGE(Data_nieuwveer!BO183:BO189)</f>
        <v>13.460428571428571</v>
      </c>
      <c r="AD28" s="21">
        <f>AVERAGE('Edited data B'!E183:E189)</f>
        <v>3.6502857142857144</v>
      </c>
      <c r="AE28" s="21">
        <f>AVERAGE('Edited data B'!M183:M189)</f>
        <v>0.79</v>
      </c>
      <c r="AF28" s="21">
        <f>AVERAGE('Edited data A'!D183:D189)</f>
        <v>1.2418393277328854</v>
      </c>
      <c r="AG28" s="50">
        <f>AVERAGE(Data_nieuwveer!BL183:BL189)</f>
        <v>122</v>
      </c>
      <c r="AH28" s="21">
        <f>AVERAGE('Edited data B'!C183:C189)</f>
        <v>59.091659298555854</v>
      </c>
      <c r="AI28" s="21">
        <f>AVERAGE('Edited data B'!R183:R189)</f>
        <v>0.11275848542039112</v>
      </c>
      <c r="AJ28" s="21">
        <f>AVERAGE('Edited data B'!AA183:AA189)</f>
        <v>19.362587936400178</v>
      </c>
      <c r="AK28" s="41">
        <f>AVERAGE('Edited data B'!AC183:AC189)</f>
        <v>0.21683913428398707</v>
      </c>
      <c r="AL28" s="21">
        <f>AVERAGE('Edited data B'!AF183:AF189)</f>
        <v>0.75517514061689384</v>
      </c>
      <c r="AM28" s="21">
        <f>AVERAGE('Edited data B'!AE183:AE189)</f>
        <v>0.28375005634180078</v>
      </c>
      <c r="AN28" s="50">
        <f>AVERAGE('Additional data LabMET'!L183:L189)</f>
        <v>83.523799999999994</v>
      </c>
      <c r="AO28" s="50">
        <f>AVERAGE('Additional data LabMET'!P183:P189)</f>
        <v>74.023094688224162</v>
      </c>
      <c r="AP28" s="50" t="e">
        <f>AVERAGE('Additional data LabMET'!R183:R189)</f>
        <v>#DIV/0!</v>
      </c>
      <c r="AQ28" s="50">
        <f>AVERAGE('Additional data LabMET'!S183:S189)</f>
        <v>105.57216000000001</v>
      </c>
      <c r="AR28" s="50">
        <f>AVERAGE('Additional data LabMET'!T183:T189)</f>
        <v>34.113131920436892</v>
      </c>
      <c r="AS28" s="50">
        <f>AVERAGE('Additional data LabMET'!U183:U189)</f>
        <v>6.269999999999996</v>
      </c>
    </row>
    <row r="29" spans="1:45" x14ac:dyDescent="0.3">
      <c r="A29" s="2">
        <f>AVERAGE(Data_nieuwveer!A190:A196)</f>
        <v>41732</v>
      </c>
      <c r="B29" s="42">
        <f t="shared" si="1"/>
        <v>181.5</v>
      </c>
      <c r="C29" s="50">
        <f>AVERAGE(Data_nieuwveer!BO190:BO196)</f>
        <v>15.346714285714286</v>
      </c>
      <c r="D29" s="21">
        <f>AVERAGE('Edited data A'!E190:E196)/1000</f>
        <v>2.6589999999999998</v>
      </c>
      <c r="E29" s="21">
        <f>AVERAGE('Edited data A'!M190:M196)</f>
        <v>0.80699999999999994</v>
      </c>
      <c r="F29" s="21">
        <f>AVERAGE('Edited data A'!D190:D196)</f>
        <v>1.4741417063288902</v>
      </c>
      <c r="G29" s="50">
        <f>AVERAGE(Data_nieuwveer!AH190:AH196)</f>
        <v>75</v>
      </c>
      <c r="H29" s="21">
        <f>AVERAGE('Edited data A'!C190:C196)</f>
        <v>164.22247298919567</v>
      </c>
      <c r="I29" s="21">
        <f>AVERAGE('Edited data A'!V190:V196)</f>
        <v>2.6164176974704985</v>
      </c>
      <c r="J29" s="21">
        <f>AVERAGE('Edited data A'!W190:W196)</f>
        <v>1.8763197353252272</v>
      </c>
      <c r="K29" s="41">
        <f>AVERAGE('Edited data A'!Z190:Z196)</f>
        <v>2.8015901349914069E-2</v>
      </c>
      <c r="L29" s="50">
        <f>AVERAGE('Edited data A'!AF190:AF196)</f>
        <v>0.60072032785580709</v>
      </c>
      <c r="M29" s="50">
        <f>AVERAGE('Edited data A'!AE190:AE196)</f>
        <v>0.55170794682852908</v>
      </c>
      <c r="N29" s="50">
        <f>AVERAGE('Additional data LabMET'!B190:B196)</f>
        <v>414.86099999999999</v>
      </c>
      <c r="O29" s="50">
        <f>AVERAGE('Additional data LabMET'!F190:F196)</f>
        <v>42.528122020972368</v>
      </c>
      <c r="P29" s="50" t="e">
        <f>AVERAGE('Additional data LabMET'!G190:G196)</f>
        <v>#DIV/0!</v>
      </c>
      <c r="Q29" s="50">
        <f>AVERAGE('Additional data LabMET'!H190:H196)</f>
        <v>133.51857000000001</v>
      </c>
      <c r="R29" s="50">
        <f>AVERAGE('Additional data LabMET'!I190:I196)</f>
        <v>49.274957362394325</v>
      </c>
      <c r="S29" s="50" t="e">
        <f>AVERAGE('Additional data LabMET'!J190:J196)</f>
        <v>#DIV/0!</v>
      </c>
      <c r="T29" s="21">
        <f>AVERAGE(Data_nieuwveer!AJ190:AJ196)</f>
        <v>0.4629166666666667</v>
      </c>
      <c r="U29" s="21">
        <f>AVERAGE(Data_nieuwveer!AK190:AK196)</f>
        <v>1.9216666666666664</v>
      </c>
      <c r="AA29" s="2">
        <f>AVERAGE(Data_nieuwveer!A190:A196)</f>
        <v>41732</v>
      </c>
      <c r="AB29" s="42">
        <f t="shared" si="0"/>
        <v>181.5</v>
      </c>
      <c r="AC29" s="50">
        <f>AVERAGE(Data_nieuwveer!BO190:BO196)</f>
        <v>15.346714285714286</v>
      </c>
      <c r="AD29" s="21">
        <f>AVERAGE('Edited data B'!E190:E196)</f>
        <v>3.2950000000000004</v>
      </c>
      <c r="AE29" s="21" t="e">
        <f>AVERAGE('Edited data B'!M190:M196)</f>
        <v>#DIV/0!</v>
      </c>
      <c r="AF29" s="21">
        <f>AVERAGE('Edited data A'!D190:D196)</f>
        <v>1.4741417063288902</v>
      </c>
      <c r="AG29" s="50">
        <f>AVERAGE(Data_nieuwveer!BL190:BL196)</f>
        <v>62.5</v>
      </c>
      <c r="AH29" s="21">
        <f>AVERAGE('Edited data B'!C190:C196)</f>
        <v>59.091659298555854</v>
      </c>
      <c r="AI29" s="21">
        <f>AVERAGE('Edited data B'!R190:R196)</f>
        <v>0.11145793066138955</v>
      </c>
      <c r="AJ29" s="21">
        <f>AVERAGE('Edited data B'!AA190:AA196)</f>
        <v>21.14797999412097</v>
      </c>
      <c r="AK29" s="41">
        <f>AVERAGE('Edited data B'!AC190:AC196)</f>
        <v>0.22904958477267517</v>
      </c>
      <c r="AL29" s="21">
        <f>AVERAGE('Edited data B'!AF190:AF196)</f>
        <v>0.73733186010377982</v>
      </c>
      <c r="AM29" s="21">
        <f>AVERAGE('Edited data B'!AE190:AE196)</f>
        <v>0.26665214050594838</v>
      </c>
      <c r="AN29" s="50">
        <f>AVERAGE('Additional data LabMET'!L190:L196)</f>
        <v>82.271699999999996</v>
      </c>
      <c r="AO29" s="50">
        <f>AVERAGE('Additional data LabMET'!P190:P196)</f>
        <v>72.096735187424457</v>
      </c>
      <c r="AP29" s="50" t="e">
        <f>AVERAGE('Additional data LabMET'!R190:R196)</f>
        <v>#DIV/0!</v>
      </c>
      <c r="AQ29" s="50">
        <f>AVERAGE('Additional data LabMET'!S190:S196)</f>
        <v>88.480240000000009</v>
      </c>
      <c r="AR29" s="50">
        <f>AVERAGE('Additional data LabMET'!T190:T196)</f>
        <v>33.640524656134751</v>
      </c>
      <c r="AS29" s="50" t="e">
        <f>AVERAGE('Additional data LabMET'!U190:U196)</f>
        <v>#DIV/0!</v>
      </c>
    </row>
    <row r="30" spans="1:45" x14ac:dyDescent="0.3">
      <c r="A30" s="2">
        <f>AVERAGE(Data_nieuwveer!A197:A203)</f>
        <v>41739</v>
      </c>
      <c r="B30" s="42">
        <f t="shared" si="1"/>
        <v>188.5</v>
      </c>
      <c r="C30" s="50">
        <f>AVERAGE(Data_nieuwveer!BO197:BO203)</f>
        <v>15.461857142857141</v>
      </c>
      <c r="D30" s="21">
        <f>AVERAGE('Edited data A'!E197:E203)/1000</f>
        <v>2.4209999999999998</v>
      </c>
      <c r="E30" s="21">
        <f>AVERAGE('Edited data A'!M197:M203)</f>
        <v>0.80649999999999999</v>
      </c>
      <c r="F30" s="21">
        <f>AVERAGE('Edited data A'!D197:D203)</f>
        <v>1.1444659591878934</v>
      </c>
      <c r="G30" s="50">
        <f>AVERAGE(Data_nieuwveer!AH197:AH203)</f>
        <v>78.5</v>
      </c>
      <c r="H30" s="21">
        <f>AVERAGE('Edited data A'!C197:C203)</f>
        <v>200.27130852340935</v>
      </c>
      <c r="I30" s="21">
        <f>AVERAGE('Edited data A'!V197:V203)</f>
        <v>3.9847946170304773</v>
      </c>
      <c r="J30" s="21">
        <f>AVERAGE('Edited data A'!W197:W203)</f>
        <v>1.2045454783658012</v>
      </c>
      <c r="K30" s="41">
        <f>AVERAGE('Edited data A'!Z197:Z203)</f>
        <v>2.6024415976583608E-2</v>
      </c>
      <c r="L30" s="50">
        <f>AVERAGE('Edited data A'!AF197:AF203)</f>
        <v>0.57365249221183801</v>
      </c>
      <c r="M30" s="50">
        <f>AVERAGE('Edited data A'!AE197:AE203)</f>
        <v>0.54433582810917402</v>
      </c>
      <c r="N30" s="50">
        <f>AVERAGE('Additional data LabMET'!B197:B203)</f>
        <v>469.08</v>
      </c>
      <c r="O30" s="50">
        <f>AVERAGE('Additional data LabMET'!F197:F203)</f>
        <v>36.560985299960258</v>
      </c>
      <c r="P30" s="50" t="e">
        <f>AVERAGE('Additional data LabMET'!G197:G203)</f>
        <v>#DIV/0!</v>
      </c>
      <c r="Q30" s="50">
        <f>AVERAGE('Additional data LabMET'!H197:H203)</f>
        <v>164.36818000000002</v>
      </c>
      <c r="R30" s="50">
        <f>AVERAGE('Additional data LabMET'!I197:I203)</f>
        <v>50.725798864995717</v>
      </c>
      <c r="S30" s="50" t="e">
        <f>AVERAGE('Additional data LabMET'!J197:J203)</f>
        <v>#DIV/0!</v>
      </c>
      <c r="T30" s="21">
        <f>AVERAGE(Data_nieuwveer!AJ197:AJ203)</f>
        <v>0.38452380952380949</v>
      </c>
      <c r="U30" s="21">
        <f>AVERAGE(Data_nieuwveer!AK197:AK203)</f>
        <v>2.0670833333333336</v>
      </c>
      <c r="AA30" s="2">
        <f>AVERAGE(Data_nieuwveer!A197:A203)</f>
        <v>41739</v>
      </c>
      <c r="AB30" s="42">
        <f t="shared" si="0"/>
        <v>188.5</v>
      </c>
      <c r="AC30" s="50">
        <f>AVERAGE(Data_nieuwveer!BO197:BO203)</f>
        <v>15.461857142857141</v>
      </c>
      <c r="AD30" s="21">
        <f>AVERAGE('Edited data B'!E197:E203)</f>
        <v>3.1799999999999997</v>
      </c>
      <c r="AE30" s="21">
        <f>AVERAGE('Edited data B'!M197:M203)</f>
        <v>0.73</v>
      </c>
      <c r="AF30" s="21">
        <f>AVERAGE('Edited data A'!D197:D203)</f>
        <v>1.1444659591878934</v>
      </c>
      <c r="AG30" s="50">
        <f>AVERAGE(Data_nieuwveer!BL197:BL203)</f>
        <v>134.5</v>
      </c>
      <c r="AH30" s="21">
        <f>AVERAGE('Edited data B'!C197:C203)</f>
        <v>77.557802829354557</v>
      </c>
      <c r="AI30" s="21">
        <f>AVERAGE('Edited data B'!R197:R203)</f>
        <v>0.16675108622408308</v>
      </c>
      <c r="AJ30" s="21">
        <f>AVERAGE('Edited data B'!AA197:AA203)</f>
        <v>25.557982858955878</v>
      </c>
      <c r="AK30" s="41">
        <f>AVERAGE('Edited data B'!AC197:AC203)</f>
        <v>0.21346641925524329</v>
      </c>
      <c r="AL30" s="21">
        <f>AVERAGE('Edited data B'!AF197:AF203)</f>
        <v>0.79828661261289569</v>
      </c>
      <c r="AM30" s="21">
        <f>AVERAGE('Edited data B'!AE197:AE203)</f>
        <v>0.29274478505356016</v>
      </c>
      <c r="AN30" s="50">
        <f>AVERAGE('Additional data LabMET'!L197:L203)</f>
        <v>81.400300000000001</v>
      </c>
      <c r="AO30" s="50">
        <f>AVERAGE('Additional data LabMET'!P197:P203)</f>
        <v>95.731182795698956</v>
      </c>
      <c r="AP30" s="50" t="e">
        <f>AVERAGE('Additional data LabMET'!R197:R203)</f>
        <v>#DIV/0!</v>
      </c>
      <c r="AQ30" s="50">
        <f>AVERAGE('Additional data LabMET'!S197:S203)</f>
        <v>88.156560000000013</v>
      </c>
      <c r="AR30" s="50">
        <f>AVERAGE('Additional data LabMET'!T197:T203)</f>
        <v>34.277979260353831</v>
      </c>
      <c r="AS30" s="50" t="e">
        <f>AVERAGE('Additional data LabMET'!U197:U203)</f>
        <v>#DIV/0!</v>
      </c>
    </row>
    <row r="31" spans="1:45" x14ac:dyDescent="0.3">
      <c r="A31" s="2">
        <f>AVERAGE(Data_nieuwveer!A204:A210)</f>
        <v>41746</v>
      </c>
      <c r="B31" s="42">
        <f t="shared" si="1"/>
        <v>195.5</v>
      </c>
      <c r="C31" s="50">
        <f>AVERAGE(Data_nieuwveer!BO204:BO210)</f>
        <v>15.745000000000001</v>
      </c>
      <c r="D31" s="21">
        <f>AVERAGE('Edited data A'!E204:E210)/1000</f>
        <v>2.5939999999999999</v>
      </c>
      <c r="E31" s="21">
        <f>AVERAGE('Edited data A'!M204:M210)</f>
        <v>0.80999999999999994</v>
      </c>
      <c r="F31" s="21">
        <f>AVERAGE('Edited data A'!D204:D210)</f>
        <v>1.4831398314494533</v>
      </c>
      <c r="G31" s="50">
        <f>AVERAGE(Data_nieuwveer!AH204:AH210)</f>
        <v>92.5</v>
      </c>
      <c r="H31" s="21">
        <f>AVERAGE('Edited data A'!C204:C210)</f>
        <v>108.14650660264104</v>
      </c>
      <c r="I31" s="21">
        <f>AVERAGE('Edited data A'!V204:V210)</f>
        <v>2.0476415182994523</v>
      </c>
      <c r="J31" s="21">
        <f>AVERAGE('Edited data A'!W204:W210)</f>
        <v>1.8852376711793801</v>
      </c>
      <c r="K31" s="41">
        <f>AVERAGE('Edited data A'!Z204:Z210)</f>
        <v>2.8033442960045896E-2</v>
      </c>
      <c r="L31" s="50">
        <f>AVERAGE('Edited data A'!AF204:AF210)</f>
        <v>0.49010982050287533</v>
      </c>
      <c r="M31" s="50">
        <f>AVERAGE('Edited data A'!AE204:AE210)</f>
        <v>0.60015557206248182</v>
      </c>
      <c r="N31" s="50">
        <f>AVERAGE('Additional data LabMET'!B204:B210)</f>
        <v>352.63499999999999</v>
      </c>
      <c r="O31" s="50">
        <f>AVERAGE('Additional data LabMET'!F204:F210)</f>
        <v>37.247798742138357</v>
      </c>
      <c r="P31" s="50" t="e">
        <f>AVERAGE('Additional data LabMET'!G204:G210)</f>
        <v>#DIV/0!</v>
      </c>
      <c r="Q31" s="50">
        <f>AVERAGE('Additional data LabMET'!H204:H210)</f>
        <v>149.59035</v>
      </c>
      <c r="R31" s="50">
        <f>AVERAGE('Additional data LabMET'!I204:I210)</f>
        <v>51.892169326533853</v>
      </c>
      <c r="S31" s="50">
        <f>AVERAGE('Additional data LabMET'!J204:J210)</f>
        <v>11.239999999999995</v>
      </c>
      <c r="T31" s="21">
        <f>AVERAGE(Data_nieuwveer!AJ204:AJ210)</f>
        <v>0.43101190476190482</v>
      </c>
      <c r="U31" s="21">
        <f>AVERAGE(Data_nieuwveer!AK204:AK210)</f>
        <v>2.67172619047619</v>
      </c>
      <c r="AA31" s="2">
        <f>AVERAGE(Data_nieuwveer!A204:A210)</f>
        <v>41746</v>
      </c>
      <c r="AB31" s="42">
        <f t="shared" si="0"/>
        <v>195.5</v>
      </c>
      <c r="AC31" s="50">
        <f>AVERAGE(Data_nieuwveer!BO204:BO210)</f>
        <v>15.745000000000001</v>
      </c>
      <c r="AD31" s="21">
        <f>AVERAGE('Edited data B'!E204:E210)</f>
        <v>2.7250000000000001</v>
      </c>
      <c r="AE31" s="21">
        <f>AVERAGE('Edited data B'!M204:M210)</f>
        <v>0.78</v>
      </c>
      <c r="AF31" s="21">
        <f>AVERAGE('Edited data A'!D204:D210)</f>
        <v>1.4831398314494533</v>
      </c>
      <c r="AG31" s="50">
        <f>AVERAGE(Data_nieuwveer!BL204:BL210)</f>
        <v>136</v>
      </c>
      <c r="AH31" s="21">
        <f>AVERAGE('Edited data B'!C204:C210)</f>
        <v>49.858587533156502</v>
      </c>
      <c r="AI31" s="21">
        <f>AVERAGE('Edited data B'!R204:R210)</f>
        <v>9.5555219034708067E-2</v>
      </c>
      <c r="AJ31" s="21">
        <f>AVERAGE('Edited data B'!AA204:AA210)</f>
        <v>23.30465575669184</v>
      </c>
      <c r="AK31" s="41">
        <f>AVERAGE('Edited data B'!AC204:AC210)</f>
        <v>0.22944004608379004</v>
      </c>
      <c r="AL31" s="21">
        <f>AVERAGE('Edited data B'!AF204:AF210)</f>
        <v>0.71309231464655998</v>
      </c>
      <c r="AM31" s="21">
        <f>AVERAGE('Edited data B'!AE204:AE210)</f>
        <v>-0.28843640753972183</v>
      </c>
      <c r="AN31" s="50">
        <f>AVERAGE('Additional data LabMET'!L204:L210)</f>
        <v>90.567099999999996</v>
      </c>
      <c r="AO31" s="50">
        <f>AVERAGE('Additional data LabMET'!P204:P210)</f>
        <v>167.45595054095836</v>
      </c>
      <c r="AP31" s="50" t="e">
        <f>AVERAGE('Additional data LabMET'!R204:R210)</f>
        <v>#DIV/0!</v>
      </c>
      <c r="AQ31" s="50">
        <f>AVERAGE('Additional data LabMET'!S204:S210)</f>
        <v>143.35568000000001</v>
      </c>
      <c r="AR31" s="50" t="e">
        <f>AVERAGE('Additional data LabMET'!T204:T210)</f>
        <v>#DIV/0!</v>
      </c>
      <c r="AS31" s="50" t="e">
        <f>AVERAGE('Additional data LabMET'!U204:U210)</f>
        <v>#DIV/0!</v>
      </c>
    </row>
    <row r="32" spans="1:45" x14ac:dyDescent="0.3">
      <c r="A32" s="2">
        <f>AVERAGE(Data_nieuwveer!A211:A217)</f>
        <v>41753</v>
      </c>
      <c r="B32" s="42">
        <f t="shared" si="1"/>
        <v>202.5</v>
      </c>
      <c r="C32" s="50">
        <f>AVERAGE(Data_nieuwveer!BO211:BO217)</f>
        <v>16.820857142857147</v>
      </c>
      <c r="D32" s="21">
        <f>AVERAGE('Edited data A'!E211:E217)/1000</f>
        <v>1.8819999999999999</v>
      </c>
      <c r="E32" s="21">
        <f>AVERAGE('Edited data A'!M211:M217)</f>
        <v>0.83399999999999996</v>
      </c>
      <c r="F32" s="21">
        <f>AVERAGE('Edited data A'!D211:D217)</f>
        <v>1.5472238117681238</v>
      </c>
      <c r="G32" s="50">
        <f>AVERAGE(Data_nieuwveer!AH211:AH217)</f>
        <v>74</v>
      </c>
      <c r="H32" s="21">
        <f>AVERAGE('Edited data A'!C211:C217)</f>
        <v>108.14650660264105</v>
      </c>
      <c r="I32" s="21">
        <f>AVERAGE('Edited data A'!V211:V217)</f>
        <v>2.314608066450218</v>
      </c>
      <c r="J32" s="21">
        <f>AVERAGE('Edited data A'!W211:W217)</f>
        <v>1.5918486634923983</v>
      </c>
      <c r="K32" s="41">
        <f>AVERAGE('Edited data A'!Z211:Z217)</f>
        <v>2.8589278631672349E-2</v>
      </c>
      <c r="L32" s="50">
        <f>AVERAGE('Edited data A'!AF211:AF217)</f>
        <v>0.39555590836124277</v>
      </c>
      <c r="M32" s="50">
        <f>AVERAGE('Edited data A'!AE211:AE217)</f>
        <v>0.72716631259903031</v>
      </c>
      <c r="N32" s="50">
        <f>AVERAGE('Additional data LabMET'!B211:B217)</f>
        <v>265.01</v>
      </c>
      <c r="O32" s="50">
        <f>AVERAGE('Additional data LabMET'!F211:F217)</f>
        <v>43.788800000000002</v>
      </c>
      <c r="P32" s="50" t="e">
        <f>AVERAGE('Additional data LabMET'!G211:G217)</f>
        <v>#DIV/0!</v>
      </c>
      <c r="Q32" s="50" t="e">
        <f>AVERAGE('Additional data LabMET'!H211:H217)</f>
        <v>#DIV/0!</v>
      </c>
      <c r="R32" s="50" t="e">
        <f>AVERAGE('Additional data LabMET'!I211:I217)</f>
        <v>#DIV/0!</v>
      </c>
      <c r="S32" s="50" t="e">
        <f>AVERAGE('Additional data LabMET'!J211:J217)</f>
        <v>#DIV/0!</v>
      </c>
      <c r="T32" s="21">
        <f>AVERAGE(Data_nieuwveer!AJ211:AJ217)</f>
        <v>0.24339285714285716</v>
      </c>
      <c r="U32" s="21">
        <f>AVERAGE(Data_nieuwveer!AK211:AK217)</f>
        <v>2.8093452380952377</v>
      </c>
      <c r="AA32" s="2">
        <f>AVERAGE(Data_nieuwveer!A211:A217)</f>
        <v>41753</v>
      </c>
      <c r="AB32" s="42">
        <f t="shared" si="0"/>
        <v>202.5</v>
      </c>
      <c r="AC32" s="50">
        <f>AVERAGE(Data_nieuwveer!BO211:BO217)</f>
        <v>16.820857142857147</v>
      </c>
      <c r="AD32" s="21">
        <f>AVERAGE('Edited data B'!E211:E217)</f>
        <v>2.5747142857142857</v>
      </c>
      <c r="AE32" s="21" t="e">
        <f>AVERAGE('Edited data B'!M211:M217)</f>
        <v>#DIV/0!</v>
      </c>
      <c r="AF32" s="21">
        <f>AVERAGE('Edited data A'!D211:D217)</f>
        <v>1.5472238117681238</v>
      </c>
      <c r="AG32" s="50">
        <f>AVERAGE(Data_nieuwveer!BL211:BL217)</f>
        <v>141</v>
      </c>
      <c r="AH32" s="21">
        <f>AVERAGE('Edited data B'!C211:C217)</f>
        <v>59.091659298555854</v>
      </c>
      <c r="AI32" s="21">
        <f>AVERAGE('Edited data B'!R211:R217)</f>
        <v>0.11598234067434687</v>
      </c>
      <c r="AJ32" s="21">
        <f>AVERAGE('Edited data B'!AA211:AA217)</f>
        <v>22.302854253675783</v>
      </c>
      <c r="AK32" s="41">
        <f>AVERAGE('Edited data B'!AC211:AC217)</f>
        <v>0.23370887143112593</v>
      </c>
      <c r="AL32" s="21">
        <f>AVERAGE('Edited data B'!AF211:AF217)</f>
        <v>0.73039199949636213</v>
      </c>
      <c r="AM32" s="21">
        <f>AVERAGE('Edited data B'!AE211:AE217)</f>
        <v>0.40786800970946074</v>
      </c>
      <c r="AN32" s="50">
        <f>AVERAGE('Additional data LabMET'!L211:L217)</f>
        <v>79.014099999999999</v>
      </c>
      <c r="AO32" s="50">
        <f>AVERAGE('Additional data LabMET'!P211:P217)</f>
        <v>54.442040185471384</v>
      </c>
      <c r="AP32" s="50" t="e">
        <f>AVERAGE('Additional data LabMET'!R211:R217)</f>
        <v>#DIV/0!</v>
      </c>
      <c r="AQ32" s="50" t="e">
        <f>AVERAGE('Additional data LabMET'!S211:S217)</f>
        <v>#DIV/0!</v>
      </c>
      <c r="AR32" s="50" t="e">
        <f>AVERAGE('Additional data LabMET'!T211:T217)</f>
        <v>#DIV/0!</v>
      </c>
      <c r="AS32" s="50" t="e">
        <f>AVERAGE('Additional data LabMET'!U211:U217)</f>
        <v>#DIV/0!</v>
      </c>
    </row>
    <row r="33" spans="1:45" x14ac:dyDescent="0.3">
      <c r="A33" s="2">
        <f>AVERAGE(Data_nieuwveer!A218:A224)</f>
        <v>41760</v>
      </c>
      <c r="B33" s="42">
        <f t="shared" ref="B33:B46" si="2">AA33-A$3</f>
        <v>209.5</v>
      </c>
      <c r="C33" s="50">
        <f>AVERAGE(Data_nieuwveer!BO218:BO224)</f>
        <v>17.238</v>
      </c>
      <c r="D33" s="21">
        <f>AVERAGE('Edited data A'!E218:E224)/1000</f>
        <v>1.8819999999999999</v>
      </c>
      <c r="E33" s="21" t="e">
        <f>AVERAGE('Edited data A'!M218:M224)</f>
        <v>#DIV/0!</v>
      </c>
      <c r="F33" s="21">
        <f>AVERAGE('Edited data A'!D218:D224)</f>
        <v>1.2641134728478736</v>
      </c>
      <c r="G33" s="50" t="e">
        <f>AVERAGE(Data_nieuwveer!AH218:AH224)</f>
        <v>#DIV/0!</v>
      </c>
      <c r="H33" s="21" t="e">
        <f>AVERAGE('Edited data A'!C218:C224)</f>
        <v>#DIV/0!</v>
      </c>
      <c r="I33" s="21" t="e">
        <f>AVERAGE('Edited data A'!V218:V224)</f>
        <v>#DIV/0!</v>
      </c>
      <c r="J33" s="21" t="e">
        <f>AVERAGE('Edited data A'!W218:W224)</f>
        <v>#DIV/0!</v>
      </c>
      <c r="K33" s="41">
        <f>AVERAGE('Edited data A'!Z218:Z224)</f>
        <v>2.884638722593158E-2</v>
      </c>
      <c r="L33" s="50" t="e">
        <f>AVERAGE('Edited data A'!AF218:AF224)</f>
        <v>#DIV/0!</v>
      </c>
      <c r="M33" s="50" t="e">
        <f>AVERAGE('Edited data A'!AE218:AE224)</f>
        <v>#DIV/0!</v>
      </c>
      <c r="N33" s="50">
        <f>AVERAGE('Additional data LabMET'!B218:B224)</f>
        <v>226.07599999999999</v>
      </c>
      <c r="O33" s="50" t="e">
        <f>AVERAGE('Additional data LabMET'!F218:F224)</f>
        <v>#DIV/0!</v>
      </c>
      <c r="P33" s="50" t="e">
        <f>AVERAGE('Additional data LabMET'!G218:G224)</f>
        <v>#DIV/0!</v>
      </c>
      <c r="Q33" s="50" t="e">
        <f>AVERAGE('Additional data LabMET'!H218:H224)</f>
        <v>#DIV/0!</v>
      </c>
      <c r="R33" s="50" t="e">
        <f>AVERAGE('Additional data LabMET'!I218:I224)</f>
        <v>#DIV/0!</v>
      </c>
      <c r="S33" s="50" t="e">
        <f>AVERAGE('Additional data LabMET'!J218:J224)</f>
        <v>#DIV/0!</v>
      </c>
      <c r="T33" s="21">
        <f>AVERAGE(Data_nieuwveer!AJ218:AJ224)</f>
        <v>0.33886904761904768</v>
      </c>
      <c r="U33" s="21">
        <f>AVERAGE(Data_nieuwveer!AK218:AK224)</f>
        <v>1.9108333333333332</v>
      </c>
      <c r="V33" s="50"/>
      <c r="X33" s="21"/>
      <c r="Z33" s="2"/>
      <c r="AA33" s="2">
        <f>AVERAGE(Data_nieuwveer!A218:A224)</f>
        <v>41760</v>
      </c>
      <c r="AB33" s="42">
        <f t="shared" si="0"/>
        <v>209.5</v>
      </c>
      <c r="AC33" s="50">
        <f>AVERAGE(Data_nieuwveer!BO218:BO224)</f>
        <v>17.238</v>
      </c>
      <c r="AD33" s="21">
        <f>AVERAGE('Edited data B'!E218:E224)</f>
        <v>3.0840000000000001</v>
      </c>
      <c r="AE33" s="21" t="e">
        <f>AVERAGE('Edited data B'!M218:M224)</f>
        <v>#DIV/0!</v>
      </c>
      <c r="AF33" s="21">
        <f>AVERAGE('Edited data A'!D218:D224)</f>
        <v>1.2641134728478736</v>
      </c>
      <c r="AG33" s="50" t="e">
        <f>AVERAGE(Data_nieuwveer!BL218:BL224)</f>
        <v>#DIV/0!</v>
      </c>
      <c r="AH33" s="21" t="e">
        <f>AVERAGE('Edited data B'!C218:C224)</f>
        <v>#DIV/0!</v>
      </c>
      <c r="AI33" s="21" t="e">
        <f>AVERAGE('Edited data B'!R218:R224)</f>
        <v>#DIV/0!</v>
      </c>
      <c r="AJ33" s="21" t="e">
        <f>AVERAGE('Edited data B'!AA218:AA224)</f>
        <v>#DIV/0!</v>
      </c>
      <c r="AK33" s="41">
        <f>AVERAGE('Edited data B'!AC218:AC224)</f>
        <v>0.2355730930780203</v>
      </c>
      <c r="AL33" s="21" t="e">
        <f>AVERAGE('Edited data B'!AF218:AF224)</f>
        <v>#DIV/0!</v>
      </c>
      <c r="AM33" s="21" t="e">
        <f>AVERAGE('Edited data B'!AE218:AE224)</f>
        <v>#DIV/0!</v>
      </c>
      <c r="AN33" s="50">
        <f>AVERAGE('Additional data LabMET'!L218:L224)</f>
        <v>87.378</v>
      </c>
      <c r="AO33" s="50" t="e">
        <f>AVERAGE('Additional data LabMET'!P218:P224)</f>
        <v>#DIV/0!</v>
      </c>
      <c r="AP33" s="50" t="e">
        <f>AVERAGE('Additional data LabMET'!R218:R224)</f>
        <v>#DIV/0!</v>
      </c>
      <c r="AQ33" s="50" t="e">
        <f>AVERAGE('Additional data LabMET'!S218:S224)</f>
        <v>#DIV/0!</v>
      </c>
      <c r="AR33" s="50" t="e">
        <f>AVERAGE('Additional data LabMET'!T218:T224)</f>
        <v>#DIV/0!</v>
      </c>
      <c r="AS33" s="50" t="e">
        <f>AVERAGE('Additional data LabMET'!U218:U224)</f>
        <v>#DIV/0!</v>
      </c>
    </row>
    <row r="34" spans="1:45" x14ac:dyDescent="0.3">
      <c r="A34" s="2">
        <f>AVERAGE(Data_nieuwveer!A225:A231)</f>
        <v>41767</v>
      </c>
      <c r="B34" s="42">
        <f t="shared" si="2"/>
        <v>216.5</v>
      </c>
      <c r="C34" s="50" t="e">
        <f>AVERAGE(Data_nieuwveer!BO225:BO231)</f>
        <v>#DIV/0!</v>
      </c>
      <c r="D34" s="21" t="e">
        <f>AVERAGE('Edited data A'!E225:E231)/1000</f>
        <v>#DIV/0!</v>
      </c>
      <c r="E34" s="21" t="e">
        <f>AVERAGE('Edited data A'!M225:M231)</f>
        <v>#DIV/0!</v>
      </c>
      <c r="F34" s="21" t="e">
        <f>AVERAGE('Edited data A'!D225:D231)</f>
        <v>#DIV/0!</v>
      </c>
      <c r="G34" s="50" t="e">
        <f>AVERAGE(Data_nieuwveer!AH225:AH231)</f>
        <v>#DIV/0!</v>
      </c>
      <c r="H34" s="21" t="e">
        <f>AVERAGE('Edited data A'!C225:C231)</f>
        <v>#DIV/0!</v>
      </c>
      <c r="I34" s="21" t="e">
        <f>AVERAGE('Edited data A'!V225:V231)</f>
        <v>#DIV/0!</v>
      </c>
      <c r="J34" s="21" t="e">
        <f>AVERAGE('Edited data A'!W225:W231)</f>
        <v>#DIV/0!</v>
      </c>
      <c r="K34" s="41" t="e">
        <f>AVERAGE('Edited data A'!Z225:Z231)</f>
        <v>#DIV/0!</v>
      </c>
      <c r="L34" s="50" t="e">
        <f>AVERAGE('Edited data A'!AF225:AF231)</f>
        <v>#DIV/0!</v>
      </c>
      <c r="M34" s="50" t="e">
        <f>AVERAGE('Edited data A'!AE225:AE231)</f>
        <v>#DIV/0!</v>
      </c>
      <c r="N34" s="50">
        <f>AVERAGE('Additional data LabMET'!B225:B231)</f>
        <v>179.67699999999999</v>
      </c>
      <c r="O34" s="50" t="e">
        <f>AVERAGE('Additional data LabMET'!F225:F231)</f>
        <v>#DIV/0!</v>
      </c>
      <c r="P34" s="50" t="e">
        <f>AVERAGE('Additional data LabMET'!G225:G231)</f>
        <v>#DIV/0!</v>
      </c>
      <c r="Q34" s="50" t="e">
        <f>AVERAGE('Additional data LabMET'!H225:H231)</f>
        <v>#DIV/0!</v>
      </c>
      <c r="R34" s="50" t="e">
        <f>AVERAGE('Additional data LabMET'!I225:I231)</f>
        <v>#DIV/0!</v>
      </c>
      <c r="S34" s="50" t="e">
        <f>AVERAGE('Additional data LabMET'!J225:J231)</f>
        <v>#DIV/0!</v>
      </c>
      <c r="T34" s="21">
        <f>AVERAGE(Data_nieuwveer!AJ225:AJ231)</f>
        <v>0.57005952380952374</v>
      </c>
      <c r="U34" s="21">
        <f>AVERAGE(Data_nieuwveer!AK225:AK231)</f>
        <v>1.1220238095238098</v>
      </c>
      <c r="V34" s="50"/>
      <c r="X34" s="21"/>
      <c r="Y34" s="21"/>
      <c r="Z34" s="2"/>
      <c r="AA34" s="2">
        <f>AVERAGE(Data_nieuwveer!A225:A231)</f>
        <v>41767</v>
      </c>
      <c r="AB34" s="42">
        <f t="shared" si="0"/>
        <v>216.5</v>
      </c>
      <c r="AC34" s="50" t="e">
        <f>AVERAGE(Data_nieuwveer!BO225:BO231)</f>
        <v>#DIV/0!</v>
      </c>
      <c r="AD34" s="21" t="e">
        <f>AVERAGE('Edited data B'!E225:E231)</f>
        <v>#DIV/0!</v>
      </c>
      <c r="AE34" s="21" t="e">
        <f>AVERAGE('Edited data B'!M225:M231)</f>
        <v>#DIV/0!</v>
      </c>
      <c r="AF34" s="21" t="e">
        <f>AVERAGE('Edited data A'!D225:D231)</f>
        <v>#DIV/0!</v>
      </c>
      <c r="AG34" s="50" t="e">
        <f>AVERAGE(Data_nieuwveer!BL225:BL231)</f>
        <v>#DIV/0!</v>
      </c>
      <c r="AH34" s="21" t="e">
        <f>AVERAGE('Edited data B'!C225:C231)</f>
        <v>#DIV/0!</v>
      </c>
      <c r="AI34" s="21" t="e">
        <f>AVERAGE('Edited data B'!R225:R231)</f>
        <v>#DIV/0!</v>
      </c>
      <c r="AJ34" s="21" t="e">
        <f>AVERAGE('Edited data B'!AA225:AA231)</f>
        <v>#DIV/0!</v>
      </c>
      <c r="AK34" s="41" t="e">
        <f>AVERAGE('Edited data B'!AC225:AC231)</f>
        <v>#DIV/0!</v>
      </c>
      <c r="AL34" s="21" t="e">
        <f>AVERAGE('Edited data B'!AF225:AF231)</f>
        <v>#DIV/0!</v>
      </c>
      <c r="AM34" s="21" t="e">
        <f>AVERAGE('Edited data B'!AE225:AE231)</f>
        <v>#DIV/0!</v>
      </c>
      <c r="AN34" s="50">
        <f>AVERAGE('Additional data LabMET'!L225:L231)</f>
        <v>85.497399999999999</v>
      </c>
      <c r="AO34" s="50" t="e">
        <f>AVERAGE('Additional data LabMET'!P225:P231)</f>
        <v>#DIV/0!</v>
      </c>
      <c r="AP34" s="50" t="e">
        <f>AVERAGE('Additional data LabMET'!R225:R231)</f>
        <v>#DIV/0!</v>
      </c>
      <c r="AQ34" s="50" t="e">
        <f>AVERAGE('Additional data LabMET'!S225:S231)</f>
        <v>#DIV/0!</v>
      </c>
      <c r="AR34" s="50" t="e">
        <f>AVERAGE('Additional data LabMET'!T225:T231)</f>
        <v>#DIV/0!</v>
      </c>
      <c r="AS34" s="50" t="e">
        <f>AVERAGE('Additional data LabMET'!U225:U231)</f>
        <v>#DIV/0!</v>
      </c>
    </row>
    <row r="35" spans="1:45" x14ac:dyDescent="0.3">
      <c r="A35" s="2">
        <f>AVERAGE(Data_nieuwveer!A232:A238)</f>
        <v>41774</v>
      </c>
      <c r="B35" s="42">
        <f t="shared" si="2"/>
        <v>223.5</v>
      </c>
      <c r="C35" s="50" t="e">
        <f>AVERAGE(Data_nieuwveer!BO232:BO238)</f>
        <v>#DIV/0!</v>
      </c>
      <c r="D35" s="21" t="e">
        <f>AVERAGE('Edited data A'!E232:E238)/1000</f>
        <v>#DIV/0!</v>
      </c>
      <c r="E35" s="21" t="e">
        <f>AVERAGE('Edited data A'!M232:M238)</f>
        <v>#DIV/0!</v>
      </c>
      <c r="F35" s="21" t="e">
        <f>AVERAGE('Edited data A'!D232:D238)</f>
        <v>#DIV/0!</v>
      </c>
      <c r="G35" s="50" t="e">
        <f>AVERAGE(Data_nieuwveer!AH232:AH238)</f>
        <v>#DIV/0!</v>
      </c>
      <c r="H35" s="21" t="e">
        <f>AVERAGE('Edited data A'!C232:C238)</f>
        <v>#DIV/0!</v>
      </c>
      <c r="I35" s="21" t="e">
        <f>AVERAGE('Edited data A'!V232:V238)</f>
        <v>#DIV/0!</v>
      </c>
      <c r="J35" s="21" t="e">
        <f>AVERAGE('Edited data A'!W232:W238)</f>
        <v>#DIV/0!</v>
      </c>
      <c r="K35" s="41" t="e">
        <f>AVERAGE('Edited data A'!Z232:Z238)</f>
        <v>#DIV/0!</v>
      </c>
      <c r="L35" s="50" t="e">
        <f>AVERAGE('Edited data A'!AF232:AF238)</f>
        <v>#DIV/0!</v>
      </c>
      <c r="M35" s="50" t="e">
        <f>AVERAGE('Edited data A'!AE232:AE238)</f>
        <v>#DIV/0!</v>
      </c>
      <c r="N35" s="50" t="e">
        <f>AVERAGE('Additional data LabMET'!B232:B238)</f>
        <v>#DIV/0!</v>
      </c>
      <c r="O35" s="50" t="e">
        <f>AVERAGE('Additional data LabMET'!F232:F238)</f>
        <v>#DIV/0!</v>
      </c>
      <c r="P35" s="50" t="e">
        <f>AVERAGE('Additional data LabMET'!G232:G238)</f>
        <v>#DIV/0!</v>
      </c>
      <c r="Q35" s="50" t="e">
        <f>AVERAGE('Additional data LabMET'!H232:H238)</f>
        <v>#DIV/0!</v>
      </c>
      <c r="R35" s="50" t="e">
        <f>AVERAGE('Additional data LabMET'!I232:I238)</f>
        <v>#DIV/0!</v>
      </c>
      <c r="S35" s="50" t="e">
        <f>AVERAGE('Additional data LabMET'!J232:J238)</f>
        <v>#DIV/0!</v>
      </c>
      <c r="T35" s="21">
        <f>AVERAGE(Data_nieuwveer!AJ232:AJ238)</f>
        <v>0.80630952380952381</v>
      </c>
      <c r="U35" s="21">
        <f>AVERAGE(Data_nieuwveer!AK232:AK238)</f>
        <v>1.0807738095238093</v>
      </c>
      <c r="Z35" s="2"/>
      <c r="AA35" s="2">
        <f>AVERAGE(Data_nieuwveer!A232:A238)</f>
        <v>41774</v>
      </c>
      <c r="AB35" s="42">
        <f t="shared" si="0"/>
        <v>223.5</v>
      </c>
      <c r="AC35" s="50" t="e">
        <f>AVERAGE(Data_nieuwveer!BO232:BO238)</f>
        <v>#DIV/0!</v>
      </c>
      <c r="AD35" s="21" t="e">
        <f>AVERAGE('Edited data B'!E232:E238)</f>
        <v>#DIV/0!</v>
      </c>
      <c r="AE35" s="21" t="e">
        <f>AVERAGE('Edited data B'!M232:M238)</f>
        <v>#DIV/0!</v>
      </c>
      <c r="AF35" s="21" t="e">
        <f>AVERAGE('Edited data A'!D232:D238)</f>
        <v>#DIV/0!</v>
      </c>
      <c r="AG35" s="50" t="e">
        <f>AVERAGE(Data_nieuwveer!BL232:BL238)</f>
        <v>#DIV/0!</v>
      </c>
      <c r="AH35" s="21" t="e">
        <f>AVERAGE('Edited data B'!C232:C238)</f>
        <v>#DIV/0!</v>
      </c>
      <c r="AI35" s="21" t="e">
        <f>AVERAGE('Edited data B'!R232:R238)</f>
        <v>#DIV/0!</v>
      </c>
      <c r="AJ35" s="21" t="e">
        <f>AVERAGE('Edited data B'!AA232:AA238)</f>
        <v>#DIV/0!</v>
      </c>
      <c r="AK35" s="41" t="e">
        <f>AVERAGE('Edited data B'!AC232:AC238)</f>
        <v>#DIV/0!</v>
      </c>
      <c r="AL35" s="21" t="e">
        <f>AVERAGE('Edited data B'!AF232:AF238)</f>
        <v>#DIV/0!</v>
      </c>
      <c r="AM35" s="21" t="e">
        <f>AVERAGE('Edited data B'!AE232:AE238)</f>
        <v>#DIV/0!</v>
      </c>
      <c r="AN35" s="50" t="e">
        <f>AVERAGE('Additional data LabMET'!L232:L238)</f>
        <v>#DIV/0!</v>
      </c>
      <c r="AO35" s="50" t="e">
        <f>AVERAGE('Additional data LabMET'!P232:P238)</f>
        <v>#DIV/0!</v>
      </c>
      <c r="AP35" s="50" t="e">
        <f>AVERAGE('Additional data LabMET'!R232:R238)</f>
        <v>#DIV/0!</v>
      </c>
      <c r="AQ35" s="50" t="e">
        <f>AVERAGE('Additional data LabMET'!S232:S238)</f>
        <v>#DIV/0!</v>
      </c>
      <c r="AR35" s="50" t="e">
        <f>AVERAGE('Additional data LabMET'!T232:T238)</f>
        <v>#DIV/0!</v>
      </c>
      <c r="AS35" s="50" t="e">
        <f>AVERAGE('Additional data LabMET'!U232:U238)</f>
        <v>#DIV/0!</v>
      </c>
    </row>
    <row r="36" spans="1:45" x14ac:dyDescent="0.3">
      <c r="A36" s="2">
        <f>AVERAGE(Data_nieuwveer!A239:A245)</f>
        <v>41781</v>
      </c>
      <c r="B36" s="42">
        <f t="shared" si="2"/>
        <v>230.5</v>
      </c>
      <c r="C36" s="50" t="e">
        <f>AVERAGE(Data_nieuwveer!BO239:BO245)</f>
        <v>#DIV/0!</v>
      </c>
      <c r="D36" s="21" t="e">
        <f>AVERAGE('Edited data A'!E239:E245)/1000</f>
        <v>#DIV/0!</v>
      </c>
      <c r="E36" s="21" t="e">
        <f>AVERAGE('Edited data A'!M239:M245)</f>
        <v>#DIV/0!</v>
      </c>
      <c r="F36" s="21" t="e">
        <f>AVERAGE('Edited data A'!D239:D245)</f>
        <v>#DIV/0!</v>
      </c>
      <c r="G36" s="50" t="e">
        <f>AVERAGE(Data_nieuwveer!AH239:AH245)</f>
        <v>#DIV/0!</v>
      </c>
      <c r="H36" s="21" t="e">
        <f>AVERAGE('Edited data A'!C239:C245)</f>
        <v>#DIV/0!</v>
      </c>
      <c r="I36" s="21" t="e">
        <f>AVERAGE('Edited data A'!V239:V245)</f>
        <v>#DIV/0!</v>
      </c>
      <c r="J36" s="21" t="e">
        <f>AVERAGE('Edited data A'!W239:W245)</f>
        <v>#DIV/0!</v>
      </c>
      <c r="K36" s="41" t="e">
        <f>AVERAGE('Edited data A'!Z239:Z245)</f>
        <v>#DIV/0!</v>
      </c>
      <c r="L36" s="50" t="e">
        <f>AVERAGE('Edited data A'!AF239:AF245)</f>
        <v>#DIV/0!</v>
      </c>
      <c r="M36" s="50" t="e">
        <f>AVERAGE('Edited data A'!AE239:AE245)</f>
        <v>#DIV/0!</v>
      </c>
      <c r="N36" s="50" t="e">
        <f>AVERAGE('Additional data LabMET'!B239:B245)</f>
        <v>#DIV/0!</v>
      </c>
      <c r="O36" s="50" t="e">
        <f>AVERAGE('Additional data LabMET'!F239:F245)</f>
        <v>#DIV/0!</v>
      </c>
      <c r="P36" s="50" t="e">
        <f>AVERAGE('Additional data LabMET'!G239:G245)</f>
        <v>#DIV/0!</v>
      </c>
      <c r="Q36" s="50" t="e">
        <f>AVERAGE('Additional data LabMET'!H239:H245)</f>
        <v>#DIV/0!</v>
      </c>
      <c r="R36" s="50" t="e">
        <f>AVERAGE('Additional data LabMET'!I239:I245)</f>
        <v>#DIV/0!</v>
      </c>
      <c r="S36" s="50" t="e">
        <f>AVERAGE('Additional data LabMET'!J239:J245)</f>
        <v>#DIV/0!</v>
      </c>
      <c r="T36" s="21">
        <f>AVERAGE(Data_nieuwveer!AJ239:AJ245)</f>
        <v>0.61363095238095244</v>
      </c>
      <c r="U36" s="21">
        <f>AVERAGE(Data_nieuwveer!AK239:AK245)</f>
        <v>1.5456547619047618</v>
      </c>
      <c r="Z36" s="2"/>
      <c r="AA36" s="2">
        <f>AVERAGE(Data_nieuwveer!A239:A245)</f>
        <v>41781</v>
      </c>
      <c r="AB36" s="42">
        <f t="shared" si="0"/>
        <v>230.5</v>
      </c>
      <c r="AC36" s="50" t="e">
        <f>AVERAGE(Data_nieuwveer!BO239:BO245)</f>
        <v>#DIV/0!</v>
      </c>
      <c r="AD36" s="21" t="e">
        <f>AVERAGE('Edited data B'!E239:E245)</f>
        <v>#DIV/0!</v>
      </c>
      <c r="AE36" s="21" t="e">
        <f>AVERAGE('Edited data B'!M239:M245)</f>
        <v>#DIV/0!</v>
      </c>
      <c r="AF36" s="21" t="e">
        <f>AVERAGE('Edited data A'!D239:D245)</f>
        <v>#DIV/0!</v>
      </c>
      <c r="AG36" s="50" t="e">
        <f>AVERAGE(Data_nieuwveer!BL239:BL245)</f>
        <v>#DIV/0!</v>
      </c>
      <c r="AH36" s="21" t="e">
        <f>AVERAGE('Edited data B'!C239:C245)</f>
        <v>#DIV/0!</v>
      </c>
      <c r="AI36" s="21" t="e">
        <f>AVERAGE('Edited data B'!R239:R245)</f>
        <v>#DIV/0!</v>
      </c>
      <c r="AJ36" s="21" t="e">
        <f>AVERAGE('Edited data B'!AA239:AA245)</f>
        <v>#DIV/0!</v>
      </c>
      <c r="AK36" s="41" t="e">
        <f>AVERAGE('Edited data B'!AC239:AC245)</f>
        <v>#DIV/0!</v>
      </c>
      <c r="AL36" s="21" t="e">
        <f>AVERAGE('Edited data B'!AF239:AF245)</f>
        <v>#DIV/0!</v>
      </c>
      <c r="AM36" s="21" t="e">
        <f>AVERAGE('Edited data B'!AE239:AE245)</f>
        <v>#DIV/0!</v>
      </c>
      <c r="AN36" s="50" t="e">
        <f>AVERAGE('Additional data LabMET'!L239:L245)</f>
        <v>#DIV/0!</v>
      </c>
      <c r="AO36" s="50" t="e">
        <f>AVERAGE('Additional data LabMET'!P239:P245)</f>
        <v>#DIV/0!</v>
      </c>
      <c r="AP36" s="50" t="e">
        <f>AVERAGE('Additional data LabMET'!R239:R245)</f>
        <v>#DIV/0!</v>
      </c>
      <c r="AQ36" s="50" t="e">
        <f>AVERAGE('Additional data LabMET'!S239:S245)</f>
        <v>#DIV/0!</v>
      </c>
      <c r="AR36" s="50" t="e">
        <f>AVERAGE('Additional data LabMET'!T239:T245)</f>
        <v>#DIV/0!</v>
      </c>
      <c r="AS36" s="50" t="e">
        <f>AVERAGE('Additional data LabMET'!U239:U245)</f>
        <v>#DIV/0!</v>
      </c>
    </row>
    <row r="37" spans="1:45" x14ac:dyDescent="0.3">
      <c r="A37" s="2">
        <f>AVERAGE(Data_nieuwveer!A246:A252)</f>
        <v>41788</v>
      </c>
      <c r="B37" s="42">
        <f t="shared" si="2"/>
        <v>237.5</v>
      </c>
      <c r="C37" s="50" t="e">
        <f>AVERAGE(Data_nieuwveer!BO246:BO252)</f>
        <v>#DIV/0!</v>
      </c>
      <c r="D37" s="21" t="e">
        <f>AVERAGE('Edited data A'!E246:E252)/1000</f>
        <v>#DIV/0!</v>
      </c>
      <c r="E37" s="21" t="e">
        <f>AVERAGE('Edited data A'!M246:M252)</f>
        <v>#DIV/0!</v>
      </c>
      <c r="F37" s="21" t="e">
        <f>AVERAGE('Edited data A'!D246:D252)</f>
        <v>#DIV/0!</v>
      </c>
      <c r="G37" s="50" t="e">
        <f>AVERAGE(Data_nieuwveer!AH246:AH252)</f>
        <v>#DIV/0!</v>
      </c>
      <c r="H37" s="21" t="e">
        <f>AVERAGE('Edited data A'!C246:C252)</f>
        <v>#DIV/0!</v>
      </c>
      <c r="I37" s="21" t="e">
        <f>AVERAGE('Edited data A'!V246:V252)</f>
        <v>#DIV/0!</v>
      </c>
      <c r="J37" s="21" t="e">
        <f>AVERAGE('Edited data A'!W246:W252)</f>
        <v>#DIV/0!</v>
      </c>
      <c r="K37" s="41" t="e">
        <f>AVERAGE('Edited data A'!Z246:Z252)</f>
        <v>#DIV/0!</v>
      </c>
      <c r="L37" s="50" t="e">
        <f>AVERAGE('Edited data A'!AF246:AF252)</f>
        <v>#DIV/0!</v>
      </c>
      <c r="M37" s="50" t="e">
        <f>AVERAGE('Edited data A'!AE246:AE252)</f>
        <v>#DIV/0!</v>
      </c>
      <c r="N37" s="50" t="e">
        <f>AVERAGE('Additional data LabMET'!B246:B252)</f>
        <v>#DIV/0!</v>
      </c>
      <c r="O37" s="50" t="e">
        <f>AVERAGE('Additional data LabMET'!F246:F252)</f>
        <v>#DIV/0!</v>
      </c>
      <c r="P37" s="50" t="e">
        <f>AVERAGE('Additional data LabMET'!G246:G252)</f>
        <v>#DIV/0!</v>
      </c>
      <c r="Q37" s="50" t="e">
        <f>AVERAGE('Additional data LabMET'!H246:H252)</f>
        <v>#DIV/0!</v>
      </c>
      <c r="R37" s="50" t="e">
        <f>AVERAGE('Additional data LabMET'!I246:I252)</f>
        <v>#DIV/0!</v>
      </c>
      <c r="S37" s="50" t="e">
        <f>AVERAGE('Additional data LabMET'!J246:J252)</f>
        <v>#DIV/0!</v>
      </c>
      <c r="T37" s="21">
        <f>AVERAGE(Data_nieuwveer!AJ246:AJ252)</f>
        <v>0.34672619047619041</v>
      </c>
      <c r="U37" s="21">
        <f>AVERAGE(Data_nieuwveer!AK246:AK252)</f>
        <v>1.5597023809523811</v>
      </c>
      <c r="Z37" s="2"/>
      <c r="AA37" s="2">
        <f>AVERAGE(Data_nieuwveer!A246:A252)</f>
        <v>41788</v>
      </c>
      <c r="AB37" s="42">
        <f t="shared" si="0"/>
        <v>237.5</v>
      </c>
      <c r="AC37" s="50" t="e">
        <f>AVERAGE(Data_nieuwveer!BO246:BO252)</f>
        <v>#DIV/0!</v>
      </c>
      <c r="AD37" s="21" t="e">
        <f>AVERAGE('Edited data B'!E246:E252)</f>
        <v>#DIV/0!</v>
      </c>
      <c r="AE37" s="21" t="e">
        <f>AVERAGE('Edited data B'!M246:M252)</f>
        <v>#DIV/0!</v>
      </c>
      <c r="AF37" s="21" t="e">
        <f>AVERAGE('Edited data A'!D246:D252)</f>
        <v>#DIV/0!</v>
      </c>
      <c r="AG37" s="50" t="e">
        <f>AVERAGE(Data_nieuwveer!BL246:BL252)</f>
        <v>#DIV/0!</v>
      </c>
      <c r="AH37" s="21" t="e">
        <f>AVERAGE('Edited data B'!C246:C252)</f>
        <v>#DIV/0!</v>
      </c>
      <c r="AI37" s="21" t="e">
        <f>AVERAGE('Edited data B'!R246:R252)</f>
        <v>#DIV/0!</v>
      </c>
      <c r="AJ37" s="21" t="e">
        <f>AVERAGE('Edited data B'!AA246:AA252)</f>
        <v>#DIV/0!</v>
      </c>
      <c r="AK37" s="41" t="e">
        <f>AVERAGE('Edited data B'!AC246:AC252)</f>
        <v>#DIV/0!</v>
      </c>
      <c r="AL37" s="21" t="e">
        <f>AVERAGE('Edited data B'!AF246:AF252)</f>
        <v>#DIV/0!</v>
      </c>
      <c r="AM37" s="21" t="e">
        <f>AVERAGE('Edited data B'!AE246:AE252)</f>
        <v>#DIV/0!</v>
      </c>
      <c r="AN37" s="50" t="e">
        <f>AVERAGE('Additional data LabMET'!L246:L252)</f>
        <v>#DIV/0!</v>
      </c>
      <c r="AO37" s="50" t="e">
        <f>AVERAGE('Additional data LabMET'!P246:P252)</f>
        <v>#DIV/0!</v>
      </c>
      <c r="AP37" s="50" t="e">
        <f>AVERAGE('Additional data LabMET'!R246:R252)</f>
        <v>#DIV/0!</v>
      </c>
      <c r="AQ37" s="50" t="e">
        <f>AVERAGE('Additional data LabMET'!S246:S252)</f>
        <v>#DIV/0!</v>
      </c>
      <c r="AR37" s="50" t="e">
        <f>AVERAGE('Additional data LabMET'!T246:T252)</f>
        <v>#DIV/0!</v>
      </c>
      <c r="AS37" s="50" t="e">
        <f>AVERAGE('Additional data LabMET'!U246:U252)</f>
        <v>#DIV/0!</v>
      </c>
    </row>
    <row r="38" spans="1:45" x14ac:dyDescent="0.3">
      <c r="A38" s="2">
        <f>AVERAGE(Data_nieuwveer!A253:A259)</f>
        <v>41795</v>
      </c>
      <c r="B38" s="42">
        <f t="shared" si="2"/>
        <v>244.5</v>
      </c>
      <c r="C38" s="50" t="e">
        <f>AVERAGE(Data_nieuwveer!BO253:BO259)</f>
        <v>#DIV/0!</v>
      </c>
      <c r="D38" s="21" t="e">
        <f>AVERAGE('Edited data A'!E253:E259)/1000</f>
        <v>#DIV/0!</v>
      </c>
      <c r="E38" s="21" t="e">
        <f>AVERAGE('Edited data A'!M253:M259)</f>
        <v>#DIV/0!</v>
      </c>
      <c r="F38" s="21" t="e">
        <f>AVERAGE('Edited data A'!D253:D259)</f>
        <v>#DIV/0!</v>
      </c>
      <c r="G38" s="50" t="e">
        <f>AVERAGE(Data_nieuwveer!AH253:AH259)</f>
        <v>#DIV/0!</v>
      </c>
      <c r="H38" s="21" t="e">
        <f>AVERAGE('Edited data A'!C253:C259)</f>
        <v>#DIV/0!</v>
      </c>
      <c r="I38" s="21" t="e">
        <f>AVERAGE('Edited data A'!V253:V259)</f>
        <v>#DIV/0!</v>
      </c>
      <c r="J38" s="21" t="e">
        <f>AVERAGE('Edited data A'!W253:W259)</f>
        <v>#DIV/0!</v>
      </c>
      <c r="K38" s="41" t="e">
        <f>AVERAGE('Edited data A'!Z253:Z259)</f>
        <v>#DIV/0!</v>
      </c>
      <c r="L38" s="50" t="e">
        <f>AVERAGE('Edited data A'!AF253:AF259)</f>
        <v>#DIV/0!</v>
      </c>
      <c r="M38" s="50" t="e">
        <f>AVERAGE('Edited data A'!AE253:AE259)</f>
        <v>#DIV/0!</v>
      </c>
      <c r="N38" s="50" t="e">
        <f>AVERAGE('Additional data LabMET'!B253:B259)</f>
        <v>#DIV/0!</v>
      </c>
      <c r="O38" s="50" t="e">
        <f>AVERAGE('Additional data LabMET'!F253:F259)</f>
        <v>#DIV/0!</v>
      </c>
      <c r="P38" s="50" t="e">
        <f>AVERAGE('Additional data LabMET'!G253:G259)</f>
        <v>#DIV/0!</v>
      </c>
      <c r="Q38" s="50" t="e">
        <f>AVERAGE('Additional data LabMET'!H253:H259)</f>
        <v>#DIV/0!</v>
      </c>
      <c r="R38" s="50" t="e">
        <f>AVERAGE('Additional data LabMET'!I253:I259)</f>
        <v>#DIV/0!</v>
      </c>
      <c r="S38" s="50" t="e">
        <f>AVERAGE('Additional data LabMET'!J253:J259)</f>
        <v>#DIV/0!</v>
      </c>
      <c r="T38" s="21">
        <f>AVERAGE(Data_nieuwveer!AJ253:AJ259)</f>
        <v>0.31833333333333336</v>
      </c>
      <c r="U38" s="21">
        <f>AVERAGE(Data_nieuwveer!AK253:AK259)</f>
        <v>1.542083333333333</v>
      </c>
      <c r="Z38" s="2"/>
      <c r="AA38" s="2">
        <f>AVERAGE(Data_nieuwveer!A253:A259)</f>
        <v>41795</v>
      </c>
      <c r="AB38" s="42">
        <f t="shared" si="0"/>
        <v>244.5</v>
      </c>
      <c r="AC38" s="50" t="e">
        <f>AVERAGE(Data_nieuwveer!BO253:BO259)</f>
        <v>#DIV/0!</v>
      </c>
      <c r="AD38" s="21" t="e">
        <f>AVERAGE('Edited data B'!E253:E259)</f>
        <v>#DIV/0!</v>
      </c>
      <c r="AE38" s="21" t="e">
        <f>AVERAGE('Edited data B'!M253:M259)</f>
        <v>#DIV/0!</v>
      </c>
      <c r="AF38" s="21" t="e">
        <f>AVERAGE('Edited data A'!D253:D259)</f>
        <v>#DIV/0!</v>
      </c>
      <c r="AG38" s="50" t="e">
        <f>AVERAGE(Data_nieuwveer!BL253:BL259)</f>
        <v>#DIV/0!</v>
      </c>
      <c r="AH38" s="21" t="e">
        <f>AVERAGE('Edited data B'!C253:C259)</f>
        <v>#DIV/0!</v>
      </c>
      <c r="AI38" s="21" t="e">
        <f>AVERAGE('Edited data B'!R253:R259)</f>
        <v>#DIV/0!</v>
      </c>
      <c r="AJ38" s="21" t="e">
        <f>AVERAGE('Edited data B'!AA253:AA259)</f>
        <v>#DIV/0!</v>
      </c>
      <c r="AK38" s="41" t="e">
        <f>AVERAGE('Edited data B'!AC253:AC259)</f>
        <v>#DIV/0!</v>
      </c>
      <c r="AL38" s="21" t="e">
        <f>AVERAGE('Edited data B'!AF253:AF259)</f>
        <v>#DIV/0!</v>
      </c>
      <c r="AM38" s="21" t="e">
        <f>AVERAGE('Edited data B'!AE253:AE259)</f>
        <v>#DIV/0!</v>
      </c>
      <c r="AN38" s="50" t="e">
        <f>AVERAGE('Additional data LabMET'!L253:L259)</f>
        <v>#DIV/0!</v>
      </c>
      <c r="AO38" s="50" t="e">
        <f>AVERAGE('Additional data LabMET'!P253:P259)</f>
        <v>#DIV/0!</v>
      </c>
      <c r="AP38" s="50" t="e">
        <f>AVERAGE('Additional data LabMET'!R253:R259)</f>
        <v>#DIV/0!</v>
      </c>
      <c r="AQ38" s="50" t="e">
        <f>AVERAGE('Additional data LabMET'!S253:S259)</f>
        <v>#DIV/0!</v>
      </c>
      <c r="AR38" s="50" t="e">
        <f>AVERAGE('Additional data LabMET'!T253:T259)</f>
        <v>#DIV/0!</v>
      </c>
      <c r="AS38" s="50" t="e">
        <f>AVERAGE('Additional data LabMET'!U253:U259)</f>
        <v>#DIV/0!</v>
      </c>
    </row>
    <row r="39" spans="1:45" x14ac:dyDescent="0.3">
      <c r="A39" s="2">
        <f>AVERAGE(Data_nieuwveer!A260:A266)</f>
        <v>41802</v>
      </c>
      <c r="B39" s="42">
        <f t="shared" si="2"/>
        <v>251.5</v>
      </c>
      <c r="C39" s="50" t="e">
        <f>AVERAGE(Data_nieuwveer!BO260:BO266)</f>
        <v>#DIV/0!</v>
      </c>
      <c r="D39" s="21" t="e">
        <f>AVERAGE('Edited data A'!E260:E266)/1000</f>
        <v>#DIV/0!</v>
      </c>
      <c r="E39" s="21" t="e">
        <f>AVERAGE('Edited data A'!M260:M266)</f>
        <v>#DIV/0!</v>
      </c>
      <c r="F39" s="21" t="e">
        <f>AVERAGE('Edited data A'!D260:D266)</f>
        <v>#DIV/0!</v>
      </c>
      <c r="G39" s="50" t="e">
        <f>AVERAGE(Data_nieuwveer!AH260:AH266)</f>
        <v>#DIV/0!</v>
      </c>
      <c r="H39" s="21" t="e">
        <f>AVERAGE('Edited data A'!C260:C266)</f>
        <v>#DIV/0!</v>
      </c>
      <c r="I39" s="21" t="e">
        <f>AVERAGE('Edited data A'!V260:V266)</f>
        <v>#DIV/0!</v>
      </c>
      <c r="J39" s="21" t="e">
        <f>AVERAGE('Edited data A'!W260:W266)</f>
        <v>#DIV/0!</v>
      </c>
      <c r="K39" s="41" t="e">
        <f>AVERAGE('Edited data A'!Z260:Z266)</f>
        <v>#DIV/0!</v>
      </c>
      <c r="L39" s="50" t="e">
        <f>AVERAGE('Edited data A'!AF260:AF266)</f>
        <v>#DIV/0!</v>
      </c>
      <c r="M39" s="50" t="e">
        <f>AVERAGE('Edited data A'!AE260:AE266)</f>
        <v>#DIV/0!</v>
      </c>
      <c r="N39" s="50" t="e">
        <f>AVERAGE('Additional data LabMET'!B260:B266)</f>
        <v>#DIV/0!</v>
      </c>
      <c r="O39" s="50" t="e">
        <f>AVERAGE('Additional data LabMET'!F260:F266)</f>
        <v>#DIV/0!</v>
      </c>
      <c r="P39" s="50" t="e">
        <f>AVERAGE('Additional data LabMET'!G260:G266)</f>
        <v>#DIV/0!</v>
      </c>
      <c r="Q39" s="50" t="e">
        <f>AVERAGE('Additional data LabMET'!H260:H266)</f>
        <v>#DIV/0!</v>
      </c>
      <c r="R39" s="50" t="e">
        <f>AVERAGE('Additional data LabMET'!I260:I266)</f>
        <v>#DIV/0!</v>
      </c>
      <c r="S39" s="50" t="e">
        <f>AVERAGE('Additional data LabMET'!J260:J266)</f>
        <v>#DIV/0!</v>
      </c>
      <c r="T39" s="21">
        <f>AVERAGE(Data_nieuwveer!AJ260:AJ266)</f>
        <v>0.32071428571428573</v>
      </c>
      <c r="U39" s="21">
        <f>AVERAGE(Data_nieuwveer!AK260:AK266)</f>
        <v>1.5013095238095235</v>
      </c>
      <c r="Z39" s="2"/>
      <c r="AA39" s="2">
        <f>AVERAGE(Data_nieuwveer!A260:A266)</f>
        <v>41802</v>
      </c>
      <c r="AB39" s="42">
        <f t="shared" si="0"/>
        <v>251.5</v>
      </c>
      <c r="AC39" s="50" t="e">
        <f>AVERAGE(Data_nieuwveer!BO260:BO266)</f>
        <v>#DIV/0!</v>
      </c>
      <c r="AD39" s="21" t="e">
        <f>AVERAGE('Edited data B'!E260:E266)</f>
        <v>#DIV/0!</v>
      </c>
      <c r="AE39" s="21" t="e">
        <f>AVERAGE('Edited data B'!M260:M266)</f>
        <v>#DIV/0!</v>
      </c>
      <c r="AF39" s="21" t="e">
        <f>AVERAGE('Edited data A'!D260:D266)</f>
        <v>#DIV/0!</v>
      </c>
      <c r="AG39" s="50" t="e">
        <f>AVERAGE(Data_nieuwveer!BL260:BL266)</f>
        <v>#DIV/0!</v>
      </c>
      <c r="AH39" s="21" t="e">
        <f>AVERAGE('Edited data B'!C260:C266)</f>
        <v>#DIV/0!</v>
      </c>
      <c r="AI39" s="21" t="e">
        <f>AVERAGE('Edited data B'!R260:R266)</f>
        <v>#DIV/0!</v>
      </c>
      <c r="AJ39" s="21" t="e">
        <f>AVERAGE('Edited data B'!AA260:AA266)</f>
        <v>#DIV/0!</v>
      </c>
      <c r="AK39" s="41" t="e">
        <f>AVERAGE('Edited data B'!AC260:AC266)</f>
        <v>#DIV/0!</v>
      </c>
      <c r="AL39" s="21" t="e">
        <f>AVERAGE('Edited data B'!AF260:AF266)</f>
        <v>#DIV/0!</v>
      </c>
      <c r="AM39" s="21" t="e">
        <f>AVERAGE('Edited data B'!AE260:AE266)</f>
        <v>#DIV/0!</v>
      </c>
      <c r="AN39" s="50" t="e">
        <f>AVERAGE('Additional data LabMET'!L260:L266)</f>
        <v>#DIV/0!</v>
      </c>
      <c r="AO39" s="50" t="e">
        <f>AVERAGE('Additional data LabMET'!P260:P266)</f>
        <v>#DIV/0!</v>
      </c>
      <c r="AP39" s="50" t="e">
        <f>AVERAGE('Additional data LabMET'!R260:R266)</f>
        <v>#DIV/0!</v>
      </c>
      <c r="AQ39" s="50" t="e">
        <f>AVERAGE('Additional data LabMET'!S260:S266)</f>
        <v>#DIV/0!</v>
      </c>
      <c r="AR39" s="50" t="e">
        <f>AVERAGE('Additional data LabMET'!T260:T266)</f>
        <v>#DIV/0!</v>
      </c>
      <c r="AS39" s="50" t="e">
        <f>AVERAGE('Additional data LabMET'!U260:U266)</f>
        <v>#DIV/0!</v>
      </c>
    </row>
    <row r="40" spans="1:45" x14ac:dyDescent="0.3">
      <c r="A40" s="2">
        <f>AVERAGE(Data_nieuwveer!A267:A273)</f>
        <v>41809</v>
      </c>
      <c r="B40" s="42">
        <f t="shared" si="2"/>
        <v>258.5</v>
      </c>
      <c r="C40" s="50" t="e">
        <f>AVERAGE(Data_nieuwveer!BO267:BO273)</f>
        <v>#DIV/0!</v>
      </c>
      <c r="D40" s="21" t="e">
        <f>AVERAGE('Edited data A'!E267:E273)/1000</f>
        <v>#DIV/0!</v>
      </c>
      <c r="E40" s="21" t="e">
        <f>AVERAGE('Edited data A'!M267:M273)</f>
        <v>#DIV/0!</v>
      </c>
      <c r="F40" s="21" t="e">
        <f>AVERAGE('Edited data A'!D267:D273)</f>
        <v>#DIV/0!</v>
      </c>
      <c r="G40" s="50" t="e">
        <f>AVERAGE(Data_nieuwveer!AH267:AH273)</f>
        <v>#DIV/0!</v>
      </c>
      <c r="H40" s="21" t="e">
        <f>AVERAGE('Edited data A'!C267:C273)</f>
        <v>#DIV/0!</v>
      </c>
      <c r="I40" s="21" t="e">
        <f>AVERAGE('Edited data A'!V267:V273)</f>
        <v>#DIV/0!</v>
      </c>
      <c r="J40" s="21" t="e">
        <f>AVERAGE('Edited data A'!W267:W273)</f>
        <v>#DIV/0!</v>
      </c>
      <c r="K40" s="41" t="e">
        <f>AVERAGE('Edited data A'!Z267:Z273)</f>
        <v>#DIV/0!</v>
      </c>
      <c r="L40" s="50" t="e">
        <f>AVERAGE('Edited data A'!AF267:AF273)</f>
        <v>#DIV/0!</v>
      </c>
      <c r="M40" s="50" t="e">
        <f>AVERAGE('Edited data A'!AE267:AE273)</f>
        <v>#DIV/0!</v>
      </c>
      <c r="N40" s="50" t="e">
        <f>AVERAGE('Additional data LabMET'!B267:B273)</f>
        <v>#DIV/0!</v>
      </c>
      <c r="O40" s="50" t="e">
        <f>AVERAGE('Additional data LabMET'!F267:F273)</f>
        <v>#DIV/0!</v>
      </c>
      <c r="P40" s="50" t="e">
        <f>AVERAGE('Additional data LabMET'!G267:G273)</f>
        <v>#DIV/0!</v>
      </c>
      <c r="Q40" s="50" t="e">
        <f>AVERAGE('Additional data LabMET'!H267:H273)</f>
        <v>#DIV/0!</v>
      </c>
      <c r="R40" s="50" t="e">
        <f>AVERAGE('Additional data LabMET'!I267:I273)</f>
        <v>#DIV/0!</v>
      </c>
      <c r="S40" s="50" t="e">
        <f>AVERAGE('Additional data LabMET'!J267:J273)</f>
        <v>#DIV/0!</v>
      </c>
      <c r="T40" s="21">
        <f>AVERAGE(Data_nieuwveer!AJ267:AJ273)</f>
        <v>0.31434523809523807</v>
      </c>
      <c r="U40" s="21">
        <f>AVERAGE(Data_nieuwveer!AK267:AK273)</f>
        <v>1.5051190476190475</v>
      </c>
      <c r="Z40" s="2"/>
      <c r="AA40" s="2">
        <f>AVERAGE(Data_nieuwveer!A267:A273)</f>
        <v>41809</v>
      </c>
      <c r="AB40" s="42">
        <f t="shared" si="0"/>
        <v>258.5</v>
      </c>
      <c r="AC40" s="50" t="e">
        <f>AVERAGE(Data_nieuwveer!BO267:BO273)</f>
        <v>#DIV/0!</v>
      </c>
      <c r="AD40" s="21" t="e">
        <f>AVERAGE('Edited data B'!E267:E273)</f>
        <v>#DIV/0!</v>
      </c>
      <c r="AE40" s="21" t="e">
        <f>AVERAGE('Edited data B'!M267:M273)</f>
        <v>#DIV/0!</v>
      </c>
      <c r="AF40" s="21" t="e">
        <f>AVERAGE('Edited data A'!D267:D273)</f>
        <v>#DIV/0!</v>
      </c>
      <c r="AG40" s="50" t="e">
        <f>AVERAGE(Data_nieuwveer!BL267:BL273)</f>
        <v>#DIV/0!</v>
      </c>
      <c r="AH40" s="21" t="e">
        <f>AVERAGE('Edited data B'!C267:C273)</f>
        <v>#DIV/0!</v>
      </c>
      <c r="AI40" s="21" t="e">
        <f>AVERAGE('Edited data B'!R267:R273)</f>
        <v>#DIV/0!</v>
      </c>
      <c r="AJ40" s="21" t="e">
        <f>AVERAGE('Edited data B'!AA267:AA273)</f>
        <v>#DIV/0!</v>
      </c>
      <c r="AK40" s="41" t="e">
        <f>AVERAGE('Edited data B'!AC267:AC273)</f>
        <v>#DIV/0!</v>
      </c>
      <c r="AL40" s="21" t="e">
        <f>AVERAGE('Edited data B'!AF267:AF273)</f>
        <v>#DIV/0!</v>
      </c>
      <c r="AM40" s="21" t="e">
        <f>AVERAGE('Edited data B'!AE267:AE273)</f>
        <v>#DIV/0!</v>
      </c>
      <c r="AN40" s="50" t="e">
        <f>AVERAGE('Additional data LabMET'!L267:L273)</f>
        <v>#DIV/0!</v>
      </c>
      <c r="AO40" s="50" t="e">
        <f>AVERAGE('Additional data LabMET'!P267:P273)</f>
        <v>#DIV/0!</v>
      </c>
      <c r="AP40" s="50" t="e">
        <f>AVERAGE('Additional data LabMET'!R267:R273)</f>
        <v>#DIV/0!</v>
      </c>
      <c r="AQ40" s="50" t="e">
        <f>AVERAGE('Additional data LabMET'!S267:S273)</f>
        <v>#DIV/0!</v>
      </c>
      <c r="AR40" s="50" t="e">
        <f>AVERAGE('Additional data LabMET'!T267:T273)</f>
        <v>#DIV/0!</v>
      </c>
      <c r="AS40" s="50" t="e">
        <f>AVERAGE('Additional data LabMET'!U267:U273)</f>
        <v>#DIV/0!</v>
      </c>
    </row>
    <row r="41" spans="1:45" x14ac:dyDescent="0.3">
      <c r="A41" s="2">
        <f>AVERAGE(Data_nieuwveer!A274:A280)</f>
        <v>41816</v>
      </c>
      <c r="B41" s="42">
        <f t="shared" si="2"/>
        <v>265.5</v>
      </c>
      <c r="C41" s="50" t="e">
        <f>AVERAGE(Data_nieuwveer!BO274:BO280)</f>
        <v>#DIV/0!</v>
      </c>
      <c r="D41" s="21" t="e">
        <f>AVERAGE('Edited data A'!E274:E280)/1000</f>
        <v>#DIV/0!</v>
      </c>
      <c r="E41" s="21" t="e">
        <f>AVERAGE('Edited data A'!M274:M280)</f>
        <v>#DIV/0!</v>
      </c>
      <c r="F41" s="21" t="e">
        <f>AVERAGE('Edited data A'!D274:D280)</f>
        <v>#DIV/0!</v>
      </c>
      <c r="G41" s="50" t="e">
        <f>AVERAGE(Data_nieuwveer!AH274:AH280)</f>
        <v>#DIV/0!</v>
      </c>
      <c r="H41" s="21" t="e">
        <f>AVERAGE('Edited data A'!C274:C280)</f>
        <v>#DIV/0!</v>
      </c>
      <c r="I41" s="21" t="e">
        <f>AVERAGE('Edited data A'!V274:V280)</f>
        <v>#DIV/0!</v>
      </c>
      <c r="J41" s="21" t="e">
        <f>AVERAGE('Edited data A'!W274:W280)</f>
        <v>#DIV/0!</v>
      </c>
      <c r="K41" s="41" t="e">
        <f>AVERAGE('Edited data A'!Z274:Z280)</f>
        <v>#DIV/0!</v>
      </c>
      <c r="L41" s="50" t="e">
        <f>AVERAGE('Edited data A'!AF274:AF280)</f>
        <v>#DIV/0!</v>
      </c>
      <c r="M41" s="50" t="e">
        <f>AVERAGE('Edited data A'!AE274:AE280)</f>
        <v>#DIV/0!</v>
      </c>
      <c r="N41" s="50" t="e">
        <f>AVERAGE('Additional data LabMET'!B274:B280)</f>
        <v>#DIV/0!</v>
      </c>
      <c r="O41" s="50" t="e">
        <f>AVERAGE('Additional data LabMET'!F274:F280)</f>
        <v>#DIV/0!</v>
      </c>
      <c r="P41" s="50" t="e">
        <f>AVERAGE('Additional data LabMET'!G274:G280)</f>
        <v>#DIV/0!</v>
      </c>
      <c r="Q41" s="50" t="e">
        <f>AVERAGE('Additional data LabMET'!H274:H280)</f>
        <v>#DIV/0!</v>
      </c>
      <c r="R41" s="50" t="e">
        <f>AVERAGE('Additional data LabMET'!I274:I280)</f>
        <v>#DIV/0!</v>
      </c>
      <c r="S41" s="50" t="e">
        <f>AVERAGE('Additional data LabMET'!J274:J280)</f>
        <v>#DIV/0!</v>
      </c>
      <c r="T41" s="21">
        <f>AVERAGE(Data_nieuwveer!AJ274:AJ280)</f>
        <v>0.48101190476190475</v>
      </c>
      <c r="U41" s="21">
        <f>AVERAGE(Data_nieuwveer!AK274:AK280)</f>
        <v>1.3649767080745341</v>
      </c>
      <c r="Z41" s="2"/>
      <c r="AA41" s="2">
        <f>AVERAGE(Data_nieuwveer!A274:A280)</f>
        <v>41816</v>
      </c>
      <c r="AB41" s="42">
        <f t="shared" si="0"/>
        <v>265.5</v>
      </c>
      <c r="AC41" s="50" t="e">
        <f>AVERAGE(Data_nieuwveer!BO274:BO280)</f>
        <v>#DIV/0!</v>
      </c>
      <c r="AD41" s="21" t="e">
        <f>AVERAGE('Edited data B'!E274:E280)</f>
        <v>#DIV/0!</v>
      </c>
      <c r="AE41" s="21" t="e">
        <f>AVERAGE('Edited data B'!M274:M280)</f>
        <v>#DIV/0!</v>
      </c>
      <c r="AF41" s="21" t="e">
        <f>AVERAGE('Edited data A'!D274:D280)</f>
        <v>#DIV/0!</v>
      </c>
      <c r="AG41" s="50" t="e">
        <f>AVERAGE(Data_nieuwveer!BL274:BL280)</f>
        <v>#DIV/0!</v>
      </c>
      <c r="AH41" s="21" t="e">
        <f>AVERAGE('Edited data B'!C274:C280)</f>
        <v>#DIV/0!</v>
      </c>
      <c r="AI41" s="21" t="e">
        <f>AVERAGE('Edited data B'!R274:R280)</f>
        <v>#DIV/0!</v>
      </c>
      <c r="AJ41" s="21" t="e">
        <f>AVERAGE('Edited data B'!AA274:AA280)</f>
        <v>#DIV/0!</v>
      </c>
      <c r="AK41" s="41" t="e">
        <f>AVERAGE('Edited data B'!AC274:AC280)</f>
        <v>#DIV/0!</v>
      </c>
      <c r="AL41" s="21" t="e">
        <f>AVERAGE('Edited data B'!AF274:AF280)</f>
        <v>#DIV/0!</v>
      </c>
      <c r="AM41" s="21" t="e">
        <f>AVERAGE('Edited data B'!AE274:AE280)</f>
        <v>#DIV/0!</v>
      </c>
      <c r="AN41" s="50" t="e">
        <f>AVERAGE('Additional data LabMET'!L274:L280)</f>
        <v>#DIV/0!</v>
      </c>
      <c r="AO41" s="50" t="e">
        <f>AVERAGE('Additional data LabMET'!P274:P280)</f>
        <v>#DIV/0!</v>
      </c>
      <c r="AP41" s="50" t="e">
        <f>AVERAGE('Additional data LabMET'!R274:R280)</f>
        <v>#DIV/0!</v>
      </c>
      <c r="AQ41" s="50" t="e">
        <f>AVERAGE('Additional data LabMET'!S274:S280)</f>
        <v>#DIV/0!</v>
      </c>
      <c r="AR41" s="50" t="e">
        <f>AVERAGE('Additional data LabMET'!T274:T280)</f>
        <v>#DIV/0!</v>
      </c>
      <c r="AS41" s="50" t="e">
        <f>AVERAGE('Additional data LabMET'!U274:U280)</f>
        <v>#DIV/0!</v>
      </c>
    </row>
    <row r="42" spans="1:45" x14ac:dyDescent="0.3">
      <c r="A42" s="2">
        <f>AVERAGE(Data_nieuwveer!A281:A287)</f>
        <v>41823</v>
      </c>
      <c r="B42" s="42">
        <f t="shared" si="2"/>
        <v>272.5</v>
      </c>
      <c r="C42" s="50" t="e">
        <f>AVERAGE(Data_nieuwveer!BO281:BO287)</f>
        <v>#DIV/0!</v>
      </c>
      <c r="D42" s="21" t="e">
        <f>AVERAGE('Edited data A'!E281:E287)/1000</f>
        <v>#DIV/0!</v>
      </c>
      <c r="E42" s="21" t="e">
        <f>AVERAGE('Edited data A'!M281:M287)</f>
        <v>#DIV/0!</v>
      </c>
      <c r="F42" s="21" t="e">
        <f>AVERAGE('Edited data A'!D281:D287)</f>
        <v>#DIV/0!</v>
      </c>
      <c r="G42" s="50" t="e">
        <f>AVERAGE(Data_nieuwveer!AH281:AH287)</f>
        <v>#DIV/0!</v>
      </c>
      <c r="H42" s="21" t="e">
        <f>AVERAGE('Edited data A'!C281:C287)</f>
        <v>#DIV/0!</v>
      </c>
      <c r="I42" s="21" t="e">
        <f>AVERAGE('Edited data A'!V281:V287)</f>
        <v>#DIV/0!</v>
      </c>
      <c r="J42" s="21" t="e">
        <f>AVERAGE('Edited data A'!W281:W287)</f>
        <v>#DIV/0!</v>
      </c>
      <c r="K42" s="41" t="e">
        <f>AVERAGE('Edited data A'!Z281:Z287)</f>
        <v>#DIV/0!</v>
      </c>
      <c r="L42" s="50" t="e">
        <f>AVERAGE('Edited data A'!AF281:AF287)</f>
        <v>#DIV/0!</v>
      </c>
      <c r="M42" s="50" t="e">
        <f>AVERAGE('Edited data A'!AE281:AE287)</f>
        <v>#DIV/0!</v>
      </c>
      <c r="N42" s="50" t="e">
        <f>AVERAGE('Additional data LabMET'!B281:B287)</f>
        <v>#DIV/0!</v>
      </c>
      <c r="O42" s="50" t="e">
        <f>AVERAGE('Additional data LabMET'!F281:F287)</f>
        <v>#DIV/0!</v>
      </c>
      <c r="P42" s="50" t="e">
        <f>AVERAGE('Additional data LabMET'!G281:G287)</f>
        <v>#DIV/0!</v>
      </c>
      <c r="Q42" s="50" t="e">
        <f>AVERAGE('Additional data LabMET'!H281:H287)</f>
        <v>#DIV/0!</v>
      </c>
      <c r="R42" s="50" t="e">
        <f>AVERAGE('Additional data LabMET'!I281:I287)</f>
        <v>#DIV/0!</v>
      </c>
      <c r="S42" s="50" t="e">
        <f>AVERAGE('Additional data LabMET'!J281:J287)</f>
        <v>#DIV/0!</v>
      </c>
      <c r="T42" s="21">
        <f>AVERAGE(Data_nieuwveer!AJ281:AJ287)</f>
        <v>0.35166666666666668</v>
      </c>
      <c r="U42" s="21">
        <f>AVERAGE(Data_nieuwveer!AK281:AK287)</f>
        <v>1.4973214285714287</v>
      </c>
      <c r="Z42" s="2"/>
      <c r="AA42" s="2">
        <f>AVERAGE(Data_nieuwveer!A281:A287)</f>
        <v>41823</v>
      </c>
      <c r="AB42" s="42">
        <f t="shared" si="0"/>
        <v>272.5</v>
      </c>
      <c r="AC42" s="50" t="e">
        <f>AVERAGE(Data_nieuwveer!BO281:BO287)</f>
        <v>#DIV/0!</v>
      </c>
      <c r="AD42" s="21" t="e">
        <f>AVERAGE('Edited data B'!E281:E287)</f>
        <v>#DIV/0!</v>
      </c>
      <c r="AE42" s="21" t="e">
        <f>AVERAGE('Edited data B'!M281:M287)</f>
        <v>#DIV/0!</v>
      </c>
      <c r="AF42" s="21" t="e">
        <f>AVERAGE('Edited data A'!D281:D287)</f>
        <v>#DIV/0!</v>
      </c>
      <c r="AG42" s="50" t="e">
        <f>AVERAGE(Data_nieuwveer!BL281:BL287)</f>
        <v>#DIV/0!</v>
      </c>
      <c r="AH42" s="21" t="e">
        <f>AVERAGE('Edited data B'!C281:C287)</f>
        <v>#DIV/0!</v>
      </c>
      <c r="AI42" s="21" t="e">
        <f>AVERAGE('Edited data B'!R281:R287)</f>
        <v>#DIV/0!</v>
      </c>
      <c r="AJ42" s="21" t="e">
        <f>AVERAGE('Edited data B'!AA281:AA287)</f>
        <v>#DIV/0!</v>
      </c>
      <c r="AK42" s="41" t="e">
        <f>AVERAGE('Edited data B'!AC281:AC287)</f>
        <v>#DIV/0!</v>
      </c>
      <c r="AL42" s="21" t="e">
        <f>AVERAGE('Edited data B'!AF281:AF287)</f>
        <v>#DIV/0!</v>
      </c>
      <c r="AM42" s="21" t="e">
        <f>AVERAGE('Edited data B'!AE281:AE287)</f>
        <v>#DIV/0!</v>
      </c>
      <c r="AN42" s="50" t="e">
        <f>AVERAGE('Additional data LabMET'!L281:L287)</f>
        <v>#DIV/0!</v>
      </c>
      <c r="AO42" s="50" t="e">
        <f>AVERAGE('Additional data LabMET'!P281:P287)</f>
        <v>#DIV/0!</v>
      </c>
      <c r="AP42" s="50" t="e">
        <f>AVERAGE('Additional data LabMET'!R281:R287)</f>
        <v>#DIV/0!</v>
      </c>
      <c r="AQ42" s="50" t="e">
        <f>AVERAGE('Additional data LabMET'!S281:S287)</f>
        <v>#DIV/0!</v>
      </c>
      <c r="AR42" s="50" t="e">
        <f>AVERAGE('Additional data LabMET'!T281:T287)</f>
        <v>#DIV/0!</v>
      </c>
      <c r="AS42" s="50" t="e">
        <f>AVERAGE('Additional data LabMET'!U281:U287)</f>
        <v>#DIV/0!</v>
      </c>
    </row>
    <row r="43" spans="1:45" x14ac:dyDescent="0.3">
      <c r="A43" s="2">
        <f>AVERAGE(Data_nieuwveer!A288:A294)</f>
        <v>41830</v>
      </c>
      <c r="B43" s="42">
        <f t="shared" si="2"/>
        <v>279.5</v>
      </c>
      <c r="C43" s="50" t="e">
        <f>AVERAGE(Data_nieuwveer!BO288:BO294)</f>
        <v>#DIV/0!</v>
      </c>
      <c r="D43" s="21" t="e">
        <f>AVERAGE('Edited data A'!E288:E294)/1000</f>
        <v>#DIV/0!</v>
      </c>
      <c r="E43" s="21" t="e">
        <f>AVERAGE('Edited data A'!M288:M294)</f>
        <v>#DIV/0!</v>
      </c>
      <c r="F43" s="21" t="e">
        <f>AVERAGE('Edited data A'!D288:D294)</f>
        <v>#DIV/0!</v>
      </c>
      <c r="G43" s="50" t="e">
        <f>AVERAGE(Data_nieuwveer!AH288:AH294)</f>
        <v>#DIV/0!</v>
      </c>
      <c r="H43" s="21" t="e">
        <f>AVERAGE('Edited data A'!C288:C294)</f>
        <v>#DIV/0!</v>
      </c>
      <c r="I43" s="21" t="e">
        <f>AVERAGE('Edited data A'!V288:V294)</f>
        <v>#DIV/0!</v>
      </c>
      <c r="J43" s="21" t="e">
        <f>AVERAGE('Edited data A'!W288:W294)</f>
        <v>#DIV/0!</v>
      </c>
      <c r="K43" s="41" t="e">
        <f>AVERAGE('Edited data A'!Z288:Z294)</f>
        <v>#DIV/0!</v>
      </c>
      <c r="L43" s="50" t="e">
        <f>AVERAGE('Edited data A'!AF288:AF294)</f>
        <v>#DIV/0!</v>
      </c>
      <c r="M43" s="50" t="e">
        <f>AVERAGE('Edited data A'!AE288:AE294)</f>
        <v>#DIV/0!</v>
      </c>
      <c r="N43" s="50" t="e">
        <f>AVERAGE('Additional data LabMET'!B288:B294)</f>
        <v>#DIV/0!</v>
      </c>
      <c r="O43" s="50" t="e">
        <f>AVERAGE('Additional data LabMET'!F288:F294)</f>
        <v>#DIV/0!</v>
      </c>
      <c r="P43" s="50" t="e">
        <f>AVERAGE('Additional data LabMET'!G288:G294)</f>
        <v>#DIV/0!</v>
      </c>
      <c r="Q43" s="50" t="e">
        <f>AVERAGE('Additional data LabMET'!H288:H294)</f>
        <v>#DIV/0!</v>
      </c>
      <c r="R43" s="50" t="e">
        <f>AVERAGE('Additional data LabMET'!I288:I294)</f>
        <v>#DIV/0!</v>
      </c>
      <c r="S43" s="50" t="e">
        <f>AVERAGE('Additional data LabMET'!J288:J294)</f>
        <v>#DIV/0!</v>
      </c>
      <c r="T43" s="21">
        <f>AVERAGE(Data_nieuwveer!AJ288:AJ294)</f>
        <v>0.44119047619047619</v>
      </c>
      <c r="U43" s="21">
        <f>AVERAGE(Data_nieuwveer!AK288:AK294)</f>
        <v>1.3267261904761907</v>
      </c>
      <c r="Z43" s="2"/>
      <c r="AA43" s="2">
        <f>AVERAGE(Data_nieuwveer!A288:A294)</f>
        <v>41830</v>
      </c>
      <c r="AB43" s="42">
        <f t="shared" si="0"/>
        <v>279.5</v>
      </c>
      <c r="AC43" s="50" t="e">
        <f>AVERAGE(Data_nieuwveer!BO288:BO294)</f>
        <v>#DIV/0!</v>
      </c>
      <c r="AD43" s="21" t="e">
        <f>AVERAGE('Edited data B'!E288:E294)</f>
        <v>#DIV/0!</v>
      </c>
      <c r="AE43" s="21" t="e">
        <f>AVERAGE('Edited data B'!M288:M294)</f>
        <v>#DIV/0!</v>
      </c>
      <c r="AF43" s="21" t="e">
        <f>AVERAGE('Edited data A'!D288:D294)</f>
        <v>#DIV/0!</v>
      </c>
      <c r="AG43" s="50" t="e">
        <f>AVERAGE(Data_nieuwveer!BL288:BL294)</f>
        <v>#DIV/0!</v>
      </c>
      <c r="AH43" s="21" t="e">
        <f>AVERAGE('Edited data B'!C288:C294)</f>
        <v>#DIV/0!</v>
      </c>
      <c r="AI43" s="21" t="e">
        <f>AVERAGE('Edited data B'!R288:R294)</f>
        <v>#DIV/0!</v>
      </c>
      <c r="AJ43" s="21" t="e">
        <f>AVERAGE('Edited data B'!AA288:AA294)</f>
        <v>#DIV/0!</v>
      </c>
      <c r="AK43" s="41" t="e">
        <f>AVERAGE('Edited data B'!AC288:AC294)</f>
        <v>#DIV/0!</v>
      </c>
      <c r="AL43" s="21" t="e">
        <f>AVERAGE('Edited data B'!AF288:AF294)</f>
        <v>#DIV/0!</v>
      </c>
      <c r="AM43" s="21" t="e">
        <f>AVERAGE('Edited data B'!AE288:AE294)</f>
        <v>#DIV/0!</v>
      </c>
      <c r="AN43" s="50" t="e">
        <f>AVERAGE('Additional data LabMET'!L288:L294)</f>
        <v>#DIV/0!</v>
      </c>
      <c r="AO43" s="50" t="e">
        <f>AVERAGE('Additional data LabMET'!P288:P294)</f>
        <v>#DIV/0!</v>
      </c>
      <c r="AP43" s="50" t="e">
        <f>AVERAGE('Additional data LabMET'!R288:R294)</f>
        <v>#DIV/0!</v>
      </c>
      <c r="AQ43" s="50" t="e">
        <f>AVERAGE('Additional data LabMET'!S288:S294)</f>
        <v>#DIV/0!</v>
      </c>
      <c r="AR43" s="50" t="e">
        <f>AVERAGE('Additional data LabMET'!T288:T294)</f>
        <v>#DIV/0!</v>
      </c>
      <c r="AS43" s="50" t="e">
        <f>AVERAGE('Additional data LabMET'!U288:U294)</f>
        <v>#DIV/0!</v>
      </c>
    </row>
    <row r="44" spans="1:45" x14ac:dyDescent="0.3">
      <c r="A44" s="2">
        <f>AVERAGE(Data_nieuwveer!A295:A301)</f>
        <v>41837</v>
      </c>
      <c r="B44" s="42">
        <f t="shared" si="2"/>
        <v>286.5</v>
      </c>
      <c r="C44" s="50" t="e">
        <f>AVERAGE(Data_nieuwveer!BO295:BO301)</f>
        <v>#DIV/0!</v>
      </c>
      <c r="D44" s="21" t="e">
        <f>AVERAGE('Edited data A'!E295:E301)/1000</f>
        <v>#DIV/0!</v>
      </c>
      <c r="E44" s="21" t="e">
        <f>AVERAGE('Edited data A'!M295:M301)</f>
        <v>#DIV/0!</v>
      </c>
      <c r="F44" s="21" t="e">
        <f>AVERAGE('Edited data A'!D295:D301)</f>
        <v>#DIV/0!</v>
      </c>
      <c r="G44" s="50" t="e">
        <f>AVERAGE(Data_nieuwveer!AH295:AH301)</f>
        <v>#DIV/0!</v>
      </c>
      <c r="H44" s="21" t="e">
        <f>AVERAGE('Edited data A'!C295:C301)</f>
        <v>#DIV/0!</v>
      </c>
      <c r="I44" s="21" t="e">
        <f>AVERAGE('Edited data A'!V295:V301)</f>
        <v>#DIV/0!</v>
      </c>
      <c r="J44" s="21" t="e">
        <f>AVERAGE('Edited data A'!W295:W301)</f>
        <v>#DIV/0!</v>
      </c>
      <c r="K44" s="41" t="e">
        <f>AVERAGE('Edited data A'!Z295:Z301)</f>
        <v>#DIV/0!</v>
      </c>
      <c r="L44" s="50" t="e">
        <f>AVERAGE('Edited data A'!AF295:AF301)</f>
        <v>#DIV/0!</v>
      </c>
      <c r="M44" s="50" t="e">
        <f>AVERAGE('Edited data A'!AE295:AE301)</f>
        <v>#DIV/0!</v>
      </c>
      <c r="N44" s="50" t="e">
        <f>AVERAGE('Additional data LabMET'!B295:B301)</f>
        <v>#DIV/0!</v>
      </c>
      <c r="O44" s="50" t="e">
        <f>AVERAGE('Additional data LabMET'!F295:F301)</f>
        <v>#DIV/0!</v>
      </c>
      <c r="P44" s="50" t="e">
        <f>AVERAGE('Additional data LabMET'!G295:G301)</f>
        <v>#DIV/0!</v>
      </c>
      <c r="Q44" s="50" t="e">
        <f>AVERAGE('Additional data LabMET'!H295:H301)</f>
        <v>#DIV/0!</v>
      </c>
      <c r="R44" s="50" t="e">
        <f>AVERAGE('Additional data LabMET'!I295:I301)</f>
        <v>#DIV/0!</v>
      </c>
      <c r="S44" s="50" t="e">
        <f>AVERAGE('Additional data LabMET'!J295:J301)</f>
        <v>#DIV/0!</v>
      </c>
      <c r="T44" s="21">
        <f>AVERAGE(Data_nieuwveer!AJ295:AJ301)</f>
        <v>0.39095238095238088</v>
      </c>
      <c r="U44" s="21">
        <f>AVERAGE(Data_nieuwveer!AK295:AK301)</f>
        <v>1.3920833333333336</v>
      </c>
      <c r="Z44" s="2"/>
      <c r="AA44" s="2">
        <f>AVERAGE(Data_nieuwveer!A295:A301)</f>
        <v>41837</v>
      </c>
      <c r="AB44" s="42">
        <f t="shared" si="0"/>
        <v>286.5</v>
      </c>
      <c r="AC44" s="50" t="e">
        <f>AVERAGE(Data_nieuwveer!BO295:BO301)</f>
        <v>#DIV/0!</v>
      </c>
      <c r="AD44" s="21" t="e">
        <f>AVERAGE('Edited data B'!E295:E301)</f>
        <v>#DIV/0!</v>
      </c>
      <c r="AE44" s="21" t="e">
        <f>AVERAGE('Edited data B'!M295:M301)</f>
        <v>#DIV/0!</v>
      </c>
      <c r="AF44" s="21" t="e">
        <f>AVERAGE('Edited data A'!D295:D301)</f>
        <v>#DIV/0!</v>
      </c>
      <c r="AG44" s="50" t="e">
        <f>AVERAGE(Data_nieuwveer!BL295:BL301)</f>
        <v>#DIV/0!</v>
      </c>
      <c r="AH44" s="21" t="e">
        <f>AVERAGE('Edited data B'!C295:C301)</f>
        <v>#DIV/0!</v>
      </c>
      <c r="AI44" s="21" t="e">
        <f>AVERAGE('Edited data B'!R295:R301)</f>
        <v>#DIV/0!</v>
      </c>
      <c r="AJ44" s="21" t="e">
        <f>AVERAGE('Edited data B'!AA295:AA301)</f>
        <v>#DIV/0!</v>
      </c>
      <c r="AK44" s="41" t="e">
        <f>AVERAGE('Edited data B'!AC295:AC301)</f>
        <v>#DIV/0!</v>
      </c>
      <c r="AL44" s="21" t="e">
        <f>AVERAGE('Edited data B'!AF295:AF301)</f>
        <v>#DIV/0!</v>
      </c>
      <c r="AM44" s="21" t="e">
        <f>AVERAGE('Edited data B'!AE295:AE301)</f>
        <v>#DIV/0!</v>
      </c>
      <c r="AN44" s="50" t="e">
        <f>AVERAGE('Additional data LabMET'!L295:L301)</f>
        <v>#DIV/0!</v>
      </c>
      <c r="AO44" s="50" t="e">
        <f>AVERAGE('Additional data LabMET'!P295:P301)</f>
        <v>#DIV/0!</v>
      </c>
      <c r="AP44" s="50" t="e">
        <f>AVERAGE('Additional data LabMET'!R295:R301)</f>
        <v>#DIV/0!</v>
      </c>
      <c r="AQ44" s="50" t="e">
        <f>AVERAGE('Additional data LabMET'!S295:S301)</f>
        <v>#DIV/0!</v>
      </c>
      <c r="AR44" s="50" t="e">
        <f>AVERAGE('Additional data LabMET'!T295:T301)</f>
        <v>#DIV/0!</v>
      </c>
      <c r="AS44" s="50" t="e">
        <f>AVERAGE('Additional data LabMET'!U295:U301)</f>
        <v>#DIV/0!</v>
      </c>
    </row>
    <row r="45" spans="1:45" x14ac:dyDescent="0.3">
      <c r="A45" s="2">
        <f>AVERAGE(Data_nieuwveer!A302:A308)</f>
        <v>41844</v>
      </c>
      <c r="B45" s="42">
        <f t="shared" si="2"/>
        <v>293.5</v>
      </c>
      <c r="C45" s="50" t="e">
        <f>AVERAGE(Data_nieuwveer!BO302:BO308)</f>
        <v>#DIV/0!</v>
      </c>
      <c r="D45" s="21" t="e">
        <f>AVERAGE('Edited data A'!E302:E308)/1000</f>
        <v>#DIV/0!</v>
      </c>
      <c r="E45" s="21" t="e">
        <f>AVERAGE('Edited data A'!M302:M308)</f>
        <v>#DIV/0!</v>
      </c>
      <c r="F45" s="21" t="e">
        <f>AVERAGE('Edited data A'!D302:D308)</f>
        <v>#DIV/0!</v>
      </c>
      <c r="G45" s="50" t="e">
        <f>AVERAGE(Data_nieuwveer!AH302:AH308)</f>
        <v>#DIV/0!</v>
      </c>
      <c r="H45" s="21" t="e">
        <f>AVERAGE('Edited data A'!C302:C308)</f>
        <v>#DIV/0!</v>
      </c>
      <c r="I45" s="21" t="e">
        <f>AVERAGE('Edited data A'!V302:V308)</f>
        <v>#DIV/0!</v>
      </c>
      <c r="J45" s="21" t="e">
        <f>AVERAGE('Edited data A'!W302:W308)</f>
        <v>#DIV/0!</v>
      </c>
      <c r="K45" s="41" t="e">
        <f>AVERAGE('Edited data A'!Z302:Z308)</f>
        <v>#DIV/0!</v>
      </c>
      <c r="L45" s="50" t="e">
        <f>AVERAGE('Edited data A'!AF302:AF308)</f>
        <v>#DIV/0!</v>
      </c>
      <c r="M45" s="50" t="e">
        <f>AVERAGE('Edited data A'!AE302:AE308)</f>
        <v>#DIV/0!</v>
      </c>
      <c r="N45" s="50" t="e">
        <f>AVERAGE('Additional data LabMET'!B302:B308)</f>
        <v>#DIV/0!</v>
      </c>
      <c r="O45" s="50" t="e">
        <f>AVERAGE('Additional data LabMET'!F302:F308)</f>
        <v>#DIV/0!</v>
      </c>
      <c r="P45" s="50" t="e">
        <f>AVERAGE('Additional data LabMET'!G302:G308)</f>
        <v>#DIV/0!</v>
      </c>
      <c r="Q45" s="50" t="e">
        <f>AVERAGE('Additional data LabMET'!H302:H308)</f>
        <v>#DIV/0!</v>
      </c>
      <c r="R45" s="50" t="e">
        <f>AVERAGE('Additional data LabMET'!I302:I308)</f>
        <v>#DIV/0!</v>
      </c>
      <c r="S45" s="50" t="e">
        <f>AVERAGE('Additional data LabMET'!J302:J308)</f>
        <v>#DIV/0!</v>
      </c>
      <c r="T45" s="21">
        <f>AVERAGE(Data_nieuwveer!AJ302:AJ308)</f>
        <v>0.38571428571428573</v>
      </c>
      <c r="U45" s="21">
        <f>AVERAGE(Data_nieuwveer!AK302:AK308)</f>
        <v>1.4805357142857143</v>
      </c>
      <c r="Z45" s="2"/>
      <c r="AA45" s="2">
        <f>AVERAGE(Data_nieuwveer!A302:A308)</f>
        <v>41844</v>
      </c>
      <c r="AB45" s="42">
        <f t="shared" si="0"/>
        <v>293.5</v>
      </c>
      <c r="AC45" s="50" t="e">
        <f>AVERAGE(Data_nieuwveer!BO302:BO308)</f>
        <v>#DIV/0!</v>
      </c>
      <c r="AD45" s="21" t="e">
        <f>AVERAGE('Edited data B'!E302:E308)</f>
        <v>#DIV/0!</v>
      </c>
      <c r="AE45" s="21" t="e">
        <f>AVERAGE('Edited data B'!M302:M308)</f>
        <v>#DIV/0!</v>
      </c>
      <c r="AF45" s="21" t="e">
        <f>AVERAGE('Edited data A'!D302:D308)</f>
        <v>#DIV/0!</v>
      </c>
      <c r="AG45" s="50" t="e">
        <f>AVERAGE(Data_nieuwveer!BL302:BL308)</f>
        <v>#DIV/0!</v>
      </c>
      <c r="AH45" s="21" t="e">
        <f>AVERAGE('Edited data B'!C302:C308)</f>
        <v>#DIV/0!</v>
      </c>
      <c r="AI45" s="21" t="e">
        <f>AVERAGE('Edited data B'!R302:R308)</f>
        <v>#DIV/0!</v>
      </c>
      <c r="AJ45" s="21" t="e">
        <f>AVERAGE('Edited data B'!AA302:AA308)</f>
        <v>#DIV/0!</v>
      </c>
      <c r="AK45" s="41" t="e">
        <f>AVERAGE('Edited data B'!AC302:AC308)</f>
        <v>#DIV/0!</v>
      </c>
      <c r="AL45" s="21" t="e">
        <f>AVERAGE('Edited data B'!AF302:AF308)</f>
        <v>#DIV/0!</v>
      </c>
      <c r="AM45" s="21" t="e">
        <f>AVERAGE('Edited data B'!AE302:AE308)</f>
        <v>#DIV/0!</v>
      </c>
      <c r="AN45" s="50" t="e">
        <f>AVERAGE('Additional data LabMET'!L302:L308)</f>
        <v>#DIV/0!</v>
      </c>
      <c r="AO45" s="50" t="e">
        <f>AVERAGE('Additional data LabMET'!P302:P308)</f>
        <v>#DIV/0!</v>
      </c>
      <c r="AP45" s="50" t="e">
        <f>AVERAGE('Additional data LabMET'!R302:R308)</f>
        <v>#DIV/0!</v>
      </c>
      <c r="AQ45" s="50" t="e">
        <f>AVERAGE('Additional data LabMET'!S302:S308)</f>
        <v>#DIV/0!</v>
      </c>
      <c r="AR45" s="50" t="e">
        <f>AVERAGE('Additional data LabMET'!T302:T308)</f>
        <v>#DIV/0!</v>
      </c>
      <c r="AS45" s="50" t="e">
        <f>AVERAGE('Additional data LabMET'!U302:U308)</f>
        <v>#DIV/0!</v>
      </c>
    </row>
    <row r="46" spans="1:45" x14ac:dyDescent="0.3">
      <c r="A46" s="2">
        <f>AVERAGE(Data_nieuwveer!A309:A312)</f>
        <v>41849.5</v>
      </c>
      <c r="B46" s="42">
        <f t="shared" si="2"/>
        <v>299</v>
      </c>
      <c r="C46" s="50" t="e">
        <f>AVERAGE(Data_nieuwveer!BO309:BO312)</f>
        <v>#DIV/0!</v>
      </c>
      <c r="D46" s="21" t="e">
        <f>AVERAGE('Edited data A'!E309:E312)/1000</f>
        <v>#DIV/0!</v>
      </c>
      <c r="E46" s="21" t="e">
        <f>AVERAGE('Edited data A'!M309:M312)</f>
        <v>#DIV/0!</v>
      </c>
      <c r="F46" s="21" t="e">
        <f>AVERAGE('Edited data A'!D309:D312)</f>
        <v>#DIV/0!</v>
      </c>
      <c r="G46" s="50" t="e">
        <f>AVERAGE(Data_nieuwveer!AH309:AH312)</f>
        <v>#DIV/0!</v>
      </c>
      <c r="H46" s="21" t="e">
        <f>AVERAGE('Edited data A'!C309:C312)</f>
        <v>#DIV/0!</v>
      </c>
      <c r="I46" s="21" t="e">
        <f>AVERAGE('Edited data A'!V309:V312)</f>
        <v>#DIV/0!</v>
      </c>
      <c r="J46" s="21" t="e">
        <f>AVERAGE('Edited data A'!W309:W312)</f>
        <v>#DIV/0!</v>
      </c>
      <c r="K46" s="41" t="e">
        <f>AVERAGE('Edited data A'!Z309:Z312)</f>
        <v>#DIV/0!</v>
      </c>
      <c r="L46" s="50" t="e">
        <f>AVERAGE('Edited data A'!AF309:AF312)</f>
        <v>#DIV/0!</v>
      </c>
      <c r="M46" s="50" t="e">
        <f>AVERAGE('Edited data A'!AE309:AE312)</f>
        <v>#DIV/0!</v>
      </c>
      <c r="N46" s="50" t="e">
        <f>AVERAGE('Additional data LabMET'!B309:B312)</f>
        <v>#DIV/0!</v>
      </c>
      <c r="O46" s="50" t="e">
        <f>AVERAGE('Additional data LabMET'!F309:F312)</f>
        <v>#DIV/0!</v>
      </c>
      <c r="P46" s="50" t="e">
        <f>AVERAGE('Additional data LabMET'!G309:G312)</f>
        <v>#DIV/0!</v>
      </c>
      <c r="Q46" s="50" t="e">
        <f>AVERAGE('Additional data LabMET'!H309:H312)</f>
        <v>#DIV/0!</v>
      </c>
      <c r="R46" s="50" t="e">
        <f>AVERAGE('Additional data LabMET'!I309:I312)</f>
        <v>#DIV/0!</v>
      </c>
      <c r="S46" s="50" t="e">
        <f>AVERAGE('Additional data LabMET'!J309:J312)</f>
        <v>#DIV/0!</v>
      </c>
      <c r="T46" s="21">
        <f>AVERAGE(Data_nieuwveer!AJ309:AJ312)</f>
        <v>0.64958333333333318</v>
      </c>
      <c r="U46" s="21">
        <f>AVERAGE(Data_nieuwveer!AK309:AK312)</f>
        <v>1.5601041666666668</v>
      </c>
      <c r="Z46" s="2"/>
      <c r="AA46" s="2">
        <f>AVERAGE(Data_nieuwveer!A309:A312)</f>
        <v>41849.5</v>
      </c>
      <c r="AB46" s="42">
        <f t="shared" si="0"/>
        <v>299</v>
      </c>
      <c r="AC46" s="50" t="e">
        <f>AVERAGE(Data_nieuwveer!BO309:BO312)</f>
        <v>#DIV/0!</v>
      </c>
      <c r="AD46" s="21" t="e">
        <f>AVERAGE('Edited data B'!E309:E312)</f>
        <v>#DIV/0!</v>
      </c>
      <c r="AE46" s="21" t="e">
        <f>AVERAGE('Edited data B'!M309:M312)</f>
        <v>#DIV/0!</v>
      </c>
      <c r="AF46" s="21" t="e">
        <f>AVERAGE('Edited data A'!D309:D312)</f>
        <v>#DIV/0!</v>
      </c>
      <c r="AG46" s="50" t="e">
        <f>AVERAGE(Data_nieuwveer!BL309:BL312)</f>
        <v>#DIV/0!</v>
      </c>
      <c r="AH46" s="21" t="e">
        <f>AVERAGE('Edited data B'!C309:C312)</f>
        <v>#DIV/0!</v>
      </c>
      <c r="AI46" s="21" t="e">
        <f>AVERAGE('Edited data B'!R309:R312)</f>
        <v>#DIV/0!</v>
      </c>
      <c r="AJ46" s="21" t="e">
        <f>AVERAGE('Edited data B'!AA309:AA312)</f>
        <v>#DIV/0!</v>
      </c>
      <c r="AK46" s="41" t="e">
        <f>AVERAGE('Edited data B'!AC309:AC312)</f>
        <v>#DIV/0!</v>
      </c>
      <c r="AL46" s="21" t="e">
        <f>AVERAGE('Edited data B'!AF309:AF312)</f>
        <v>#DIV/0!</v>
      </c>
      <c r="AM46" s="21" t="e">
        <f>AVERAGE('Edited data B'!AE309:AE312)</f>
        <v>#DIV/0!</v>
      </c>
      <c r="AN46" s="50" t="e">
        <f>AVERAGE('Additional data LabMET'!L309:L312)</f>
        <v>#DIV/0!</v>
      </c>
      <c r="AO46" s="50" t="e">
        <f>AVERAGE('Additional data LabMET'!P309:P312)</f>
        <v>#DIV/0!</v>
      </c>
      <c r="AP46" s="50" t="e">
        <f>AVERAGE('Additional data LabMET'!R309:R312)</f>
        <v>#DIV/0!</v>
      </c>
      <c r="AQ46" s="50" t="e">
        <f>AVERAGE('Additional data LabMET'!S309:S312)</f>
        <v>#DIV/0!</v>
      </c>
      <c r="AR46" s="50" t="e">
        <f>AVERAGE('Additional data LabMET'!T309:T312)</f>
        <v>#DIV/0!</v>
      </c>
      <c r="AS46" s="50" t="e">
        <f>AVERAGE('Additional data LabMET'!U309:U312)</f>
        <v>#DIV/0!</v>
      </c>
    </row>
    <row r="47" spans="1:45" x14ac:dyDescent="0.3">
      <c r="A47" s="2"/>
      <c r="B47" s="4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Data_nieuwveer</vt:lpstr>
      <vt:lpstr>Additional data LabMET</vt:lpstr>
      <vt:lpstr>Edited data A</vt:lpstr>
      <vt:lpstr>Edited data B</vt:lpstr>
      <vt:lpstr>Summary per week</vt:lpstr>
    </vt:vector>
  </TitlesOfParts>
  <Company>UGent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Meerburg</dc:creator>
  <cp:lastModifiedBy>jonekb13</cp:lastModifiedBy>
  <dcterms:created xsi:type="dcterms:W3CDTF">2013-11-20T07:55:16Z</dcterms:created>
  <dcterms:modified xsi:type="dcterms:W3CDTF">2017-06-09T13:15:23Z</dcterms:modified>
</cp:coreProperties>
</file>