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
    </mc:Choice>
  </mc:AlternateContent>
  <bookViews>
    <workbookView xWindow="0" yWindow="0" windowWidth="28800" windowHeight="12252" tabRatio="564" firstSheet="5" activeTab="5"/>
  </bookViews>
  <sheets>
    <sheet name="처리 현황" sheetId="56" state="hidden" r:id="rId1"/>
    <sheet name="트랜드 분석_15일" sheetId="59" state="hidden" r:id="rId2"/>
    <sheet name="Sheet1" sheetId="81" state="hidden" r:id="rId3"/>
    <sheet name="트랜드RAW" sheetId="60" state="hidden" r:id="rId4"/>
    <sheet name="Sheet3" sheetId="83" state="hidden" r:id="rId5"/>
    <sheet name="2023년 신조차 고장관리 세부현황" sheetId="5" r:id="rId6"/>
    <sheet name="연구소팀PIVOT" sheetId="79" state="hidden" r:id="rId7"/>
    <sheet name="연구소담당자RAW" sheetId="78" state="hidden" r:id="rId8"/>
    <sheet name="초동조사 현황" sheetId="70" state="hidden" r:id="rId9"/>
    <sheet name="초동조사RAW" sheetId="75" state="hidden" r:id="rId10"/>
    <sheet name="필드오픈이슈 연계현황_1" sheetId="74" state="hidden" r:id="rId11"/>
    <sheet name="필드오픈이슈 연계현황_2" sheetId="72" state="hidden" r:id="rId12"/>
    <sheet name="프로젝트 담당자" sheetId="16" state="hidden" r:id="rId13"/>
  </sheets>
  <definedNames>
    <definedName name="_xlnm._FilterDatabase" localSheetId="5" hidden="1">'2023년 신조차 고장관리 세부현황'!$A$4:$DJ$46</definedName>
    <definedName name="_xlnm._FilterDatabase" localSheetId="7" hidden="1">연구소담당자RAW!$G$2:$I$373</definedName>
    <definedName name="_xlnm._FilterDatabase" localSheetId="9" hidden="1">초동조사RAW!$B$4:$E$839</definedName>
    <definedName name="_xlnm._FilterDatabase" localSheetId="3" hidden="1">트랜드RAW!$F$1:$M$1075</definedName>
    <definedName name="_xlnm._FilterDatabase" localSheetId="12" hidden="1">'프로젝트 담당자'!$R$2:$AB$80</definedName>
    <definedName name="_xlnm.Print_Area" localSheetId="5">'2023년 신조차 고장관리 세부현황'!$A$1:$DJ$47</definedName>
    <definedName name="_xlnm.Print_Area" localSheetId="11">'필드오픈이슈 연계현황_2'!$A$1:$K$31</definedName>
    <definedName name="_xlnm.Print_Titles" localSheetId="5">'2023년 신조차 고장관리 세부현황'!$3:$4</definedName>
  </definedNames>
  <calcPr calcId="162913"/>
  <pivotCaches>
    <pivotCache cacheId="0" r:id="rId14"/>
    <pivotCache cacheId="1" r:id="rId15"/>
    <pivotCache cacheId="2" r:id="rId16"/>
  </pivotCaches>
  <fileRecoveryPr autoRecover="0"/>
</workbook>
</file>

<file path=xl/calcChain.xml><?xml version="1.0" encoding="utf-8"?>
<calcChain xmlns="http://schemas.openxmlformats.org/spreadsheetml/2006/main">
  <c r="AD22" i="16" l="1"/>
  <c r="AD24" i="16" s="1"/>
  <c r="AD27" i="16" l="1"/>
  <c r="AD29" i="16" s="1"/>
  <c r="AE14" i="16" l="1"/>
  <c r="AE18" i="16" l="1"/>
  <c r="CV2" i="5" l="1"/>
  <c r="CB2" i="5" l="1"/>
  <c r="L2" i="5" l="1"/>
  <c r="T2" i="5"/>
  <c r="CZ2" i="5"/>
  <c r="BH2" i="5"/>
  <c r="AT2" i="5"/>
  <c r="AL2" i="5"/>
  <c r="AG2" i="5"/>
  <c r="C1" i="60" l="1"/>
  <c r="CR46" i="5" l="1"/>
  <c r="CE46" i="5"/>
  <c r="CD46" i="5"/>
  <c r="CC46" i="5"/>
  <c r="CB46" i="5"/>
  <c r="BS46" i="5"/>
  <c r="BR46" i="5"/>
  <c r="BQ46" i="5"/>
  <c r="BP46" i="5"/>
  <c r="CL46" i="5" l="1"/>
  <c r="BV46" i="5"/>
  <c r="CK46" i="5"/>
  <c r="CI46" i="5"/>
  <c r="CA46" i="5"/>
  <c r="CF46" i="5"/>
  <c r="BT46" i="5"/>
  <c r="BU46" i="5"/>
  <c r="BW46" i="5"/>
  <c r="BZ46" i="5"/>
  <c r="BX46" i="5"/>
  <c r="CM46" i="5"/>
  <c r="BY46" i="5"/>
  <c r="CG46" i="5"/>
  <c r="CH46" i="5"/>
  <c r="CJ46" i="5"/>
  <c r="BN46" i="5" l="1"/>
  <c r="CQ46" i="5" s="1"/>
  <c r="BJ46" i="5"/>
  <c r="CP46" i="5" s="1"/>
  <c r="BG46" i="5"/>
  <c r="CO46" i="5" s="1"/>
  <c r="BC46" i="5"/>
  <c r="CN46" i="5" s="1"/>
  <c r="AZ46" i="5"/>
  <c r="DD46" i="5"/>
  <c r="B46" i="5"/>
  <c r="C46" i="5" l="1"/>
  <c r="B45" i="5" l="1"/>
  <c r="C45" i="5" l="1"/>
  <c r="BN45" i="5"/>
  <c r="CQ45" i="5" s="1"/>
  <c r="BJ45" i="5"/>
  <c r="CP45" i="5" s="1"/>
  <c r="BG45" i="5"/>
  <c r="CO45" i="5" s="1"/>
  <c r="BC45" i="5"/>
  <c r="CN45" i="5" s="1"/>
  <c r="AZ45" i="5"/>
  <c r="CR45" i="5"/>
  <c r="CE45" i="5"/>
  <c r="CD45" i="5"/>
  <c r="CC45" i="5"/>
  <c r="CB45" i="5"/>
  <c r="BS45" i="5"/>
  <c r="BR45" i="5"/>
  <c r="BQ45" i="5"/>
  <c r="BP45" i="5"/>
  <c r="DD45" i="5"/>
  <c r="CA45" i="5" l="1"/>
  <c r="CG45" i="5"/>
  <c r="CH45" i="5"/>
  <c r="CM45" i="5"/>
  <c r="CF45" i="5"/>
  <c r="BX45" i="5"/>
  <c r="BU45" i="5"/>
  <c r="BZ45" i="5"/>
  <c r="CJ45" i="5"/>
  <c r="CL45" i="5"/>
  <c r="CI45" i="5"/>
  <c r="BY45" i="5"/>
  <c r="BW45" i="5"/>
  <c r="BV45" i="5"/>
  <c r="CK45" i="5"/>
  <c r="BT45" i="5"/>
  <c r="CR44" i="5" l="1"/>
  <c r="CE44" i="5"/>
  <c r="CD44" i="5"/>
  <c r="CC44" i="5"/>
  <c r="CB44" i="5"/>
  <c r="BS44" i="5"/>
  <c r="BR44" i="5"/>
  <c r="BQ44" i="5"/>
  <c r="BP44" i="5"/>
  <c r="BN44" i="5"/>
  <c r="CQ44" i="5" s="1"/>
  <c r="BJ44" i="5"/>
  <c r="CP44" i="5" s="1"/>
  <c r="BG44" i="5"/>
  <c r="CO44" i="5" s="1"/>
  <c r="BC44" i="5"/>
  <c r="CN44" i="5" s="1"/>
  <c r="AZ44" i="5"/>
  <c r="DD44" i="5"/>
  <c r="B44" i="5"/>
  <c r="CG44" i="5" l="1"/>
  <c r="CI44" i="5"/>
  <c r="C44" i="5"/>
  <c r="BT44" i="5"/>
  <c r="CH44" i="5"/>
  <c r="BU44" i="5"/>
  <c r="BV44" i="5"/>
  <c r="BW44" i="5"/>
  <c r="CF44" i="5"/>
  <c r="BY44" i="5"/>
  <c r="BZ44" i="5"/>
  <c r="CA44" i="5"/>
  <c r="BX44" i="5"/>
  <c r="CJ44" i="5"/>
  <c r="CK44" i="5"/>
  <c r="CL44" i="5"/>
  <c r="CM44" i="5"/>
  <c r="CR43" i="5" l="1"/>
  <c r="CE43" i="5"/>
  <c r="CD43" i="5"/>
  <c r="CC43" i="5"/>
  <c r="CB43" i="5"/>
  <c r="BS43" i="5"/>
  <c r="BR43" i="5"/>
  <c r="BQ43" i="5"/>
  <c r="BP43" i="5"/>
  <c r="BN43" i="5"/>
  <c r="CQ43" i="5" s="1"/>
  <c r="BJ43" i="5"/>
  <c r="CP43" i="5" s="1"/>
  <c r="BG43" i="5"/>
  <c r="CO43" i="5" s="1"/>
  <c r="BC43" i="5"/>
  <c r="CN43" i="5" s="1"/>
  <c r="AZ43" i="5"/>
  <c r="DD43" i="5"/>
  <c r="B43" i="5"/>
  <c r="CA43" i="5" l="1"/>
  <c r="CK43" i="5"/>
  <c r="CI43" i="5"/>
  <c r="C43" i="5"/>
  <c r="CJ43" i="5"/>
  <c r="BT43" i="5"/>
  <c r="CH43" i="5"/>
  <c r="BY43" i="5"/>
  <c r="BZ43" i="5"/>
  <c r="CG43" i="5"/>
  <c r="BU43" i="5"/>
  <c r="BV43" i="5"/>
  <c r="BW43" i="5"/>
  <c r="CF43" i="5"/>
  <c r="BX43" i="5"/>
  <c r="CL43" i="5"/>
  <c r="CM43" i="5"/>
  <c r="CW391" i="59" l="1"/>
  <c r="CV391" i="59"/>
  <c r="CU391" i="59"/>
  <c r="CT391" i="59"/>
  <c r="CS391" i="59"/>
  <c r="CR391" i="59"/>
  <c r="CQ391" i="59"/>
  <c r="CP391" i="59"/>
  <c r="CO391" i="59"/>
  <c r="CN391" i="59"/>
  <c r="CM391" i="59"/>
  <c r="CL391" i="59"/>
  <c r="CK391" i="59"/>
  <c r="CJ391" i="59"/>
  <c r="CI391" i="59"/>
  <c r="CH391" i="59"/>
  <c r="CG391" i="59"/>
  <c r="CF391" i="59"/>
  <c r="CE391" i="59"/>
  <c r="CD391" i="59"/>
  <c r="CC391" i="59"/>
  <c r="CB391" i="59"/>
  <c r="CA391" i="59"/>
  <c r="BZ391" i="59"/>
  <c r="BY391" i="59"/>
  <c r="BX391" i="59"/>
  <c r="BW391" i="59"/>
  <c r="BV391" i="59"/>
  <c r="BU391" i="59"/>
  <c r="BT391" i="59"/>
  <c r="BS391" i="59"/>
  <c r="BR391" i="59"/>
  <c r="BQ391" i="59"/>
  <c r="BP391" i="59"/>
  <c r="BO391" i="59"/>
  <c r="BN391" i="59"/>
  <c r="BM391" i="59"/>
  <c r="BL391" i="59"/>
  <c r="BK391" i="59"/>
  <c r="BJ391" i="59"/>
  <c r="BI391" i="59"/>
  <c r="BH391" i="59"/>
  <c r="BG391" i="59"/>
  <c r="BF391" i="59"/>
  <c r="BE391" i="59"/>
  <c r="BD391" i="59"/>
  <c r="BC391" i="59"/>
  <c r="BB391" i="59"/>
  <c r="BA391" i="59"/>
  <c r="AZ391" i="59"/>
  <c r="AY391" i="59"/>
  <c r="AX391" i="59"/>
  <c r="AW391" i="59"/>
  <c r="AV391" i="59"/>
  <c r="AU391" i="59"/>
  <c r="AT391" i="59"/>
  <c r="AS391" i="59"/>
  <c r="AR391" i="59"/>
  <c r="AQ391" i="59"/>
  <c r="AP391" i="59"/>
  <c r="AO391" i="59"/>
  <c r="AN391" i="59"/>
  <c r="AM391" i="59"/>
  <c r="AL391" i="59"/>
  <c r="AK391" i="59"/>
  <c r="AJ391" i="59"/>
  <c r="AI391" i="59"/>
  <c r="AH391" i="59"/>
  <c r="AG391" i="59"/>
  <c r="AF391" i="59"/>
  <c r="AE391" i="59"/>
  <c r="AD391" i="59"/>
  <c r="AC391" i="59"/>
  <c r="AB391" i="59"/>
  <c r="AA391" i="59"/>
  <c r="Z391" i="59"/>
  <c r="Y391" i="59"/>
  <c r="X391" i="59"/>
  <c r="W391" i="59"/>
  <c r="V391" i="59"/>
  <c r="U391" i="59"/>
  <c r="T391" i="59"/>
  <c r="S391" i="59"/>
  <c r="R391" i="59"/>
  <c r="Q391" i="59"/>
  <c r="P391" i="59"/>
  <c r="O391" i="59"/>
  <c r="N391" i="59"/>
  <c r="M391" i="59"/>
  <c r="L391" i="59"/>
  <c r="K391" i="59"/>
  <c r="J391" i="59"/>
  <c r="I391" i="59"/>
  <c r="H391" i="59"/>
  <c r="G391" i="59"/>
  <c r="CW382" i="59"/>
  <c r="CV382" i="59"/>
  <c r="CU382" i="59"/>
  <c r="CT382" i="59"/>
  <c r="CS382" i="59"/>
  <c r="CR382" i="59"/>
  <c r="CQ382" i="59"/>
  <c r="CP382" i="59"/>
  <c r="CO382" i="59"/>
  <c r="CN382" i="59"/>
  <c r="CM382" i="59"/>
  <c r="CL382" i="59"/>
  <c r="CK382" i="59"/>
  <c r="CJ382" i="59"/>
  <c r="CI382" i="59"/>
  <c r="CH382" i="59"/>
  <c r="CG382" i="59"/>
  <c r="CF382" i="59"/>
  <c r="CE382" i="59"/>
  <c r="CD382" i="59"/>
  <c r="CC382" i="59"/>
  <c r="CB382" i="59"/>
  <c r="CA382" i="59"/>
  <c r="BZ382" i="59"/>
  <c r="BY382" i="59"/>
  <c r="BX382" i="59"/>
  <c r="BW382" i="59"/>
  <c r="BV382" i="59"/>
  <c r="BU382" i="59"/>
  <c r="BT382" i="59"/>
  <c r="BS382" i="59"/>
  <c r="BR382" i="59"/>
  <c r="BQ382" i="59"/>
  <c r="BP382" i="59"/>
  <c r="BO382" i="59"/>
  <c r="BN382" i="59"/>
  <c r="BM382" i="59"/>
  <c r="BL382" i="59"/>
  <c r="BK382" i="59"/>
  <c r="BJ382" i="59"/>
  <c r="BI382" i="59"/>
  <c r="BH382" i="59"/>
  <c r="BG382" i="59"/>
  <c r="BF382" i="59"/>
  <c r="BE382" i="59"/>
  <c r="BD382" i="59"/>
  <c r="BC382" i="59"/>
  <c r="BB382" i="59"/>
  <c r="BA382" i="59"/>
  <c r="AZ382" i="59"/>
  <c r="AY382" i="59"/>
  <c r="AX382" i="59"/>
  <c r="AW382" i="59"/>
  <c r="AV382" i="59"/>
  <c r="AU382" i="59"/>
  <c r="AT382" i="59"/>
  <c r="AS382" i="59"/>
  <c r="AR382" i="59"/>
  <c r="AQ382" i="59"/>
  <c r="AP382" i="59"/>
  <c r="AO382" i="59"/>
  <c r="AN382" i="59"/>
  <c r="AM382" i="59"/>
  <c r="AL382" i="59"/>
  <c r="AK382" i="59"/>
  <c r="AJ382" i="59"/>
  <c r="AI382" i="59"/>
  <c r="AH382" i="59"/>
  <c r="AG382" i="59"/>
  <c r="AF382" i="59"/>
  <c r="AE382" i="59"/>
  <c r="AD382" i="59"/>
  <c r="AC382" i="59"/>
  <c r="AB382" i="59"/>
  <c r="AA382" i="59"/>
  <c r="Z382" i="59"/>
  <c r="Y382" i="59"/>
  <c r="X382" i="59"/>
  <c r="W382" i="59"/>
  <c r="V382" i="59"/>
  <c r="U382" i="59"/>
  <c r="T382" i="59"/>
  <c r="S382" i="59"/>
  <c r="R382" i="59"/>
  <c r="Q382" i="59"/>
  <c r="P382" i="59"/>
  <c r="O382" i="59"/>
  <c r="N382" i="59"/>
  <c r="M382" i="59"/>
  <c r="L382" i="59"/>
  <c r="K382" i="59"/>
  <c r="J382" i="59"/>
  <c r="I382" i="59"/>
  <c r="H382" i="59"/>
  <c r="G382" i="59"/>
  <c r="BN42" i="5" l="1"/>
  <c r="CQ42" i="5" s="1"/>
  <c r="BJ42" i="5"/>
  <c r="CP42" i="5" s="1"/>
  <c r="BG42" i="5"/>
  <c r="CO42" i="5" s="1"/>
  <c r="BC42" i="5"/>
  <c r="CN42" i="5" s="1"/>
  <c r="AZ42" i="5"/>
  <c r="CR42" i="5"/>
  <c r="CE42" i="5"/>
  <c r="CD42" i="5"/>
  <c r="CC42" i="5"/>
  <c r="CB42" i="5"/>
  <c r="BS42" i="5"/>
  <c r="BR42" i="5"/>
  <c r="BQ42" i="5"/>
  <c r="BP42" i="5"/>
  <c r="DD42" i="5"/>
  <c r="B42" i="5"/>
  <c r="BX42" i="5" l="1"/>
  <c r="C42" i="5"/>
  <c r="CJ42" i="5"/>
  <c r="CG42" i="5"/>
  <c r="CL42" i="5"/>
  <c r="CM42" i="5"/>
  <c r="CK42" i="5"/>
  <c r="CF42" i="5"/>
  <c r="CH42" i="5"/>
  <c r="CI42" i="5"/>
  <c r="BY42" i="5"/>
  <c r="BU42" i="5"/>
  <c r="BZ42" i="5"/>
  <c r="BV42" i="5"/>
  <c r="CA42" i="5"/>
  <c r="BW42" i="5"/>
  <c r="BT42" i="5"/>
  <c r="BN41" i="5" l="1"/>
  <c r="CQ41" i="5" s="1"/>
  <c r="BJ41" i="5"/>
  <c r="CP41" i="5" s="1"/>
  <c r="BG41" i="5"/>
  <c r="CO41" i="5" s="1"/>
  <c r="BC41" i="5"/>
  <c r="CN41" i="5" s="1"/>
  <c r="AZ41" i="5"/>
  <c r="CR41" i="5"/>
  <c r="CE41" i="5"/>
  <c r="CD41" i="5"/>
  <c r="CC41" i="5"/>
  <c r="CB41" i="5"/>
  <c r="BS41" i="5"/>
  <c r="BR41" i="5"/>
  <c r="BQ41" i="5"/>
  <c r="BP41" i="5"/>
  <c r="DD41" i="5"/>
  <c r="B41" i="5"/>
  <c r="BU41" i="5" l="1"/>
  <c r="BV41" i="5"/>
  <c r="BW41" i="5"/>
  <c r="CF41" i="5"/>
  <c r="BX41" i="5"/>
  <c r="CG41" i="5"/>
  <c r="CH41" i="5"/>
  <c r="C41" i="5"/>
  <c r="CM41" i="5"/>
  <c r="BT41" i="5"/>
  <c r="BY41" i="5"/>
  <c r="CL41" i="5"/>
  <c r="CK41" i="5"/>
  <c r="CI41" i="5"/>
  <c r="CJ41" i="5"/>
  <c r="BZ41" i="5"/>
  <c r="CA41" i="5"/>
  <c r="BN40" i="5" l="1"/>
  <c r="CQ40" i="5" s="1"/>
  <c r="BN39" i="5"/>
  <c r="CQ39" i="5" s="1"/>
  <c r="BJ40" i="5"/>
  <c r="CP40" i="5" s="1"/>
  <c r="BJ39" i="5"/>
  <c r="CP39" i="5" s="1"/>
  <c r="BG40" i="5"/>
  <c r="CO40" i="5" s="1"/>
  <c r="BG39" i="5"/>
  <c r="CO39" i="5" s="1"/>
  <c r="BC40" i="5"/>
  <c r="CN40" i="5" s="1"/>
  <c r="BC39" i="5"/>
  <c r="CN39" i="5" s="1"/>
  <c r="AZ40" i="5"/>
  <c r="AZ39" i="5"/>
  <c r="CR40" i="5"/>
  <c r="CE40" i="5"/>
  <c r="CD40" i="5"/>
  <c r="CC40" i="5"/>
  <c r="CB40" i="5"/>
  <c r="BS40" i="5"/>
  <c r="BR40" i="5"/>
  <c r="BQ40" i="5"/>
  <c r="BP40" i="5"/>
  <c r="CR39" i="5"/>
  <c r="CE39" i="5"/>
  <c r="CD39" i="5"/>
  <c r="CC39" i="5"/>
  <c r="CB39" i="5"/>
  <c r="BS39" i="5"/>
  <c r="BR39" i="5"/>
  <c r="BQ39" i="5"/>
  <c r="BP39" i="5"/>
  <c r="DD40" i="5"/>
  <c r="DD39" i="5"/>
  <c r="B40" i="5"/>
  <c r="B39" i="5"/>
  <c r="BY40" i="5" l="1"/>
  <c r="BZ39" i="5"/>
  <c r="CI40" i="5"/>
  <c r="BX40" i="5"/>
  <c r="BZ40" i="5"/>
  <c r="CF40" i="5"/>
  <c r="BT39" i="5"/>
  <c r="CK40" i="5"/>
  <c r="C39" i="5"/>
  <c r="BU39" i="5"/>
  <c r="CL40" i="5"/>
  <c r="CA39" i="5"/>
  <c r="C40" i="5"/>
  <c r="CJ39" i="5"/>
  <c r="CI39" i="5"/>
  <c r="CA40" i="5"/>
  <c r="CK39" i="5"/>
  <c r="CH39" i="5"/>
  <c r="CG40" i="5"/>
  <c r="CH40" i="5"/>
  <c r="CJ40" i="5"/>
  <c r="CM39" i="5"/>
  <c r="BX39" i="5"/>
  <c r="BW39" i="5"/>
  <c r="BV39" i="5"/>
  <c r="CL39" i="5"/>
  <c r="BY39" i="5"/>
  <c r="BT40" i="5"/>
  <c r="BU40" i="5"/>
  <c r="BV40" i="5"/>
  <c r="BW40" i="5"/>
  <c r="CM40" i="5"/>
  <c r="CF39" i="5"/>
  <c r="CG39" i="5"/>
  <c r="BN38" i="5" l="1"/>
  <c r="CQ38" i="5" s="1"/>
  <c r="BJ38" i="5"/>
  <c r="CP38" i="5" s="1"/>
  <c r="BG38" i="5"/>
  <c r="CO38" i="5" s="1"/>
  <c r="BC38" i="5"/>
  <c r="CN38" i="5" s="1"/>
  <c r="AZ38" i="5"/>
  <c r="CR38" i="5"/>
  <c r="CE38" i="5"/>
  <c r="CD38" i="5"/>
  <c r="CC38" i="5"/>
  <c r="CB38" i="5"/>
  <c r="BS38" i="5"/>
  <c r="BR38" i="5"/>
  <c r="BQ38" i="5"/>
  <c r="BP38" i="5"/>
  <c r="DD38" i="5"/>
  <c r="B38" i="5"/>
  <c r="BY38" i="5" l="1"/>
  <c r="CA38" i="5"/>
  <c r="BZ38" i="5"/>
  <c r="C38" i="5"/>
  <c r="CF38" i="5"/>
  <c r="CG38" i="5"/>
  <c r="CM38" i="5"/>
  <c r="BT38" i="5"/>
  <c r="CL38" i="5"/>
  <c r="CJ38" i="5"/>
  <c r="CK38" i="5"/>
  <c r="BV38" i="5"/>
  <c r="BX38" i="5"/>
  <c r="BW38" i="5"/>
  <c r="CI38" i="5"/>
  <c r="CH38" i="5"/>
  <c r="BU38" i="5"/>
  <c r="BN37" i="5" l="1"/>
  <c r="CQ37" i="5" s="1"/>
  <c r="BJ37" i="5"/>
  <c r="CP37" i="5" s="1"/>
  <c r="BG37" i="5"/>
  <c r="CO37" i="5" s="1"/>
  <c r="BC37" i="5"/>
  <c r="CN37" i="5" s="1"/>
  <c r="AZ37" i="5"/>
  <c r="CR37" i="5"/>
  <c r="CE37" i="5"/>
  <c r="CD37" i="5"/>
  <c r="CC37" i="5"/>
  <c r="CB37" i="5"/>
  <c r="BS37" i="5"/>
  <c r="BR37" i="5"/>
  <c r="BQ37" i="5"/>
  <c r="BP37" i="5"/>
  <c r="DD37" i="5"/>
  <c r="B37" i="5"/>
  <c r="CK37" i="5" l="1"/>
  <c r="CH37" i="5"/>
  <c r="CI37" i="5"/>
  <c r="BT37" i="5"/>
  <c r="CJ37" i="5"/>
  <c r="C37" i="5"/>
  <c r="BU37" i="5"/>
  <c r="BZ37" i="5"/>
  <c r="CA37" i="5"/>
  <c r="CM37" i="5"/>
  <c r="BW37" i="5"/>
  <c r="CL37" i="5"/>
  <c r="BV37" i="5"/>
  <c r="BY37" i="5"/>
  <c r="BX37" i="5"/>
  <c r="CF37" i="5"/>
  <c r="CG37" i="5"/>
  <c r="CR36" i="5" l="1"/>
  <c r="CE36" i="5"/>
  <c r="CD36" i="5"/>
  <c r="CC36" i="5"/>
  <c r="CB36" i="5"/>
  <c r="BS36" i="5"/>
  <c r="BR36" i="5"/>
  <c r="BQ36" i="5"/>
  <c r="BP36" i="5"/>
  <c r="CM36" i="5" l="1"/>
  <c r="CL36" i="5"/>
  <c r="BX36" i="5"/>
  <c r="BY36" i="5"/>
  <c r="BV36" i="5"/>
  <c r="BW36" i="5"/>
  <c r="CJ36" i="5"/>
  <c r="CK36" i="5"/>
  <c r="BZ36" i="5"/>
  <c r="CA36" i="5"/>
  <c r="CG36" i="5"/>
  <c r="CF36" i="5"/>
  <c r="CH36" i="5"/>
  <c r="CI36" i="5"/>
  <c r="BT36" i="5"/>
  <c r="BU36" i="5"/>
  <c r="BN36" i="5" l="1"/>
  <c r="CQ36" i="5" s="1"/>
  <c r="BJ36" i="5"/>
  <c r="CP36" i="5" s="1"/>
  <c r="BG36" i="5"/>
  <c r="CO36" i="5" s="1"/>
  <c r="BC36" i="5"/>
  <c r="CN36" i="5" s="1"/>
  <c r="AZ36" i="5"/>
  <c r="DD36" i="5"/>
  <c r="B36" i="5"/>
  <c r="C36" i="5" l="1"/>
  <c r="CR35" i="5" l="1"/>
  <c r="CE35" i="5"/>
  <c r="CM35" i="5" s="1"/>
  <c r="CD35" i="5"/>
  <c r="CL35" i="5" s="1"/>
  <c r="CC35" i="5"/>
  <c r="CK35" i="5" s="1"/>
  <c r="CB35" i="5"/>
  <c r="CJ35" i="5" s="1"/>
  <c r="BS35" i="5"/>
  <c r="BW35" i="5" s="1"/>
  <c r="BR35" i="5"/>
  <c r="BV35" i="5" s="1"/>
  <c r="BQ35" i="5"/>
  <c r="BU35" i="5" s="1"/>
  <c r="BP35" i="5"/>
  <c r="BX35" i="5" s="1"/>
  <c r="BY35" i="5" l="1"/>
  <c r="CA35" i="5"/>
  <c r="BZ35" i="5"/>
  <c r="CF35" i="5"/>
  <c r="CG35" i="5"/>
  <c r="CH35" i="5"/>
  <c r="CI35" i="5"/>
  <c r="BT35" i="5"/>
  <c r="BN35" i="5" l="1"/>
  <c r="BJ35" i="5"/>
  <c r="BG35" i="5"/>
  <c r="BC35" i="5"/>
  <c r="AZ35" i="5"/>
  <c r="B35" i="5"/>
  <c r="DD35" i="5"/>
  <c r="CN35" i="5" l="1"/>
  <c r="CO35" i="5"/>
  <c r="CP35" i="5"/>
  <c r="CQ35" i="5"/>
  <c r="C35" i="5"/>
  <c r="CR34" i="5" l="1"/>
  <c r="CE34" i="5"/>
  <c r="CD34" i="5"/>
  <c r="CC34" i="5"/>
  <c r="CB34" i="5"/>
  <c r="BS34" i="5"/>
  <c r="BR34" i="5"/>
  <c r="BQ34" i="5"/>
  <c r="BP34" i="5"/>
  <c r="CR33" i="5"/>
  <c r="CE33" i="5"/>
  <c r="CD33" i="5"/>
  <c r="CC33" i="5"/>
  <c r="CB33" i="5"/>
  <c r="BS33" i="5"/>
  <c r="BR33" i="5"/>
  <c r="BQ33" i="5"/>
  <c r="BP33" i="5"/>
  <c r="BN34" i="5"/>
  <c r="CQ34" i="5" s="1"/>
  <c r="BN33" i="5"/>
  <c r="CQ33" i="5" s="1"/>
  <c r="BJ34" i="5"/>
  <c r="CP34" i="5" s="1"/>
  <c r="BJ33" i="5"/>
  <c r="CP33" i="5" s="1"/>
  <c r="BG34" i="5"/>
  <c r="CO34" i="5" s="1"/>
  <c r="BG33" i="5"/>
  <c r="CO33" i="5" s="1"/>
  <c r="BC34" i="5"/>
  <c r="CN34" i="5" s="1"/>
  <c r="BC33" i="5"/>
  <c r="CN33" i="5" s="1"/>
  <c r="AZ34" i="5"/>
  <c r="AZ33" i="5"/>
  <c r="DD34" i="5"/>
  <c r="DD33" i="5"/>
  <c r="B34" i="5"/>
  <c r="B33" i="5"/>
  <c r="C34" i="5" l="1"/>
  <c r="CI34" i="5"/>
  <c r="CH33" i="5"/>
  <c r="CI33" i="5"/>
  <c r="CK34" i="5"/>
  <c r="CH34" i="5"/>
  <c r="CF33" i="5"/>
  <c r="CK33" i="5"/>
  <c r="CF34" i="5"/>
  <c r="BW34" i="5"/>
  <c r="C33" i="5"/>
  <c r="BY33" i="5"/>
  <c r="BZ33" i="5"/>
  <c r="BX34" i="5"/>
  <c r="BV34" i="5"/>
  <c r="BX33" i="5"/>
  <c r="BW33" i="5"/>
  <c r="BY34" i="5"/>
  <c r="CG34" i="5"/>
  <c r="CJ34" i="5"/>
  <c r="BT34" i="5"/>
  <c r="CA33" i="5"/>
  <c r="CL34" i="5"/>
  <c r="CM34" i="5"/>
  <c r="BU34" i="5"/>
  <c r="CG33" i="5"/>
  <c r="BT33" i="5"/>
  <c r="CJ33" i="5"/>
  <c r="BZ34" i="5"/>
  <c r="BU33" i="5"/>
  <c r="CA34" i="5"/>
  <c r="BV33" i="5"/>
  <c r="CL33" i="5"/>
  <c r="CM33" i="5"/>
  <c r="F17" i="70" l="1"/>
  <c r="CR32" i="5" l="1"/>
  <c r="CE32" i="5"/>
  <c r="CD32" i="5"/>
  <c r="CC32" i="5"/>
  <c r="CB32" i="5"/>
  <c r="BS32" i="5"/>
  <c r="BR32" i="5"/>
  <c r="BQ32" i="5"/>
  <c r="BP32" i="5"/>
  <c r="BT32" i="5" l="1"/>
  <c r="BZ32" i="5"/>
  <c r="CA32" i="5"/>
  <c r="CF32" i="5"/>
  <c r="BV32" i="5"/>
  <c r="BU32" i="5"/>
  <c r="BW32" i="5"/>
  <c r="BX32" i="5"/>
  <c r="BY32" i="5"/>
  <c r="CG32" i="5"/>
  <c r="CK32" i="5"/>
  <c r="CJ32" i="5"/>
  <c r="CH32" i="5"/>
  <c r="CI32" i="5"/>
  <c r="CL32" i="5"/>
  <c r="CM32" i="5"/>
  <c r="BN32" i="5" l="1"/>
  <c r="CQ32" i="5" s="1"/>
  <c r="BJ32" i="5"/>
  <c r="CP32" i="5" s="1"/>
  <c r="BG32" i="5"/>
  <c r="CO32" i="5" s="1"/>
  <c r="BC32" i="5"/>
  <c r="CN32" i="5" s="1"/>
  <c r="AZ32" i="5"/>
  <c r="DD32" i="5"/>
  <c r="B32" i="5"/>
  <c r="C32" i="5" l="1"/>
  <c r="I4" i="74" l="1"/>
  <c r="H4" i="74"/>
  <c r="G4" i="74"/>
  <c r="F4" i="74"/>
  <c r="J13" i="72"/>
  <c r="J29" i="72" s="1"/>
  <c r="J14" i="72"/>
  <c r="J30" i="72" s="1"/>
  <c r="J15" i="72"/>
  <c r="J31" i="72" s="1"/>
  <c r="J26" i="72"/>
  <c r="J27" i="72"/>
  <c r="J28" i="72"/>
  <c r="E3" i="74" l="1"/>
  <c r="I6" i="72"/>
  <c r="H6" i="72"/>
  <c r="G6" i="72"/>
  <c r="I5" i="72"/>
  <c r="H5" i="72"/>
  <c r="G5" i="72"/>
  <c r="F6" i="72"/>
  <c r="F5" i="72"/>
  <c r="I4" i="72"/>
  <c r="H4" i="72"/>
  <c r="G4" i="72"/>
  <c r="F4" i="72"/>
  <c r="I24" i="72"/>
  <c r="H24" i="72"/>
  <c r="G24" i="72"/>
  <c r="I23" i="72"/>
  <c r="H23" i="72"/>
  <c r="G23" i="72"/>
  <c r="F24" i="72"/>
  <c r="F23" i="72"/>
  <c r="I22" i="72"/>
  <c r="H22" i="72"/>
  <c r="G22" i="72"/>
  <c r="F22" i="72"/>
  <c r="I21" i="72"/>
  <c r="H21" i="72"/>
  <c r="G21" i="72"/>
  <c r="I20" i="72"/>
  <c r="H20" i="72"/>
  <c r="G20" i="72"/>
  <c r="F21" i="72"/>
  <c r="F20" i="72"/>
  <c r="I19" i="72"/>
  <c r="H19" i="72"/>
  <c r="G19" i="72"/>
  <c r="F19" i="72"/>
  <c r="I18" i="72"/>
  <c r="H18" i="72"/>
  <c r="G18" i="72"/>
  <c r="I17" i="72"/>
  <c r="H17" i="72"/>
  <c r="G17" i="72"/>
  <c r="F18" i="72"/>
  <c r="F17" i="72"/>
  <c r="I16" i="72"/>
  <c r="H16" i="72"/>
  <c r="G16" i="72"/>
  <c r="F16" i="72"/>
  <c r="I12" i="72"/>
  <c r="H12" i="72"/>
  <c r="G12" i="72"/>
  <c r="I11" i="72"/>
  <c r="H11" i="72"/>
  <c r="G11" i="72"/>
  <c r="F12" i="72"/>
  <c r="F11" i="72"/>
  <c r="I10" i="72"/>
  <c r="H10" i="72"/>
  <c r="G10" i="72"/>
  <c r="F10" i="72"/>
  <c r="I9" i="72"/>
  <c r="H9" i="72"/>
  <c r="G9" i="72"/>
  <c r="F9" i="72"/>
  <c r="I8" i="72"/>
  <c r="H8" i="72"/>
  <c r="G8" i="72"/>
  <c r="F8" i="72"/>
  <c r="I7" i="72"/>
  <c r="H7" i="72"/>
  <c r="G7" i="72"/>
  <c r="F7" i="72"/>
  <c r="E6" i="72" l="1"/>
  <c r="E5" i="72"/>
  <c r="E4" i="72"/>
  <c r="E24" i="72"/>
  <c r="E23" i="72"/>
  <c r="E22" i="72"/>
  <c r="G28" i="72"/>
  <c r="H28" i="72"/>
  <c r="I28" i="72"/>
  <c r="E21" i="72"/>
  <c r="G27" i="72"/>
  <c r="H27" i="72"/>
  <c r="I27" i="72"/>
  <c r="E20" i="72"/>
  <c r="G26" i="72"/>
  <c r="H26" i="72"/>
  <c r="I26" i="72"/>
  <c r="E19" i="72"/>
  <c r="F26" i="72"/>
  <c r="E18" i="72"/>
  <c r="E17" i="72"/>
  <c r="F27" i="72"/>
  <c r="F28" i="72"/>
  <c r="E16" i="72"/>
  <c r="G15" i="72"/>
  <c r="H15" i="72"/>
  <c r="I15" i="72"/>
  <c r="E12" i="72"/>
  <c r="H14" i="72"/>
  <c r="G14" i="72"/>
  <c r="I14" i="72"/>
  <c r="E11" i="72"/>
  <c r="F14" i="72"/>
  <c r="F15" i="72"/>
  <c r="G13" i="72"/>
  <c r="H13" i="72"/>
  <c r="I13" i="72"/>
  <c r="E10" i="72"/>
  <c r="E9" i="72"/>
  <c r="E8" i="72"/>
  <c r="E7" i="72"/>
  <c r="F13" i="72"/>
  <c r="I31" i="72" l="1"/>
  <c r="I30" i="72"/>
  <c r="H30" i="72"/>
  <c r="I29" i="72"/>
  <c r="H31" i="72"/>
  <c r="H29" i="72"/>
  <c r="G29" i="72"/>
  <c r="G30" i="72"/>
  <c r="F31" i="72"/>
  <c r="E13" i="72"/>
  <c r="G31" i="72"/>
  <c r="E26" i="72"/>
  <c r="E28" i="72"/>
  <c r="E27" i="72"/>
  <c r="F29" i="72"/>
  <c r="F30" i="72"/>
  <c r="E15" i="72"/>
  <c r="E14" i="72"/>
  <c r="E29" i="72" l="1"/>
  <c r="K4" i="74" s="1"/>
  <c r="E31" i="72"/>
  <c r="M4" i="74" s="1"/>
  <c r="E30" i="72"/>
  <c r="L4" i="74" s="1"/>
  <c r="J3" i="74" l="1"/>
  <c r="CR31" i="5" l="1"/>
  <c r="CE31" i="5"/>
  <c r="CD31" i="5"/>
  <c r="CC31" i="5"/>
  <c r="CB31" i="5"/>
  <c r="BS31" i="5"/>
  <c r="BR31" i="5"/>
  <c r="BQ31" i="5"/>
  <c r="BP31" i="5"/>
  <c r="DD31" i="5"/>
  <c r="BN31" i="5"/>
  <c r="CQ31" i="5" s="1"/>
  <c r="BJ31" i="5"/>
  <c r="CP31" i="5" s="1"/>
  <c r="BG31" i="5"/>
  <c r="CO31" i="5" s="1"/>
  <c r="BC31" i="5"/>
  <c r="CN31" i="5" s="1"/>
  <c r="AZ31" i="5"/>
  <c r="B31" i="5"/>
  <c r="BT31" i="5" l="1"/>
  <c r="CI31" i="5"/>
  <c r="C31" i="5"/>
  <c r="BU31" i="5"/>
  <c r="BV31" i="5"/>
  <c r="CA31" i="5"/>
  <c r="CJ31" i="5"/>
  <c r="CK31" i="5"/>
  <c r="CL31" i="5"/>
  <c r="BW31" i="5"/>
  <c r="BX31" i="5"/>
  <c r="BY31" i="5"/>
  <c r="BZ31" i="5"/>
  <c r="CM31" i="5"/>
  <c r="CF31" i="5"/>
  <c r="CG31" i="5"/>
  <c r="CH31" i="5"/>
  <c r="CR30" i="5" l="1"/>
  <c r="CE30" i="5"/>
  <c r="CD30" i="5"/>
  <c r="CC30" i="5"/>
  <c r="CB30" i="5"/>
  <c r="BS30" i="5"/>
  <c r="BR30" i="5"/>
  <c r="BQ30" i="5"/>
  <c r="BP30" i="5"/>
  <c r="BY30" i="5" l="1"/>
  <c r="CJ30" i="5"/>
  <c r="CK30" i="5"/>
  <c r="CL30" i="5"/>
  <c r="BX30" i="5"/>
  <c r="BV30" i="5"/>
  <c r="CM30" i="5"/>
  <c r="BW30" i="5"/>
  <c r="CA30" i="5"/>
  <c r="BT30" i="5"/>
  <c r="BZ30" i="5"/>
  <c r="CF30" i="5"/>
  <c r="CH30" i="5"/>
  <c r="CG30" i="5"/>
  <c r="CI30" i="5"/>
  <c r="BU30" i="5"/>
  <c r="BN30" i="5" l="1"/>
  <c r="CQ30" i="5" s="1"/>
  <c r="BJ30" i="5"/>
  <c r="CP30" i="5" s="1"/>
  <c r="BG30" i="5"/>
  <c r="CO30" i="5" s="1"/>
  <c r="BC30" i="5"/>
  <c r="CN30" i="5" s="1"/>
  <c r="AZ30" i="5" l="1"/>
  <c r="DD30" i="5"/>
  <c r="B30" i="5"/>
  <c r="C30" i="5" l="1"/>
  <c r="CR29" i="5" l="1"/>
  <c r="CR28" i="5"/>
  <c r="CR27" i="5"/>
  <c r="CR26" i="5"/>
  <c r="CR25" i="5"/>
  <c r="CR24" i="5"/>
  <c r="CR23" i="5"/>
  <c r="CR22" i="5"/>
  <c r="CR21" i="5"/>
  <c r="CR20" i="5"/>
  <c r="CR19" i="5"/>
  <c r="CR18" i="5"/>
  <c r="CR17" i="5"/>
  <c r="CR16" i="5"/>
  <c r="CR15" i="5"/>
  <c r="CR14" i="5"/>
  <c r="CR13" i="5"/>
  <c r="CR12" i="5"/>
  <c r="CR11" i="5"/>
  <c r="CR10" i="5"/>
  <c r="CR9" i="5"/>
  <c r="CR8" i="5"/>
  <c r="CR7" i="5"/>
  <c r="CR6" i="5"/>
  <c r="CR5" i="5"/>
  <c r="BP24" i="56" l="1"/>
  <c r="BP25" i="56"/>
  <c r="BP28" i="56"/>
  <c r="BP27" i="56"/>
  <c r="BP26" i="56"/>
  <c r="BP23" i="56"/>
  <c r="BP22" i="56"/>
  <c r="BP21" i="56"/>
  <c r="CE29" i="5" l="1"/>
  <c r="CD29" i="5"/>
  <c r="CC29" i="5"/>
  <c r="CB29" i="5"/>
  <c r="BS29" i="5"/>
  <c r="BR29" i="5"/>
  <c r="BQ29" i="5"/>
  <c r="BP29" i="5"/>
  <c r="BN29" i="5"/>
  <c r="CQ29" i="5" s="1"/>
  <c r="BJ29" i="5"/>
  <c r="CP29" i="5" s="1"/>
  <c r="BG29" i="5"/>
  <c r="CO29" i="5" s="1"/>
  <c r="BC29" i="5"/>
  <c r="CN29" i="5" s="1"/>
  <c r="AZ29" i="5"/>
  <c r="DD29" i="5"/>
  <c r="B29" i="5"/>
  <c r="BX29" i="5" l="1"/>
  <c r="BU29" i="5"/>
  <c r="BV29" i="5"/>
  <c r="BW29" i="5"/>
  <c r="BZ29" i="5"/>
  <c r="C29" i="5"/>
  <c r="CA29" i="5"/>
  <c r="CJ29" i="5"/>
  <c r="CK29" i="5"/>
  <c r="CL29" i="5"/>
  <c r="CM29" i="5"/>
  <c r="BY29" i="5"/>
  <c r="CF29" i="5"/>
  <c r="CG29" i="5"/>
  <c r="CH29" i="5"/>
  <c r="CI29" i="5"/>
  <c r="BT29" i="5"/>
  <c r="BP20" i="56" l="1"/>
  <c r="DD28" i="5" l="1"/>
  <c r="DD27" i="5"/>
  <c r="CE28" i="5"/>
  <c r="CD28" i="5"/>
  <c r="CC28" i="5"/>
  <c r="CB28" i="5"/>
  <c r="BS28" i="5"/>
  <c r="BR28" i="5"/>
  <c r="BQ28" i="5"/>
  <c r="BP28" i="5"/>
  <c r="CE27" i="5"/>
  <c r="CD27" i="5"/>
  <c r="CC27" i="5"/>
  <c r="CB27" i="5"/>
  <c r="BS27" i="5"/>
  <c r="BR27" i="5"/>
  <c r="BQ27" i="5"/>
  <c r="BP27" i="5"/>
  <c r="BN28" i="5"/>
  <c r="CQ28" i="5" s="1"/>
  <c r="BN27" i="5"/>
  <c r="CQ27" i="5" s="1"/>
  <c r="BJ28" i="5"/>
  <c r="CP28" i="5" s="1"/>
  <c r="BJ27" i="5"/>
  <c r="CP27" i="5" s="1"/>
  <c r="BG28" i="5"/>
  <c r="CO28" i="5" s="1"/>
  <c r="BG27" i="5"/>
  <c r="CO27" i="5" s="1"/>
  <c r="BC28" i="5"/>
  <c r="CN28" i="5" s="1"/>
  <c r="BC27" i="5"/>
  <c r="CN27" i="5" s="1"/>
  <c r="AZ28" i="5"/>
  <c r="AZ27" i="5"/>
  <c r="B28" i="5"/>
  <c r="B27" i="5"/>
  <c r="CJ27" i="5" l="1"/>
  <c r="CG27" i="5"/>
  <c r="CH27" i="5"/>
  <c r="CH28" i="5"/>
  <c r="CG28" i="5"/>
  <c r="C27" i="5"/>
  <c r="CF28" i="5"/>
  <c r="CF27" i="5"/>
  <c r="CJ28" i="5"/>
  <c r="CK27" i="5"/>
  <c r="CL28" i="5"/>
  <c r="CL27" i="5"/>
  <c r="BV27" i="5"/>
  <c r="BZ27" i="5"/>
  <c r="CI28" i="5"/>
  <c r="BT28" i="5"/>
  <c r="BX28" i="5"/>
  <c r="BY28" i="5"/>
  <c r="BU28" i="5"/>
  <c r="BZ28" i="5"/>
  <c r="BV28" i="5"/>
  <c r="CA27" i="5"/>
  <c r="BW27" i="5"/>
  <c r="C28" i="5"/>
  <c r="CM28" i="5"/>
  <c r="BT27" i="5"/>
  <c r="BX27" i="5"/>
  <c r="CA28" i="5"/>
  <c r="BW28" i="5"/>
  <c r="CI27" i="5"/>
  <c r="CM27" i="5"/>
  <c r="BY27" i="5"/>
  <c r="BU27" i="5"/>
  <c r="CK28" i="5"/>
  <c r="DD26" i="5" l="1"/>
  <c r="DD25" i="5"/>
  <c r="CE26" i="5"/>
  <c r="CD26" i="5"/>
  <c r="CC26" i="5"/>
  <c r="CB26" i="5"/>
  <c r="BS26" i="5"/>
  <c r="BR26" i="5"/>
  <c r="BQ26" i="5"/>
  <c r="BP26" i="5"/>
  <c r="CE25" i="5"/>
  <c r="CD25" i="5"/>
  <c r="CC25" i="5"/>
  <c r="CB25" i="5"/>
  <c r="BS25" i="5"/>
  <c r="BR25" i="5"/>
  <c r="BQ25" i="5"/>
  <c r="BP25" i="5"/>
  <c r="BN26" i="5"/>
  <c r="CQ26" i="5" s="1"/>
  <c r="BN25" i="5"/>
  <c r="CQ25" i="5" s="1"/>
  <c r="BJ26" i="5"/>
  <c r="CP26" i="5" s="1"/>
  <c r="BJ25" i="5"/>
  <c r="CP25" i="5" s="1"/>
  <c r="BG26" i="5"/>
  <c r="CO26" i="5" s="1"/>
  <c r="BG25" i="5"/>
  <c r="CO25" i="5" s="1"/>
  <c r="BC26" i="5"/>
  <c r="CN26" i="5" s="1"/>
  <c r="BC25" i="5"/>
  <c r="CN25" i="5" s="1"/>
  <c r="AZ26" i="5"/>
  <c r="AZ25" i="5"/>
  <c r="B26" i="5"/>
  <c r="B25" i="5"/>
  <c r="CI25" i="5" l="1"/>
  <c r="BW26" i="5"/>
  <c r="BU26" i="5"/>
  <c r="C26" i="5"/>
  <c r="CJ26" i="5"/>
  <c r="BT26" i="5"/>
  <c r="BV26" i="5"/>
  <c r="CK26" i="5"/>
  <c r="CM26" i="5"/>
  <c r="BZ25" i="5"/>
  <c r="CL26" i="5"/>
  <c r="BX25" i="5"/>
  <c r="BY25" i="5"/>
  <c r="CF25" i="5"/>
  <c r="CG25" i="5"/>
  <c r="C25" i="5"/>
  <c r="CH25" i="5"/>
  <c r="CG26" i="5"/>
  <c r="CA25" i="5"/>
  <c r="BW25" i="5"/>
  <c r="CF26" i="5"/>
  <c r="CH26" i="5"/>
  <c r="CI26" i="5"/>
  <c r="BT25" i="5"/>
  <c r="CJ25" i="5"/>
  <c r="BX26" i="5"/>
  <c r="BU25" i="5"/>
  <c r="CK25" i="5"/>
  <c r="BY26" i="5"/>
  <c r="BV25" i="5"/>
  <c r="CL25" i="5"/>
  <c r="BZ26" i="5"/>
  <c r="CM25" i="5"/>
  <c r="CA26" i="5"/>
  <c r="CW372" i="59" l="1"/>
  <c r="CV372" i="59"/>
  <c r="CU372" i="59"/>
  <c r="CT372" i="59"/>
  <c r="CS372" i="59"/>
  <c r="CR372" i="59"/>
  <c r="CQ372" i="59"/>
  <c r="CP372" i="59"/>
  <c r="CO372" i="59"/>
  <c r="CN372" i="59"/>
  <c r="CM372" i="59"/>
  <c r="CL372" i="59"/>
  <c r="CK372" i="59"/>
  <c r="CJ372" i="59"/>
  <c r="CI372" i="59"/>
  <c r="CH372" i="59"/>
  <c r="CG372" i="59"/>
  <c r="CF372" i="59"/>
  <c r="CE372" i="59"/>
  <c r="CD372" i="59"/>
  <c r="CC372" i="59"/>
  <c r="CB372" i="59"/>
  <c r="CA372" i="59"/>
  <c r="BZ372" i="59"/>
  <c r="BY372" i="59"/>
  <c r="BX372" i="59"/>
  <c r="BW372" i="59"/>
  <c r="BV372" i="59"/>
  <c r="BU372" i="59"/>
  <c r="BT372" i="59"/>
  <c r="BS372" i="59"/>
  <c r="BR372" i="59"/>
  <c r="BQ372" i="59"/>
  <c r="BP372" i="59"/>
  <c r="BO372" i="59"/>
  <c r="BN372" i="59"/>
  <c r="BM372" i="59"/>
  <c r="BL372" i="59"/>
  <c r="BK372" i="59"/>
  <c r="BJ372" i="59"/>
  <c r="BI372" i="59"/>
  <c r="BH372" i="59"/>
  <c r="BG372" i="59"/>
  <c r="BF372" i="59"/>
  <c r="BE372" i="59"/>
  <c r="BD372" i="59"/>
  <c r="BC372" i="59"/>
  <c r="BB372" i="59"/>
  <c r="BA372" i="59"/>
  <c r="AZ372" i="59"/>
  <c r="AY372" i="59"/>
  <c r="AX372" i="59"/>
  <c r="AW372" i="59"/>
  <c r="AV372" i="59"/>
  <c r="AU372" i="59"/>
  <c r="AT372" i="59"/>
  <c r="AS372" i="59"/>
  <c r="AR372" i="59"/>
  <c r="AQ372" i="59"/>
  <c r="AP372" i="59"/>
  <c r="AO372" i="59"/>
  <c r="AN372" i="59"/>
  <c r="AM372" i="59"/>
  <c r="AL372" i="59"/>
  <c r="AK372" i="59"/>
  <c r="AJ372" i="59"/>
  <c r="AI372" i="59"/>
  <c r="AH372" i="59"/>
  <c r="AG372" i="59"/>
  <c r="AF372" i="59"/>
  <c r="AE372" i="59"/>
  <c r="AD372" i="59"/>
  <c r="AC372" i="59"/>
  <c r="AB372" i="59"/>
  <c r="AA372" i="59"/>
  <c r="Z372" i="59"/>
  <c r="Y372" i="59"/>
  <c r="X372" i="59"/>
  <c r="W372" i="59"/>
  <c r="V372" i="59"/>
  <c r="U372" i="59"/>
  <c r="T372" i="59"/>
  <c r="S372" i="59"/>
  <c r="R372" i="59"/>
  <c r="Q372" i="59"/>
  <c r="P372" i="59"/>
  <c r="O372" i="59"/>
  <c r="N372" i="59"/>
  <c r="M372" i="59"/>
  <c r="L372" i="59"/>
  <c r="K372" i="59"/>
  <c r="J372" i="59"/>
  <c r="I372" i="59"/>
  <c r="H372" i="59"/>
  <c r="G372" i="59"/>
  <c r="CW363" i="59"/>
  <c r="CV363" i="59"/>
  <c r="CU363" i="59"/>
  <c r="CT363" i="59"/>
  <c r="CS363" i="59"/>
  <c r="CR363" i="59"/>
  <c r="CQ363" i="59"/>
  <c r="CP363" i="59"/>
  <c r="CO363" i="59"/>
  <c r="CN363" i="59"/>
  <c r="CM363" i="59"/>
  <c r="CL363" i="59"/>
  <c r="CK363" i="59"/>
  <c r="CJ363" i="59"/>
  <c r="CI363" i="59"/>
  <c r="CH363" i="59"/>
  <c r="CG363" i="59"/>
  <c r="CF363" i="59"/>
  <c r="CE363" i="59"/>
  <c r="CD363" i="59"/>
  <c r="CC363" i="59"/>
  <c r="CB363" i="59"/>
  <c r="CA363" i="59"/>
  <c r="BZ363" i="59"/>
  <c r="BY363" i="59"/>
  <c r="BX363" i="59"/>
  <c r="BW363" i="59"/>
  <c r="BV363" i="59"/>
  <c r="BU363" i="59"/>
  <c r="BT363" i="59"/>
  <c r="BS363" i="59"/>
  <c r="BR363" i="59"/>
  <c r="BQ363" i="59"/>
  <c r="BP363" i="59"/>
  <c r="BO363" i="59"/>
  <c r="BN363" i="59"/>
  <c r="BM363" i="59"/>
  <c r="BL363" i="59"/>
  <c r="BK363" i="59"/>
  <c r="BJ363" i="59"/>
  <c r="BI363" i="59"/>
  <c r="BH363" i="59"/>
  <c r="BG363" i="59"/>
  <c r="BF363" i="59"/>
  <c r="BE363" i="59"/>
  <c r="BD363" i="59"/>
  <c r="BC363" i="59"/>
  <c r="BB363" i="59"/>
  <c r="BA363" i="59"/>
  <c r="AZ363" i="59"/>
  <c r="AY363" i="59"/>
  <c r="AX363" i="59"/>
  <c r="AW363" i="59"/>
  <c r="AV363" i="59"/>
  <c r="AU363" i="59"/>
  <c r="AT363" i="59"/>
  <c r="AS363" i="59"/>
  <c r="AR363" i="59"/>
  <c r="AQ363" i="59"/>
  <c r="AP363" i="59"/>
  <c r="AO363" i="59"/>
  <c r="AN363" i="59"/>
  <c r="AM363" i="59"/>
  <c r="AL363" i="59"/>
  <c r="AK363" i="59"/>
  <c r="AJ363" i="59"/>
  <c r="AI363" i="59"/>
  <c r="AH363" i="59"/>
  <c r="AG363" i="59"/>
  <c r="AF363" i="59"/>
  <c r="AE363" i="59"/>
  <c r="AD363" i="59"/>
  <c r="AC363" i="59"/>
  <c r="AB363" i="59"/>
  <c r="AA363" i="59"/>
  <c r="Z363" i="59"/>
  <c r="Y363" i="59"/>
  <c r="X363" i="59"/>
  <c r="W363" i="59"/>
  <c r="V363" i="59"/>
  <c r="U363" i="59"/>
  <c r="T363" i="59"/>
  <c r="S363" i="59"/>
  <c r="R363" i="59"/>
  <c r="Q363" i="59"/>
  <c r="P363" i="59"/>
  <c r="O363" i="59"/>
  <c r="N363" i="59"/>
  <c r="M363" i="59"/>
  <c r="L363" i="59"/>
  <c r="K363" i="59"/>
  <c r="J363" i="59"/>
  <c r="I363" i="59"/>
  <c r="H363" i="59"/>
  <c r="G363" i="59"/>
  <c r="CE24" i="5" l="1"/>
  <c r="CD24" i="5"/>
  <c r="CC24" i="5"/>
  <c r="CB24" i="5"/>
  <c r="BS24" i="5"/>
  <c r="BR24" i="5"/>
  <c r="BQ24" i="5"/>
  <c r="BP24" i="5"/>
  <c r="DD24" i="5"/>
  <c r="BN24" i="5"/>
  <c r="CQ24" i="5" s="1"/>
  <c r="BJ24" i="5"/>
  <c r="CP24" i="5" s="1"/>
  <c r="BG24" i="5"/>
  <c r="CO24" i="5" s="1"/>
  <c r="BC24" i="5"/>
  <c r="AZ24" i="5"/>
  <c r="B24" i="5"/>
  <c r="CN24" i="5" l="1"/>
  <c r="BV24" i="5"/>
  <c r="CM24" i="5"/>
  <c r="BX24" i="5"/>
  <c r="BU24" i="5"/>
  <c r="CJ24" i="5"/>
  <c r="BW24" i="5"/>
  <c r="CK24" i="5"/>
  <c r="C24" i="5"/>
  <c r="CL24" i="5"/>
  <c r="BZ24" i="5"/>
  <c r="CA24" i="5"/>
  <c r="BY24" i="5"/>
  <c r="CF24" i="5"/>
  <c r="CG24" i="5"/>
  <c r="CH24" i="5"/>
  <c r="CI24" i="5"/>
  <c r="BT24" i="5"/>
  <c r="DD23" i="5" l="1"/>
  <c r="CE23" i="5"/>
  <c r="CD23" i="5"/>
  <c r="CC23" i="5"/>
  <c r="CB23" i="5"/>
  <c r="BS23" i="5"/>
  <c r="BR23" i="5"/>
  <c r="BQ23" i="5"/>
  <c r="BP23" i="5"/>
  <c r="BN23" i="5"/>
  <c r="CQ23" i="5" s="1"/>
  <c r="BJ23" i="5"/>
  <c r="CP23" i="5" s="1"/>
  <c r="BG23" i="5"/>
  <c r="CO23" i="5" s="1"/>
  <c r="BC23" i="5"/>
  <c r="CN23" i="5" s="1"/>
  <c r="AZ23" i="5"/>
  <c r="B23" i="5"/>
  <c r="CA23" i="5" l="1"/>
  <c r="BY23" i="5"/>
  <c r="CJ23" i="5"/>
  <c r="BZ23" i="5"/>
  <c r="CK23" i="5"/>
  <c r="CH23" i="5"/>
  <c r="C23" i="5"/>
  <c r="CM23" i="5"/>
  <c r="BX23" i="5"/>
  <c r="CG23" i="5"/>
  <c r="CL23" i="5"/>
  <c r="CF23" i="5"/>
  <c r="CI23" i="5"/>
  <c r="BV23" i="5"/>
  <c r="BW23" i="5"/>
  <c r="BU23" i="5"/>
  <c r="BT23" i="5"/>
  <c r="DD22" i="5" l="1"/>
  <c r="CE22" i="5"/>
  <c r="CD22" i="5"/>
  <c r="CC22" i="5"/>
  <c r="CB22" i="5"/>
  <c r="BS22" i="5"/>
  <c r="BR22" i="5"/>
  <c r="BQ22" i="5"/>
  <c r="BP22" i="5"/>
  <c r="BN22" i="5"/>
  <c r="CQ22" i="5" s="1"/>
  <c r="BJ22" i="5"/>
  <c r="CP22" i="5" s="1"/>
  <c r="BG22" i="5"/>
  <c r="CO22" i="5" s="1"/>
  <c r="BC22" i="5"/>
  <c r="CN22" i="5" s="1"/>
  <c r="AZ22" i="5"/>
  <c r="B22" i="5"/>
  <c r="CM22" i="5" l="1"/>
  <c r="CA22" i="5"/>
  <c r="BX22" i="5"/>
  <c r="BY22" i="5"/>
  <c r="C22" i="5"/>
  <c r="BZ22" i="5"/>
  <c r="CJ22" i="5"/>
  <c r="CG22" i="5"/>
  <c r="CL22" i="5"/>
  <c r="CF22" i="5"/>
  <c r="CH22" i="5"/>
  <c r="BT22" i="5"/>
  <c r="BU22" i="5"/>
  <c r="CK22" i="5"/>
  <c r="CI22" i="5"/>
  <c r="BV22" i="5"/>
  <c r="BW22" i="5"/>
  <c r="CW353" i="59" l="1"/>
  <c r="CV353" i="59"/>
  <c r="CU353" i="59"/>
  <c r="CT353" i="59"/>
  <c r="CS353" i="59"/>
  <c r="CR353" i="59"/>
  <c r="CQ353" i="59"/>
  <c r="CP353" i="59"/>
  <c r="CO353" i="59"/>
  <c r="CN353" i="59"/>
  <c r="CM353" i="59"/>
  <c r="CL353" i="59"/>
  <c r="CK353" i="59"/>
  <c r="CJ353" i="59"/>
  <c r="CI353" i="59"/>
  <c r="CH353" i="59"/>
  <c r="CG353" i="59"/>
  <c r="CF353" i="59"/>
  <c r="CE353" i="59"/>
  <c r="CD353" i="59"/>
  <c r="CC353" i="59"/>
  <c r="CB353" i="59"/>
  <c r="CA353" i="59"/>
  <c r="BZ353" i="59"/>
  <c r="BY353" i="59"/>
  <c r="BX353" i="59"/>
  <c r="BW353" i="59"/>
  <c r="BV353" i="59"/>
  <c r="BU353" i="59"/>
  <c r="BT353" i="59"/>
  <c r="BS353" i="59"/>
  <c r="BR353" i="59"/>
  <c r="BQ353" i="59"/>
  <c r="BP353" i="59"/>
  <c r="BO353" i="59"/>
  <c r="BN353" i="59"/>
  <c r="BM353" i="59"/>
  <c r="BL353" i="59"/>
  <c r="BK353" i="59"/>
  <c r="BJ353" i="59"/>
  <c r="BI353" i="59"/>
  <c r="BH353" i="59"/>
  <c r="BG353" i="59"/>
  <c r="BF353" i="59"/>
  <c r="BE353" i="59"/>
  <c r="BD353" i="59"/>
  <c r="BC353" i="59"/>
  <c r="BB353" i="59"/>
  <c r="BA353" i="59"/>
  <c r="AZ353" i="59"/>
  <c r="AY353" i="59"/>
  <c r="AX353" i="59"/>
  <c r="AW353" i="59"/>
  <c r="AV353" i="59"/>
  <c r="AU353" i="59"/>
  <c r="AT353" i="59"/>
  <c r="AS353" i="59"/>
  <c r="AR353" i="59"/>
  <c r="AQ353" i="59"/>
  <c r="AP353" i="59"/>
  <c r="AO353" i="59"/>
  <c r="AN353" i="59"/>
  <c r="AM353" i="59"/>
  <c r="AL353" i="59"/>
  <c r="AK353" i="59"/>
  <c r="AJ353" i="59"/>
  <c r="AI353" i="59"/>
  <c r="AH353" i="59"/>
  <c r="AG353" i="59"/>
  <c r="AF353" i="59"/>
  <c r="AE353" i="59"/>
  <c r="AD353" i="59"/>
  <c r="AC353" i="59"/>
  <c r="AB353" i="59"/>
  <c r="AA353" i="59"/>
  <c r="Z353" i="59"/>
  <c r="Y353" i="59"/>
  <c r="X353" i="59"/>
  <c r="W353" i="59"/>
  <c r="V353" i="59"/>
  <c r="U353" i="59"/>
  <c r="T353" i="59"/>
  <c r="S353" i="59"/>
  <c r="R353" i="59"/>
  <c r="Q353" i="59"/>
  <c r="P353" i="59"/>
  <c r="O353" i="59"/>
  <c r="N353" i="59"/>
  <c r="M353" i="59"/>
  <c r="L353" i="59"/>
  <c r="K353" i="59"/>
  <c r="J353" i="59"/>
  <c r="I353" i="59"/>
  <c r="H353" i="59"/>
  <c r="G353" i="59"/>
  <c r="CW344" i="59"/>
  <c r="CV344" i="59"/>
  <c r="CU344" i="59"/>
  <c r="CT344" i="59"/>
  <c r="CS344" i="59"/>
  <c r="CR344" i="59"/>
  <c r="CQ344" i="59"/>
  <c r="CP344" i="59"/>
  <c r="CO344" i="59"/>
  <c r="CN344" i="59"/>
  <c r="CM344" i="59"/>
  <c r="CL344" i="59"/>
  <c r="CK344" i="59"/>
  <c r="CJ344" i="59"/>
  <c r="CI344" i="59"/>
  <c r="CH344" i="59"/>
  <c r="CG344" i="59"/>
  <c r="CF344" i="59"/>
  <c r="CE344" i="59"/>
  <c r="CD344" i="59"/>
  <c r="CC344" i="59"/>
  <c r="CB344" i="59"/>
  <c r="CA344" i="59"/>
  <c r="BZ344" i="59"/>
  <c r="BY344" i="59"/>
  <c r="BX344" i="59"/>
  <c r="BW344" i="59"/>
  <c r="BV344" i="59"/>
  <c r="BU344" i="59"/>
  <c r="BT344" i="59"/>
  <c r="BS344" i="59"/>
  <c r="BR344" i="59"/>
  <c r="BQ344" i="59"/>
  <c r="BP344" i="59"/>
  <c r="BO344" i="59"/>
  <c r="BN344" i="59"/>
  <c r="BM344" i="59"/>
  <c r="BL344" i="59"/>
  <c r="BK344" i="59"/>
  <c r="BJ344" i="59"/>
  <c r="BI344" i="59"/>
  <c r="BH344" i="59"/>
  <c r="BG344" i="59"/>
  <c r="BF344" i="59"/>
  <c r="BE344" i="59"/>
  <c r="BD344" i="59"/>
  <c r="BC344" i="59"/>
  <c r="BB344" i="59"/>
  <c r="BA344" i="59"/>
  <c r="AZ344" i="59"/>
  <c r="AY344" i="59"/>
  <c r="AX344" i="59"/>
  <c r="AW344" i="59"/>
  <c r="AV344" i="59"/>
  <c r="AU344" i="59"/>
  <c r="AT344" i="59"/>
  <c r="AS344" i="59"/>
  <c r="AR344" i="59"/>
  <c r="AQ344" i="59"/>
  <c r="AP344" i="59"/>
  <c r="AO344" i="59"/>
  <c r="AN344" i="59"/>
  <c r="AM344" i="59"/>
  <c r="AL344" i="59"/>
  <c r="AK344" i="59"/>
  <c r="AJ344" i="59"/>
  <c r="AI344" i="59"/>
  <c r="AH344" i="59"/>
  <c r="AG344" i="59"/>
  <c r="AF344" i="59"/>
  <c r="AE344" i="59"/>
  <c r="AD344" i="59"/>
  <c r="AC344" i="59"/>
  <c r="AB344" i="59"/>
  <c r="AA344" i="59"/>
  <c r="Z344" i="59"/>
  <c r="Y344" i="59"/>
  <c r="X344" i="59"/>
  <c r="W344" i="59"/>
  <c r="V344" i="59"/>
  <c r="U344" i="59"/>
  <c r="T344" i="59"/>
  <c r="S344" i="59"/>
  <c r="R344" i="59"/>
  <c r="Q344" i="59"/>
  <c r="P344" i="59"/>
  <c r="O344" i="59"/>
  <c r="N344" i="59"/>
  <c r="M344" i="59"/>
  <c r="L344" i="59"/>
  <c r="K344" i="59"/>
  <c r="J344" i="59"/>
  <c r="I344" i="59"/>
  <c r="H344" i="59"/>
  <c r="G344" i="59"/>
  <c r="CW334" i="59"/>
  <c r="CV334" i="59"/>
  <c r="CU334" i="59"/>
  <c r="CT334" i="59"/>
  <c r="CS334" i="59"/>
  <c r="CR334" i="59"/>
  <c r="CQ334" i="59"/>
  <c r="CP334" i="59"/>
  <c r="CO334" i="59"/>
  <c r="CN334" i="59"/>
  <c r="CM334" i="59"/>
  <c r="CL334" i="59"/>
  <c r="CK334" i="59"/>
  <c r="CJ334" i="59"/>
  <c r="CI334" i="59"/>
  <c r="CH334" i="59"/>
  <c r="CG334" i="59"/>
  <c r="CF334" i="59"/>
  <c r="CE334" i="59"/>
  <c r="CD334" i="59"/>
  <c r="CC334" i="59"/>
  <c r="CB334" i="59"/>
  <c r="CA334" i="59"/>
  <c r="BZ334" i="59"/>
  <c r="BY334" i="59"/>
  <c r="BX334" i="59"/>
  <c r="BW334" i="59"/>
  <c r="BV334" i="59"/>
  <c r="BU334" i="59"/>
  <c r="BT334" i="59"/>
  <c r="BS334" i="59"/>
  <c r="BR334" i="59"/>
  <c r="BQ334" i="59"/>
  <c r="BP334" i="59"/>
  <c r="BO334" i="59"/>
  <c r="BN334" i="59"/>
  <c r="BM334" i="59"/>
  <c r="BL334" i="59"/>
  <c r="BK334" i="59"/>
  <c r="BJ334" i="59"/>
  <c r="BI334" i="59"/>
  <c r="BH334" i="59"/>
  <c r="BG334" i="59"/>
  <c r="BF334" i="59"/>
  <c r="BE334" i="59"/>
  <c r="BD334" i="59"/>
  <c r="BC334" i="59"/>
  <c r="BB334" i="59"/>
  <c r="BA334" i="59"/>
  <c r="AZ334" i="59"/>
  <c r="AY334" i="59"/>
  <c r="AX334" i="59"/>
  <c r="AW334" i="59"/>
  <c r="AV334" i="59"/>
  <c r="AU334" i="59"/>
  <c r="AT334" i="59"/>
  <c r="AS334" i="59"/>
  <c r="AR334" i="59"/>
  <c r="AQ334" i="59"/>
  <c r="AP334" i="59"/>
  <c r="AO334" i="59"/>
  <c r="AN334" i="59"/>
  <c r="AM334" i="59"/>
  <c r="AL334" i="59"/>
  <c r="AK334" i="59"/>
  <c r="AJ334" i="59"/>
  <c r="AI334" i="59"/>
  <c r="AH334" i="59"/>
  <c r="AG334" i="59"/>
  <c r="AF334" i="59"/>
  <c r="AE334" i="59"/>
  <c r="AD334" i="59"/>
  <c r="AC334" i="59"/>
  <c r="AB334" i="59"/>
  <c r="AA334" i="59"/>
  <c r="Z334" i="59"/>
  <c r="Y334" i="59"/>
  <c r="X334" i="59"/>
  <c r="W334" i="59"/>
  <c r="V334" i="59"/>
  <c r="U334" i="59"/>
  <c r="T334" i="59"/>
  <c r="S334" i="59"/>
  <c r="R334" i="59"/>
  <c r="Q334" i="59"/>
  <c r="P334" i="59"/>
  <c r="O334" i="59"/>
  <c r="N334" i="59"/>
  <c r="M334" i="59"/>
  <c r="L334" i="59"/>
  <c r="K334" i="59"/>
  <c r="J334" i="59"/>
  <c r="I334" i="59"/>
  <c r="H334" i="59"/>
  <c r="G334" i="59"/>
  <c r="CW325" i="59"/>
  <c r="CV325" i="59"/>
  <c r="CU325" i="59"/>
  <c r="CT325" i="59"/>
  <c r="CS325" i="59"/>
  <c r="CR325" i="59"/>
  <c r="CQ325" i="59"/>
  <c r="CP325" i="59"/>
  <c r="CO325" i="59"/>
  <c r="CN325" i="59"/>
  <c r="CM325" i="59"/>
  <c r="CL325" i="59"/>
  <c r="CK325" i="59"/>
  <c r="CJ325" i="59"/>
  <c r="CI325" i="59"/>
  <c r="CH325" i="59"/>
  <c r="CG325" i="59"/>
  <c r="CF325" i="59"/>
  <c r="CE325" i="59"/>
  <c r="CD325" i="59"/>
  <c r="CC325" i="59"/>
  <c r="CB325" i="59"/>
  <c r="CA325" i="59"/>
  <c r="BZ325" i="59"/>
  <c r="BY325" i="59"/>
  <c r="BX325" i="59"/>
  <c r="BW325" i="59"/>
  <c r="BV325" i="59"/>
  <c r="BU325" i="59"/>
  <c r="BT325" i="59"/>
  <c r="BS325" i="59"/>
  <c r="BR325" i="59"/>
  <c r="BQ325" i="59"/>
  <c r="BP325" i="59"/>
  <c r="BO325" i="59"/>
  <c r="BN325" i="59"/>
  <c r="BM325" i="59"/>
  <c r="BL325" i="59"/>
  <c r="BK325" i="59"/>
  <c r="BJ325" i="59"/>
  <c r="BI325" i="59"/>
  <c r="BH325" i="59"/>
  <c r="BG325" i="59"/>
  <c r="BF325" i="59"/>
  <c r="BE325" i="59"/>
  <c r="BD325" i="59"/>
  <c r="BC325" i="59"/>
  <c r="BB325" i="59"/>
  <c r="BA325" i="59"/>
  <c r="AZ325" i="59"/>
  <c r="AY325" i="59"/>
  <c r="AX325" i="59"/>
  <c r="AW325" i="59"/>
  <c r="AV325" i="59"/>
  <c r="AU325" i="59"/>
  <c r="AT325" i="59"/>
  <c r="AS325" i="59"/>
  <c r="AR325" i="59"/>
  <c r="AQ325" i="59"/>
  <c r="AP325" i="59"/>
  <c r="AO325" i="59"/>
  <c r="AN325" i="59"/>
  <c r="AM325" i="59"/>
  <c r="AL325" i="59"/>
  <c r="AK325" i="59"/>
  <c r="AJ325" i="59"/>
  <c r="AI325" i="59"/>
  <c r="AH325" i="59"/>
  <c r="AG325" i="59"/>
  <c r="AF325" i="59"/>
  <c r="AE325" i="59"/>
  <c r="AD325" i="59"/>
  <c r="AC325" i="59"/>
  <c r="AB325" i="59"/>
  <c r="AA325" i="59"/>
  <c r="Z325" i="59"/>
  <c r="Y325" i="59"/>
  <c r="X325" i="59"/>
  <c r="W325" i="59"/>
  <c r="V325" i="59"/>
  <c r="U325" i="59"/>
  <c r="T325" i="59"/>
  <c r="S325" i="59"/>
  <c r="R325" i="59"/>
  <c r="Q325" i="59"/>
  <c r="P325" i="59"/>
  <c r="O325" i="59"/>
  <c r="N325" i="59"/>
  <c r="M325" i="59"/>
  <c r="L325" i="59"/>
  <c r="K325" i="59"/>
  <c r="J325" i="59"/>
  <c r="I325" i="59"/>
  <c r="H325" i="59"/>
  <c r="G325" i="59"/>
  <c r="CW315" i="59"/>
  <c r="CV315" i="59"/>
  <c r="CU315" i="59"/>
  <c r="CT315" i="59"/>
  <c r="CS315" i="59"/>
  <c r="CR315" i="59"/>
  <c r="CQ315" i="59"/>
  <c r="CP315" i="59"/>
  <c r="CO315" i="59"/>
  <c r="CN315" i="59"/>
  <c r="CM315" i="59"/>
  <c r="CL315" i="59"/>
  <c r="CK315" i="59"/>
  <c r="CJ315" i="59"/>
  <c r="CI315" i="59"/>
  <c r="CH315" i="59"/>
  <c r="CG315" i="59"/>
  <c r="CF315" i="59"/>
  <c r="CE315" i="59"/>
  <c r="CD315" i="59"/>
  <c r="CC315" i="59"/>
  <c r="CB315" i="59"/>
  <c r="CA315" i="59"/>
  <c r="BZ315" i="59"/>
  <c r="BY315" i="59"/>
  <c r="BX315" i="59"/>
  <c r="BW315" i="59"/>
  <c r="BV315" i="59"/>
  <c r="BU315" i="59"/>
  <c r="BT315" i="59"/>
  <c r="BS315" i="59"/>
  <c r="BR315" i="59"/>
  <c r="BQ315" i="59"/>
  <c r="BP315" i="59"/>
  <c r="BO315" i="59"/>
  <c r="BN315" i="59"/>
  <c r="BM315" i="59"/>
  <c r="BL315" i="59"/>
  <c r="BK315" i="59"/>
  <c r="BJ315" i="59"/>
  <c r="BI315" i="59"/>
  <c r="BH315" i="59"/>
  <c r="BG315" i="59"/>
  <c r="BF315" i="59"/>
  <c r="BE315" i="59"/>
  <c r="BD315" i="59"/>
  <c r="BC315" i="59"/>
  <c r="BB315" i="59"/>
  <c r="BA315" i="59"/>
  <c r="AZ315" i="59"/>
  <c r="AY315" i="59"/>
  <c r="AX315" i="59"/>
  <c r="AW315" i="59"/>
  <c r="AV315" i="59"/>
  <c r="AU315" i="59"/>
  <c r="AT315" i="59"/>
  <c r="AS315" i="59"/>
  <c r="AR315" i="59"/>
  <c r="AQ315" i="59"/>
  <c r="AP315" i="59"/>
  <c r="AO315" i="59"/>
  <c r="AN315" i="59"/>
  <c r="AM315" i="59"/>
  <c r="AL315" i="59"/>
  <c r="AK315" i="59"/>
  <c r="AJ315" i="59"/>
  <c r="AI315" i="59"/>
  <c r="AH315" i="59"/>
  <c r="AG315" i="59"/>
  <c r="AF315" i="59"/>
  <c r="AE315" i="59"/>
  <c r="AD315" i="59"/>
  <c r="AC315" i="59"/>
  <c r="AB315" i="59"/>
  <c r="AA315" i="59"/>
  <c r="Z315" i="59"/>
  <c r="Y315" i="59"/>
  <c r="X315" i="59"/>
  <c r="W315" i="59"/>
  <c r="V315" i="59"/>
  <c r="U315" i="59"/>
  <c r="T315" i="59"/>
  <c r="S315" i="59"/>
  <c r="R315" i="59"/>
  <c r="Q315" i="59"/>
  <c r="P315" i="59"/>
  <c r="O315" i="59"/>
  <c r="N315" i="59"/>
  <c r="M315" i="59"/>
  <c r="L315" i="59"/>
  <c r="K315" i="59"/>
  <c r="J315" i="59"/>
  <c r="I315" i="59"/>
  <c r="H315" i="59"/>
  <c r="G315" i="59"/>
  <c r="CW306" i="59"/>
  <c r="CV306" i="59"/>
  <c r="CU306" i="59"/>
  <c r="CT306" i="59"/>
  <c r="CS306" i="59"/>
  <c r="CR306" i="59"/>
  <c r="CQ306" i="59"/>
  <c r="CP306" i="59"/>
  <c r="CO306" i="59"/>
  <c r="CN306" i="59"/>
  <c r="CM306" i="59"/>
  <c r="CL306" i="59"/>
  <c r="CK306" i="59"/>
  <c r="CJ306" i="59"/>
  <c r="CI306" i="59"/>
  <c r="CH306" i="59"/>
  <c r="CG306" i="59"/>
  <c r="CF306" i="59"/>
  <c r="CE306" i="59"/>
  <c r="CD306" i="59"/>
  <c r="CC306" i="59"/>
  <c r="CB306" i="59"/>
  <c r="CA306" i="59"/>
  <c r="BZ306" i="59"/>
  <c r="BY306" i="59"/>
  <c r="BX306" i="59"/>
  <c r="BW306" i="59"/>
  <c r="BV306" i="59"/>
  <c r="BU306" i="59"/>
  <c r="BT306" i="59"/>
  <c r="BS306" i="59"/>
  <c r="BR306" i="59"/>
  <c r="BQ306" i="59"/>
  <c r="BP306" i="59"/>
  <c r="BO306" i="59"/>
  <c r="BN306" i="59"/>
  <c r="BM306" i="59"/>
  <c r="BL306" i="59"/>
  <c r="BK306" i="59"/>
  <c r="BJ306" i="59"/>
  <c r="BI306" i="59"/>
  <c r="BH306" i="59"/>
  <c r="BG306" i="59"/>
  <c r="BF306" i="59"/>
  <c r="BE306" i="59"/>
  <c r="BD306" i="59"/>
  <c r="BC306" i="59"/>
  <c r="BB306" i="59"/>
  <c r="BA306" i="59"/>
  <c r="AZ306" i="59"/>
  <c r="AY306" i="59"/>
  <c r="AX306" i="59"/>
  <c r="AW306" i="59"/>
  <c r="AV306" i="59"/>
  <c r="AU306" i="59"/>
  <c r="AT306" i="59"/>
  <c r="AS306" i="59"/>
  <c r="AR306" i="59"/>
  <c r="AQ306" i="59"/>
  <c r="AP306" i="59"/>
  <c r="AO306" i="59"/>
  <c r="AN306" i="59"/>
  <c r="AM306" i="59"/>
  <c r="AL306" i="59"/>
  <c r="AK306" i="59"/>
  <c r="AJ306" i="59"/>
  <c r="AI306" i="59"/>
  <c r="AH306" i="59"/>
  <c r="AG306" i="59"/>
  <c r="AF306" i="59"/>
  <c r="AE306" i="59"/>
  <c r="AD306" i="59"/>
  <c r="AC306" i="59"/>
  <c r="AB306" i="59"/>
  <c r="AA306" i="59"/>
  <c r="Z306" i="59"/>
  <c r="Y306" i="59"/>
  <c r="X306" i="59"/>
  <c r="W306" i="59"/>
  <c r="V306" i="59"/>
  <c r="U306" i="59"/>
  <c r="T306" i="59"/>
  <c r="S306" i="59"/>
  <c r="R306" i="59"/>
  <c r="Q306" i="59"/>
  <c r="P306" i="59"/>
  <c r="O306" i="59"/>
  <c r="N306" i="59"/>
  <c r="M306" i="59"/>
  <c r="L306" i="59"/>
  <c r="K306" i="59"/>
  <c r="J306" i="59"/>
  <c r="I306" i="59"/>
  <c r="H306" i="59"/>
  <c r="G306" i="59"/>
  <c r="CE21" i="5" l="1"/>
  <c r="CD21" i="5"/>
  <c r="CC21" i="5"/>
  <c r="CB21" i="5"/>
  <c r="BS21" i="5"/>
  <c r="BR21" i="5"/>
  <c r="BQ21" i="5"/>
  <c r="BP21" i="5"/>
  <c r="CM21" i="5" l="1"/>
  <c r="CL21" i="5"/>
  <c r="BW21" i="5"/>
  <c r="BV21" i="5"/>
  <c r="CF21" i="5"/>
  <c r="BX21" i="5"/>
  <c r="BY21" i="5"/>
  <c r="CK21" i="5"/>
  <c r="CG21" i="5"/>
  <c r="CI21" i="5"/>
  <c r="CJ21" i="5"/>
  <c r="CH21" i="5"/>
  <c r="BT21" i="5"/>
  <c r="BU21" i="5"/>
  <c r="BZ21" i="5"/>
  <c r="CA21" i="5"/>
  <c r="BV11" i="56" l="1"/>
  <c r="H21" i="5"/>
  <c r="H20" i="5"/>
  <c r="H19" i="5"/>
  <c r="H18" i="5"/>
  <c r="H17" i="5"/>
  <c r="H16" i="5"/>
  <c r="H15" i="5"/>
  <c r="H14" i="5"/>
  <c r="H13" i="5"/>
  <c r="H12" i="5"/>
  <c r="H11" i="5"/>
  <c r="H10" i="5"/>
  <c r="H9" i="5"/>
  <c r="H8" i="5"/>
  <c r="H7" i="5"/>
  <c r="H6" i="5"/>
  <c r="H5" i="5"/>
  <c r="CH4" i="56" l="1"/>
  <c r="CE4" i="56"/>
  <c r="BZ4" i="56"/>
  <c r="CA4" i="56"/>
  <c r="CF4" i="56"/>
  <c r="CG4" i="56"/>
  <c r="BX4" i="56"/>
  <c r="CD4" i="56"/>
  <c r="BY4" i="56"/>
  <c r="CB4" i="56"/>
  <c r="BV4" i="56"/>
  <c r="BR4" i="56"/>
  <c r="BS4" i="56"/>
  <c r="BT4" i="56"/>
  <c r="BU4" i="56"/>
  <c r="CW296" i="59"/>
  <c r="CV296" i="59"/>
  <c r="CU296" i="59"/>
  <c r="CT296" i="59"/>
  <c r="CS296" i="59"/>
  <c r="CR296" i="59"/>
  <c r="CQ296" i="59"/>
  <c r="CP296" i="59"/>
  <c r="CO296" i="59"/>
  <c r="CN296" i="59"/>
  <c r="CM296" i="59"/>
  <c r="CL296" i="59"/>
  <c r="CK296" i="59"/>
  <c r="CJ296" i="59"/>
  <c r="CI296" i="59"/>
  <c r="CH296" i="59"/>
  <c r="CG296" i="59"/>
  <c r="CF296" i="59"/>
  <c r="CE296" i="59"/>
  <c r="CD296" i="59"/>
  <c r="CC296" i="59"/>
  <c r="CB296" i="59"/>
  <c r="CA296" i="59"/>
  <c r="BZ296" i="59"/>
  <c r="BY296" i="59"/>
  <c r="BX296" i="59"/>
  <c r="BW296" i="59"/>
  <c r="BV296" i="59"/>
  <c r="BU296" i="59"/>
  <c r="BT296" i="59"/>
  <c r="BS296" i="59"/>
  <c r="BR296" i="59"/>
  <c r="BQ296" i="59"/>
  <c r="BP296" i="59"/>
  <c r="BO296" i="59"/>
  <c r="BN296" i="59"/>
  <c r="BM296" i="59"/>
  <c r="BL296" i="59"/>
  <c r="BK296" i="59"/>
  <c r="BJ296" i="59"/>
  <c r="BI296" i="59"/>
  <c r="BH296" i="59"/>
  <c r="BG296" i="59"/>
  <c r="BF296" i="59"/>
  <c r="BE296" i="59"/>
  <c r="BD296" i="59"/>
  <c r="BC296" i="59"/>
  <c r="BB296" i="59"/>
  <c r="BA296" i="59"/>
  <c r="AZ296" i="59"/>
  <c r="AY296" i="59"/>
  <c r="AX296" i="59"/>
  <c r="AW296" i="59"/>
  <c r="AV296" i="59"/>
  <c r="AU296" i="59"/>
  <c r="AT296" i="59"/>
  <c r="AS296" i="59"/>
  <c r="AR296" i="59"/>
  <c r="AQ296" i="59"/>
  <c r="AP296" i="59"/>
  <c r="AO296" i="59"/>
  <c r="AN296" i="59"/>
  <c r="AM296" i="59"/>
  <c r="AL296" i="59"/>
  <c r="AK296" i="59"/>
  <c r="AJ296" i="59"/>
  <c r="AI296" i="59"/>
  <c r="AH296" i="59"/>
  <c r="AG296" i="59"/>
  <c r="AF296" i="59"/>
  <c r="AE296" i="59"/>
  <c r="AD296" i="59"/>
  <c r="AC296" i="59"/>
  <c r="AB296" i="59"/>
  <c r="AA296" i="59"/>
  <c r="Z296" i="59"/>
  <c r="Y296" i="59"/>
  <c r="X296" i="59"/>
  <c r="W296" i="59"/>
  <c r="V296" i="59"/>
  <c r="U296" i="59"/>
  <c r="T296" i="59"/>
  <c r="S296" i="59"/>
  <c r="R296" i="59"/>
  <c r="Q296" i="59"/>
  <c r="P296" i="59"/>
  <c r="O296" i="59"/>
  <c r="N296" i="59"/>
  <c r="M296" i="59"/>
  <c r="L296" i="59"/>
  <c r="K296" i="59"/>
  <c r="J296" i="59"/>
  <c r="I296" i="59"/>
  <c r="H296" i="59"/>
  <c r="G296" i="59"/>
  <c r="CW287" i="59"/>
  <c r="CV287" i="59"/>
  <c r="CU287" i="59"/>
  <c r="CT287" i="59"/>
  <c r="CS287" i="59"/>
  <c r="CR287" i="59"/>
  <c r="CQ287" i="59"/>
  <c r="CP287" i="59"/>
  <c r="CO287" i="59"/>
  <c r="CN287" i="59"/>
  <c r="CM287" i="59"/>
  <c r="CL287" i="59"/>
  <c r="CK287" i="59"/>
  <c r="CJ287" i="59"/>
  <c r="CI287" i="59"/>
  <c r="CH287" i="59"/>
  <c r="CG287" i="59"/>
  <c r="CF287" i="59"/>
  <c r="CE287" i="59"/>
  <c r="CD287" i="59"/>
  <c r="CC287" i="59"/>
  <c r="CB287" i="59"/>
  <c r="CA287" i="59"/>
  <c r="BZ287" i="59"/>
  <c r="BY287" i="59"/>
  <c r="BX287" i="59"/>
  <c r="BW287" i="59"/>
  <c r="BV287" i="59"/>
  <c r="BU287" i="59"/>
  <c r="BT287" i="59"/>
  <c r="BS287" i="59"/>
  <c r="BR287" i="59"/>
  <c r="BQ287" i="59"/>
  <c r="BP287" i="59"/>
  <c r="BO287" i="59"/>
  <c r="BN287" i="59"/>
  <c r="BM287" i="59"/>
  <c r="BL287" i="59"/>
  <c r="BK287" i="59"/>
  <c r="BJ287" i="59"/>
  <c r="BI287" i="59"/>
  <c r="BH287" i="59"/>
  <c r="BG287" i="59"/>
  <c r="BF287" i="59"/>
  <c r="BE287" i="59"/>
  <c r="BD287" i="59"/>
  <c r="BC287" i="59"/>
  <c r="BB287" i="59"/>
  <c r="BA287" i="59"/>
  <c r="AZ287" i="59"/>
  <c r="AY287" i="59"/>
  <c r="AX287" i="59"/>
  <c r="AW287" i="59"/>
  <c r="AV287" i="59"/>
  <c r="AU287" i="59"/>
  <c r="AT287" i="59"/>
  <c r="AS287" i="59"/>
  <c r="AR287" i="59"/>
  <c r="AQ287" i="59"/>
  <c r="AP287" i="59"/>
  <c r="AO287" i="59"/>
  <c r="AN287" i="59"/>
  <c r="AM287" i="59"/>
  <c r="AL287" i="59"/>
  <c r="AK287" i="59"/>
  <c r="AJ287" i="59"/>
  <c r="AI287" i="59"/>
  <c r="AH287" i="59"/>
  <c r="AG287" i="59"/>
  <c r="AF287" i="59"/>
  <c r="AE287" i="59"/>
  <c r="AD287" i="59"/>
  <c r="AC287" i="59"/>
  <c r="AB287" i="59"/>
  <c r="AA287" i="59"/>
  <c r="Z287" i="59"/>
  <c r="Y287" i="59"/>
  <c r="X287" i="59"/>
  <c r="W287" i="59"/>
  <c r="V287" i="59"/>
  <c r="U287" i="59"/>
  <c r="T287" i="59"/>
  <c r="S287" i="59"/>
  <c r="R287" i="59"/>
  <c r="Q287" i="59"/>
  <c r="P287" i="59"/>
  <c r="O287" i="59"/>
  <c r="N287" i="59"/>
  <c r="M287" i="59"/>
  <c r="L287" i="59"/>
  <c r="K287" i="59"/>
  <c r="J287" i="59"/>
  <c r="I287" i="59"/>
  <c r="H287" i="59"/>
  <c r="G287" i="59"/>
  <c r="CB7" i="56" l="1"/>
  <c r="CA7" i="56"/>
  <c r="BY7" i="56"/>
  <c r="BX7" i="56"/>
  <c r="BZ7" i="56"/>
  <c r="BW4" i="56"/>
  <c r="BO28" i="56"/>
  <c r="BN28" i="56"/>
  <c r="BM28" i="56"/>
  <c r="BL28" i="56"/>
  <c r="BK28" i="56"/>
  <c r="BO27" i="56"/>
  <c r="BN27" i="56"/>
  <c r="BM27" i="56"/>
  <c r="BL27" i="56"/>
  <c r="BK27" i="56"/>
  <c r="BO26" i="56"/>
  <c r="BN26" i="56"/>
  <c r="BM26" i="56"/>
  <c r="BL26" i="56"/>
  <c r="BK26" i="56"/>
  <c r="BO25" i="56"/>
  <c r="BN25" i="56"/>
  <c r="BM25" i="56"/>
  <c r="BL25" i="56"/>
  <c r="BK25" i="56"/>
  <c r="BO24" i="56"/>
  <c r="BN24" i="56"/>
  <c r="BM24" i="56"/>
  <c r="BL24" i="56"/>
  <c r="BK24" i="56"/>
  <c r="BO23" i="56"/>
  <c r="BN23" i="56"/>
  <c r="BM23" i="56"/>
  <c r="BL23" i="56"/>
  <c r="BK23" i="56"/>
  <c r="BO22" i="56"/>
  <c r="BN22" i="56"/>
  <c r="BM22" i="56"/>
  <c r="BL22" i="56"/>
  <c r="BK22" i="56"/>
  <c r="BO21" i="56"/>
  <c r="BN21" i="56"/>
  <c r="BM21" i="56"/>
  <c r="BL21" i="56"/>
  <c r="BK21" i="56"/>
  <c r="BO20" i="56"/>
  <c r="BN20" i="56"/>
  <c r="BM20" i="56"/>
  <c r="BL20" i="56"/>
  <c r="BK20" i="56"/>
  <c r="BJ28" i="56"/>
  <c r="BJ27" i="56"/>
  <c r="BJ26" i="56"/>
  <c r="BJ25" i="56"/>
  <c r="BJ24" i="56"/>
  <c r="BJ23" i="56"/>
  <c r="BJ22" i="56"/>
  <c r="BJ21" i="56"/>
  <c r="BJ20" i="56"/>
  <c r="BN21" i="5" l="1"/>
  <c r="CQ21" i="5" s="1"/>
  <c r="BJ21" i="5"/>
  <c r="CP21" i="5" s="1"/>
  <c r="BG21" i="5"/>
  <c r="CO21" i="5" s="1"/>
  <c r="BC21" i="5"/>
  <c r="CN21" i="5" s="1"/>
  <c r="AZ21" i="5"/>
  <c r="DD21" i="5"/>
  <c r="B21" i="5" l="1"/>
  <c r="C21" i="5" l="1"/>
  <c r="CW230" i="59" l="1"/>
  <c r="CV230" i="59"/>
  <c r="CU230" i="59"/>
  <c r="CT230" i="59"/>
  <c r="CS230" i="59"/>
  <c r="CR230" i="59"/>
  <c r="CQ230" i="59"/>
  <c r="CP230" i="59"/>
  <c r="CW221" i="59"/>
  <c r="CV221" i="59"/>
  <c r="CU221" i="59"/>
  <c r="CT221" i="59"/>
  <c r="CS221" i="59"/>
  <c r="CR221" i="59"/>
  <c r="CQ221" i="59"/>
  <c r="CP221" i="59"/>
  <c r="CW108" i="59"/>
  <c r="CV108" i="59"/>
  <c r="CU108" i="59"/>
  <c r="CT108" i="59"/>
  <c r="CS108" i="59"/>
  <c r="CR108" i="59"/>
  <c r="CQ108" i="59"/>
  <c r="CP108" i="59"/>
  <c r="CW27" i="59"/>
  <c r="CV27" i="59"/>
  <c r="CU27" i="59"/>
  <c r="CT27" i="59"/>
  <c r="CS27" i="59"/>
  <c r="CR27" i="59"/>
  <c r="CQ27" i="59"/>
  <c r="CP27" i="59"/>
  <c r="CW18" i="59"/>
  <c r="CV18" i="59"/>
  <c r="CU18" i="59"/>
  <c r="CT18" i="59"/>
  <c r="CS18" i="59"/>
  <c r="CR18" i="59"/>
  <c r="CQ18" i="59"/>
  <c r="CP18" i="59"/>
  <c r="CW9" i="59"/>
  <c r="CV9" i="59"/>
  <c r="CU9" i="59"/>
  <c r="CT9" i="59"/>
  <c r="CS9" i="59"/>
  <c r="CR9" i="59"/>
  <c r="CQ9" i="59"/>
  <c r="CP9" i="59"/>
  <c r="CW98" i="59"/>
  <c r="CV98" i="59"/>
  <c r="CU98" i="59"/>
  <c r="CT98" i="59"/>
  <c r="CS98" i="59"/>
  <c r="CR98" i="59"/>
  <c r="CQ98" i="59"/>
  <c r="CP98" i="59"/>
  <c r="CO230" i="59"/>
  <c r="CN230" i="59"/>
  <c r="CM230" i="59"/>
  <c r="CL230" i="59"/>
  <c r="CK230" i="59"/>
  <c r="CJ230" i="59"/>
  <c r="CI230" i="59"/>
  <c r="CO221" i="59"/>
  <c r="CN221" i="59"/>
  <c r="CM221" i="59"/>
  <c r="CL221" i="59"/>
  <c r="CK221" i="59"/>
  <c r="CJ221" i="59"/>
  <c r="CI221" i="59"/>
  <c r="CO108" i="59"/>
  <c r="CN108" i="59"/>
  <c r="CM108" i="59"/>
  <c r="CL108" i="59"/>
  <c r="CK108" i="59"/>
  <c r="CJ108" i="59"/>
  <c r="CI108" i="59"/>
  <c r="CO98" i="59"/>
  <c r="CN98" i="59"/>
  <c r="CM98" i="59"/>
  <c r="CL98" i="59"/>
  <c r="CK98" i="59"/>
  <c r="CJ98" i="59"/>
  <c r="CI98" i="59"/>
  <c r="CO27" i="59"/>
  <c r="CN27" i="59"/>
  <c r="CM27" i="59"/>
  <c r="CL27" i="59"/>
  <c r="CK27" i="59"/>
  <c r="CJ27" i="59"/>
  <c r="CI27" i="59"/>
  <c r="CO18" i="59"/>
  <c r="CN18" i="59"/>
  <c r="CM18" i="59"/>
  <c r="CL18" i="59"/>
  <c r="CK18" i="59"/>
  <c r="CJ18" i="59"/>
  <c r="CI18" i="59"/>
  <c r="CO9" i="59"/>
  <c r="CN9" i="59"/>
  <c r="CM9" i="59"/>
  <c r="CL9" i="59"/>
  <c r="CK9" i="59"/>
  <c r="CJ9" i="59"/>
  <c r="CI9" i="59"/>
  <c r="DD20" i="5" l="1"/>
  <c r="CE20" i="5"/>
  <c r="CD20" i="5"/>
  <c r="CC20" i="5"/>
  <c r="CB20" i="5"/>
  <c r="BS20" i="5"/>
  <c r="BR20" i="5"/>
  <c r="BQ20" i="5"/>
  <c r="BP20" i="5"/>
  <c r="BN20" i="5"/>
  <c r="CQ20" i="5" s="1"/>
  <c r="BJ20" i="5"/>
  <c r="CP20" i="5" s="1"/>
  <c r="BG20" i="5"/>
  <c r="CO20" i="5" s="1"/>
  <c r="BC20" i="5"/>
  <c r="CN20" i="5" s="1"/>
  <c r="AZ20" i="5"/>
  <c r="B20" i="5"/>
  <c r="BP19" i="56" l="1"/>
  <c r="BU20" i="5"/>
  <c r="BN19" i="56"/>
  <c r="BO19" i="56"/>
  <c r="BL19" i="56"/>
  <c r="BM19" i="56"/>
  <c r="BK19" i="56"/>
  <c r="BJ19" i="56"/>
  <c r="C20" i="5"/>
  <c r="CJ20" i="5"/>
  <c r="CK20" i="5"/>
  <c r="CI20" i="5"/>
  <c r="CH20" i="5"/>
  <c r="BX20" i="5"/>
  <c r="BY20" i="5"/>
  <c r="BZ20" i="5"/>
  <c r="BW20" i="5"/>
  <c r="BT20" i="5"/>
  <c r="BV20" i="5"/>
  <c r="CA20" i="5"/>
  <c r="CL20" i="5"/>
  <c r="CM20" i="5"/>
  <c r="CF20" i="5"/>
  <c r="CG20" i="5"/>
  <c r="AL16" i="56" l="1"/>
  <c r="CE19" i="5" l="1"/>
  <c r="CD19" i="5"/>
  <c r="CC19" i="5"/>
  <c r="CB19" i="5"/>
  <c r="BS19" i="5"/>
  <c r="BR19" i="5"/>
  <c r="BQ19" i="5"/>
  <c r="BP19" i="5"/>
  <c r="CE18" i="5"/>
  <c r="CD18" i="5"/>
  <c r="CC18" i="5"/>
  <c r="CB18" i="5"/>
  <c r="BS18" i="5"/>
  <c r="BR18" i="5"/>
  <c r="BQ18" i="5"/>
  <c r="BP18" i="5"/>
  <c r="DD19" i="5"/>
  <c r="DD18" i="5"/>
  <c r="BN19" i="5"/>
  <c r="CQ19" i="5" s="1"/>
  <c r="BN18" i="5"/>
  <c r="CQ18" i="5" s="1"/>
  <c r="BJ19" i="5"/>
  <c r="CP19" i="5" s="1"/>
  <c r="BJ18" i="5"/>
  <c r="CP18" i="5" s="1"/>
  <c r="BG19" i="5"/>
  <c r="CO19" i="5" s="1"/>
  <c r="BG18" i="5"/>
  <c r="CO18" i="5" s="1"/>
  <c r="BC19" i="5"/>
  <c r="CN19" i="5" s="1"/>
  <c r="BC18" i="5"/>
  <c r="AZ19" i="5"/>
  <c r="AZ18" i="5"/>
  <c r="B19" i="5"/>
  <c r="B18" i="5"/>
  <c r="CK18" i="5" l="1"/>
  <c r="CK19" i="5"/>
  <c r="CJ19" i="5"/>
  <c r="CL18" i="5"/>
  <c r="CL19" i="5"/>
  <c r="CI18" i="5"/>
  <c r="CM19" i="5"/>
  <c r="CJ18" i="5"/>
  <c r="BT18" i="5"/>
  <c r="BT19" i="5"/>
  <c r="BU18" i="5"/>
  <c r="BU19" i="5"/>
  <c r="BV18" i="5"/>
  <c r="BW18" i="5"/>
  <c r="BW19" i="5"/>
  <c r="C19" i="5"/>
  <c r="C18" i="5"/>
  <c r="CN18" i="5"/>
  <c r="BV19" i="5"/>
  <c r="BZ19" i="5"/>
  <c r="CA19" i="5"/>
  <c r="CF18" i="5"/>
  <c r="CH18" i="5"/>
  <c r="CG18" i="5"/>
  <c r="BX19" i="5"/>
  <c r="BY19" i="5"/>
  <c r="CM18" i="5"/>
  <c r="CF19" i="5"/>
  <c r="BY18" i="5"/>
  <c r="CG19" i="5"/>
  <c r="BX18" i="5"/>
  <c r="BZ18" i="5"/>
  <c r="CH19" i="5"/>
  <c r="CA18" i="5"/>
  <c r="CI19" i="5"/>
  <c r="DD17" i="5" l="1"/>
  <c r="CE17" i="5"/>
  <c r="CD17" i="5"/>
  <c r="CC17" i="5"/>
  <c r="CB17" i="5"/>
  <c r="BS17" i="5"/>
  <c r="BR17" i="5"/>
  <c r="BQ17" i="5"/>
  <c r="BP17" i="5"/>
  <c r="BN17" i="5"/>
  <c r="CQ17" i="5" s="1"/>
  <c r="BJ17" i="5"/>
  <c r="CP17" i="5" s="1"/>
  <c r="BG17" i="5"/>
  <c r="CO17" i="5" s="1"/>
  <c r="BC17" i="5"/>
  <c r="CN17" i="5" s="1"/>
  <c r="AZ17" i="5"/>
  <c r="B17" i="5"/>
  <c r="CK17" i="5" l="1"/>
  <c r="CM17" i="5"/>
  <c r="BV17" i="5"/>
  <c r="CJ17" i="5"/>
  <c r="CL17" i="5"/>
  <c r="C17" i="5"/>
  <c r="BT17" i="5"/>
  <c r="BW17" i="5"/>
  <c r="CA17" i="5"/>
  <c r="BU17" i="5"/>
  <c r="BX17" i="5"/>
  <c r="BY17" i="5"/>
  <c r="BZ17" i="5"/>
  <c r="CH17" i="5"/>
  <c r="CF17" i="5"/>
  <c r="CG17" i="5"/>
  <c r="CI17" i="5"/>
  <c r="CE16" i="5" l="1"/>
  <c r="CD16" i="5"/>
  <c r="CC16" i="5"/>
  <c r="CB16" i="5"/>
  <c r="BS16" i="5"/>
  <c r="BR16" i="5"/>
  <c r="BQ16" i="5"/>
  <c r="BP16" i="5"/>
  <c r="DD16" i="5"/>
  <c r="BN16" i="5"/>
  <c r="CQ16" i="5" s="1"/>
  <c r="BJ16" i="5"/>
  <c r="CP16" i="5" s="1"/>
  <c r="BG16" i="5"/>
  <c r="CO16" i="5" s="1"/>
  <c r="BC16" i="5"/>
  <c r="CN16" i="5" s="1"/>
  <c r="AZ16" i="5"/>
  <c r="B16" i="5"/>
  <c r="CI16" i="5" l="1"/>
  <c r="CA16" i="5"/>
  <c r="BU16" i="5"/>
  <c r="BZ16" i="5"/>
  <c r="CK16" i="5"/>
  <c r="C16" i="5"/>
  <c r="BY16" i="5"/>
  <c r="CL16" i="5"/>
  <c r="CM16" i="5"/>
  <c r="BT16" i="5"/>
  <c r="BV16" i="5"/>
  <c r="BW16" i="5"/>
  <c r="BX16" i="5"/>
  <c r="CJ16" i="5"/>
  <c r="CF16" i="5"/>
  <c r="CG16" i="5"/>
  <c r="CH16" i="5"/>
  <c r="DD15" i="5"/>
  <c r="CE15" i="5"/>
  <c r="CD15" i="5"/>
  <c r="CC15" i="5"/>
  <c r="CB15" i="5"/>
  <c r="BS15" i="5"/>
  <c r="BR15" i="5"/>
  <c r="BQ15" i="5"/>
  <c r="BP15" i="5"/>
  <c r="BN15" i="5"/>
  <c r="CQ15" i="5" s="1"/>
  <c r="BJ15" i="5"/>
  <c r="CP15" i="5" s="1"/>
  <c r="BG15" i="5"/>
  <c r="CO15" i="5" s="1"/>
  <c r="BC15" i="5"/>
  <c r="CN15" i="5" s="1"/>
  <c r="AZ15" i="5"/>
  <c r="B15" i="5"/>
  <c r="CF15" i="5" l="1"/>
  <c r="CG15" i="5"/>
  <c r="CI15" i="5"/>
  <c r="BV15" i="5"/>
  <c r="BY15" i="5"/>
  <c r="C15" i="5"/>
  <c r="BU15" i="5"/>
  <c r="BX15" i="5"/>
  <c r="CJ15" i="5"/>
  <c r="CK15" i="5"/>
  <c r="BZ15" i="5"/>
  <c r="CA15" i="5"/>
  <c r="BW15" i="5"/>
  <c r="CM15" i="5"/>
  <c r="CH15" i="5"/>
  <c r="CL15" i="5"/>
  <c r="BT15" i="5"/>
  <c r="DD14" i="5" l="1"/>
  <c r="CE14" i="5"/>
  <c r="CD14" i="5"/>
  <c r="CC14" i="5"/>
  <c r="CB14" i="5"/>
  <c r="BS14" i="5"/>
  <c r="BR14" i="5"/>
  <c r="BQ14" i="5"/>
  <c r="BP14" i="5"/>
  <c r="BN14" i="5"/>
  <c r="CQ14" i="5" s="1"/>
  <c r="BJ14" i="5"/>
  <c r="CP14" i="5" s="1"/>
  <c r="BG14" i="5"/>
  <c r="CO14" i="5" s="1"/>
  <c r="BC14" i="5"/>
  <c r="CN14" i="5" s="1"/>
  <c r="AZ14" i="5"/>
  <c r="B14" i="5"/>
  <c r="BW14" i="5" l="1"/>
  <c r="CK14" i="5"/>
  <c r="BX14" i="5"/>
  <c r="BY14" i="5"/>
  <c r="CI14" i="5"/>
  <c r="BV14" i="5"/>
  <c r="CH14" i="5"/>
  <c r="C14" i="5"/>
  <c r="CF14" i="5"/>
  <c r="CJ14" i="5"/>
  <c r="CM14" i="5"/>
  <c r="CL14" i="5"/>
  <c r="CG14" i="5"/>
  <c r="BU14" i="5"/>
  <c r="BT14" i="5"/>
  <c r="BZ14" i="5"/>
  <c r="CA14" i="5"/>
  <c r="CH230" i="59" l="1"/>
  <c r="CG230" i="59"/>
  <c r="CF230" i="59"/>
  <c r="CE230" i="59"/>
  <c r="CD230" i="59"/>
  <c r="CC230" i="59"/>
  <c r="CB230" i="59"/>
  <c r="CA230" i="59"/>
  <c r="BZ230" i="59"/>
  <c r="BY230" i="59"/>
  <c r="BX230" i="59"/>
  <c r="BW230" i="59"/>
  <c r="BV230" i="59"/>
  <c r="BU230" i="59"/>
  <c r="BT230" i="59"/>
  <c r="BS230" i="59"/>
  <c r="BR230" i="59"/>
  <c r="BQ230" i="59"/>
  <c r="BP230" i="59"/>
  <c r="BO230" i="59"/>
  <c r="BN230" i="59"/>
  <c r="BM230" i="59"/>
  <c r="BL230" i="59"/>
  <c r="BK230" i="59"/>
  <c r="BJ230" i="59"/>
  <c r="BI230" i="59"/>
  <c r="BH230" i="59"/>
  <c r="BG230" i="59"/>
  <c r="BF230" i="59"/>
  <c r="BE230" i="59"/>
  <c r="BD230" i="59"/>
  <c r="BC230" i="59"/>
  <c r="BB230" i="59"/>
  <c r="BA230" i="59"/>
  <c r="AZ230" i="59"/>
  <c r="AY230" i="59"/>
  <c r="AX230" i="59"/>
  <c r="AW230" i="59"/>
  <c r="AV230" i="59"/>
  <c r="AU230" i="59"/>
  <c r="AT230" i="59"/>
  <c r="AS230" i="59"/>
  <c r="AR230" i="59"/>
  <c r="AQ230" i="59"/>
  <c r="AP230" i="59"/>
  <c r="AO230" i="59"/>
  <c r="AN230" i="59"/>
  <c r="AM230" i="59"/>
  <c r="AL230" i="59"/>
  <c r="AK230" i="59"/>
  <c r="AJ230" i="59"/>
  <c r="AI230" i="59"/>
  <c r="AH230" i="59"/>
  <c r="AG230" i="59"/>
  <c r="AF230" i="59"/>
  <c r="AE230" i="59"/>
  <c r="AD230" i="59"/>
  <c r="AC230" i="59"/>
  <c r="AB230" i="59"/>
  <c r="AA230" i="59"/>
  <c r="Z230" i="59"/>
  <c r="Y230" i="59"/>
  <c r="X230" i="59"/>
  <c r="W230" i="59"/>
  <c r="V230" i="59"/>
  <c r="U230" i="59"/>
  <c r="T230" i="59"/>
  <c r="S230" i="59"/>
  <c r="R230" i="59"/>
  <c r="Q230" i="59"/>
  <c r="P230" i="59"/>
  <c r="O230" i="59"/>
  <c r="N230" i="59"/>
  <c r="M230" i="59"/>
  <c r="L230" i="59"/>
  <c r="K230" i="59"/>
  <c r="J230" i="59"/>
  <c r="I230" i="59"/>
  <c r="H230" i="59"/>
  <c r="G230" i="59"/>
  <c r="CH221" i="59"/>
  <c r="CG221" i="59"/>
  <c r="CF221" i="59"/>
  <c r="CE221" i="59"/>
  <c r="CD221" i="59"/>
  <c r="CC221" i="59"/>
  <c r="CB221" i="59"/>
  <c r="CA221" i="59"/>
  <c r="BZ221" i="59"/>
  <c r="BY221" i="59"/>
  <c r="BX221" i="59"/>
  <c r="BW221" i="59"/>
  <c r="BV221" i="59"/>
  <c r="BU221" i="59"/>
  <c r="BT221" i="59"/>
  <c r="BS221" i="59"/>
  <c r="BR221" i="59"/>
  <c r="BQ221" i="59"/>
  <c r="BP221" i="59"/>
  <c r="BO221" i="59"/>
  <c r="BN221" i="59"/>
  <c r="BM221" i="59"/>
  <c r="BL221" i="59"/>
  <c r="BK221" i="59"/>
  <c r="BJ221" i="59"/>
  <c r="BI221" i="59"/>
  <c r="BH221" i="59"/>
  <c r="BG221" i="59"/>
  <c r="BF221" i="59"/>
  <c r="BE221" i="59"/>
  <c r="BD221" i="59"/>
  <c r="BC221" i="59"/>
  <c r="BB221" i="59"/>
  <c r="BA221" i="59"/>
  <c r="AZ221" i="59"/>
  <c r="AY221" i="59"/>
  <c r="AX221" i="59"/>
  <c r="AW221" i="59"/>
  <c r="AV221" i="59"/>
  <c r="AU221" i="59"/>
  <c r="AT221" i="59"/>
  <c r="AS221" i="59"/>
  <c r="AR221" i="59"/>
  <c r="AQ221" i="59"/>
  <c r="AP221" i="59"/>
  <c r="AO221" i="59"/>
  <c r="AN221" i="59"/>
  <c r="AM221" i="59"/>
  <c r="AL221" i="59"/>
  <c r="AK221" i="59"/>
  <c r="AJ221" i="59"/>
  <c r="AI221" i="59"/>
  <c r="AH221" i="59"/>
  <c r="AG221" i="59"/>
  <c r="AF221" i="59"/>
  <c r="AE221" i="59"/>
  <c r="AD221" i="59"/>
  <c r="AC221" i="59"/>
  <c r="AB221" i="59"/>
  <c r="AA221" i="59"/>
  <c r="Z221" i="59"/>
  <c r="Y221" i="59"/>
  <c r="X221" i="59"/>
  <c r="W221" i="59"/>
  <c r="V221" i="59"/>
  <c r="U221" i="59"/>
  <c r="T221" i="59"/>
  <c r="S221" i="59"/>
  <c r="R221" i="59"/>
  <c r="Q221" i="59"/>
  <c r="P221" i="59"/>
  <c r="O221" i="59"/>
  <c r="N221" i="59"/>
  <c r="M221" i="59"/>
  <c r="L221" i="59"/>
  <c r="K221" i="59"/>
  <c r="J221" i="59"/>
  <c r="I221" i="59"/>
  <c r="H221" i="59"/>
  <c r="G221" i="59"/>
  <c r="CH98" i="59" l="1"/>
  <c r="CG98" i="59"/>
  <c r="CF98" i="59"/>
  <c r="CE98" i="59"/>
  <c r="CD98" i="59"/>
  <c r="CC98" i="59"/>
  <c r="CB98" i="59"/>
  <c r="CA98" i="59"/>
  <c r="BZ98" i="59"/>
  <c r="BY98" i="59"/>
  <c r="BX98" i="59"/>
  <c r="BW98" i="59"/>
  <c r="BV98" i="59"/>
  <c r="BU98" i="59"/>
  <c r="BT98" i="59"/>
  <c r="BS98" i="59"/>
  <c r="BR98" i="59"/>
  <c r="BQ98" i="59"/>
  <c r="BP98" i="59"/>
  <c r="BO98" i="59"/>
  <c r="BN98" i="59"/>
  <c r="BM98" i="59"/>
  <c r="BL98" i="59"/>
  <c r="BK98" i="59"/>
  <c r="BJ98" i="59"/>
  <c r="BI98" i="59"/>
  <c r="BH98" i="59"/>
  <c r="BG98" i="59"/>
  <c r="BF98" i="59"/>
  <c r="BE98" i="59"/>
  <c r="BD98" i="59"/>
  <c r="BC98" i="59"/>
  <c r="BB98" i="59"/>
  <c r="BA98" i="59"/>
  <c r="AZ98" i="59"/>
  <c r="AY98" i="59"/>
  <c r="AX98" i="59"/>
  <c r="AW98" i="59"/>
  <c r="AV98" i="59"/>
  <c r="AU98" i="59"/>
  <c r="AT98" i="59"/>
  <c r="AS98" i="59"/>
  <c r="AR98" i="59"/>
  <c r="AQ98" i="59"/>
  <c r="AP98" i="59"/>
  <c r="AO98" i="59"/>
  <c r="AN98" i="59"/>
  <c r="AM98" i="59"/>
  <c r="AL98" i="59"/>
  <c r="AK98" i="59"/>
  <c r="AJ98" i="59"/>
  <c r="AI98" i="59"/>
  <c r="AH98" i="59"/>
  <c r="AG98" i="59"/>
  <c r="AF98" i="59"/>
  <c r="AE98" i="59"/>
  <c r="AD98" i="59"/>
  <c r="AC98" i="59"/>
  <c r="AB98" i="59"/>
  <c r="AA98" i="59"/>
  <c r="Z98" i="59"/>
  <c r="Y98" i="59"/>
  <c r="X98" i="59"/>
  <c r="W98" i="59"/>
  <c r="V98" i="59"/>
  <c r="U98" i="59"/>
  <c r="T98" i="59"/>
  <c r="S98" i="59"/>
  <c r="R98" i="59"/>
  <c r="Q98" i="59"/>
  <c r="P98" i="59"/>
  <c r="O98" i="59"/>
  <c r="N98" i="59"/>
  <c r="M98" i="59"/>
  <c r="L98" i="59"/>
  <c r="K98" i="59"/>
  <c r="J98" i="59"/>
  <c r="I98" i="59"/>
  <c r="H98" i="59"/>
  <c r="G98" i="59"/>
  <c r="CH108" i="59"/>
  <c r="CG108" i="59"/>
  <c r="CF108" i="59"/>
  <c r="CE108" i="59"/>
  <c r="CD108" i="59"/>
  <c r="CC108" i="59"/>
  <c r="CB108" i="59"/>
  <c r="CA108" i="59"/>
  <c r="BZ108" i="59"/>
  <c r="BY108" i="59"/>
  <c r="BX108" i="59"/>
  <c r="BW108" i="59"/>
  <c r="BV108" i="59"/>
  <c r="BU108" i="59"/>
  <c r="BT108" i="59"/>
  <c r="BS108" i="59"/>
  <c r="BR108" i="59"/>
  <c r="BQ108" i="59"/>
  <c r="BP108" i="59"/>
  <c r="BO108" i="59"/>
  <c r="BN108" i="59"/>
  <c r="BM108" i="59"/>
  <c r="BL108" i="59"/>
  <c r="BK108" i="59"/>
  <c r="BJ108" i="59"/>
  <c r="BI108" i="59"/>
  <c r="BH108" i="59"/>
  <c r="BG108" i="59"/>
  <c r="BF108" i="59"/>
  <c r="BE108" i="59"/>
  <c r="BD108" i="59"/>
  <c r="BC108" i="59"/>
  <c r="BB108" i="59"/>
  <c r="BA108" i="59"/>
  <c r="AZ108" i="59"/>
  <c r="AY108" i="59"/>
  <c r="AX108" i="59"/>
  <c r="AW108" i="59"/>
  <c r="AV108" i="59"/>
  <c r="AU108" i="59"/>
  <c r="AT108" i="59"/>
  <c r="AS108" i="59"/>
  <c r="AR108" i="59"/>
  <c r="AQ108" i="59"/>
  <c r="AP108" i="59"/>
  <c r="AO108" i="59"/>
  <c r="AN108" i="59"/>
  <c r="AM108" i="59"/>
  <c r="AL108" i="59"/>
  <c r="AK108" i="59"/>
  <c r="AJ108" i="59"/>
  <c r="AI108" i="59"/>
  <c r="AH108" i="59"/>
  <c r="AG108" i="59"/>
  <c r="AF108" i="59"/>
  <c r="AE108" i="59"/>
  <c r="AD108" i="59"/>
  <c r="AC108" i="59"/>
  <c r="AB108" i="59"/>
  <c r="AA108" i="59"/>
  <c r="Z108" i="59"/>
  <c r="Y108" i="59"/>
  <c r="X108" i="59"/>
  <c r="W108" i="59"/>
  <c r="V108" i="59"/>
  <c r="U108" i="59"/>
  <c r="T108" i="59"/>
  <c r="S108" i="59"/>
  <c r="R108" i="59"/>
  <c r="Q108" i="59"/>
  <c r="P108" i="59"/>
  <c r="O108" i="59"/>
  <c r="N108" i="59"/>
  <c r="M108" i="59"/>
  <c r="L108" i="59"/>
  <c r="K108" i="59"/>
  <c r="J108" i="59"/>
  <c r="I108" i="59"/>
  <c r="H108" i="59"/>
  <c r="G108" i="59"/>
  <c r="CH27" i="59" l="1"/>
  <c r="CG27" i="59"/>
  <c r="CF27" i="59"/>
  <c r="CE27" i="59"/>
  <c r="CD27" i="59"/>
  <c r="CC27" i="59"/>
  <c r="CB27" i="59"/>
  <c r="CA27" i="59"/>
  <c r="BZ27" i="59"/>
  <c r="BY27" i="59"/>
  <c r="BX27" i="59"/>
  <c r="BW27" i="59"/>
  <c r="BV27" i="59"/>
  <c r="BU27" i="59"/>
  <c r="BT27" i="59"/>
  <c r="BS27" i="59"/>
  <c r="BR27" i="59"/>
  <c r="BQ27" i="59"/>
  <c r="BP27" i="59"/>
  <c r="BO27" i="59"/>
  <c r="BN27" i="59"/>
  <c r="BM27" i="59"/>
  <c r="BL27" i="59"/>
  <c r="BK27" i="59"/>
  <c r="BJ27" i="59"/>
  <c r="BI27" i="59"/>
  <c r="BH27" i="59"/>
  <c r="BG27" i="59"/>
  <c r="BF27" i="59"/>
  <c r="BE27" i="59"/>
  <c r="BD27" i="59"/>
  <c r="BC27" i="59"/>
  <c r="BB27" i="59"/>
  <c r="BA27" i="59"/>
  <c r="AZ27" i="59"/>
  <c r="AY27" i="59"/>
  <c r="AX27" i="59"/>
  <c r="AW27" i="59"/>
  <c r="AV27" i="59"/>
  <c r="AU27" i="59"/>
  <c r="AT27" i="59"/>
  <c r="AS27" i="59"/>
  <c r="AR27" i="59"/>
  <c r="AQ27" i="59"/>
  <c r="AP27" i="59"/>
  <c r="AO27" i="59"/>
  <c r="AN27" i="59"/>
  <c r="AM27" i="59"/>
  <c r="AL27" i="59"/>
  <c r="AK27" i="59"/>
  <c r="AJ27" i="59"/>
  <c r="AI27" i="59"/>
  <c r="AH27" i="59"/>
  <c r="AG27" i="59"/>
  <c r="AF27" i="59"/>
  <c r="AE27" i="59"/>
  <c r="AD27" i="59"/>
  <c r="AC27" i="59"/>
  <c r="AB27" i="59"/>
  <c r="AA27" i="59"/>
  <c r="Z27" i="59"/>
  <c r="Y27" i="59"/>
  <c r="X27" i="59"/>
  <c r="W27" i="59"/>
  <c r="V27" i="59"/>
  <c r="U27" i="59"/>
  <c r="T27" i="59"/>
  <c r="S27" i="59"/>
  <c r="R27" i="59"/>
  <c r="Q27" i="59"/>
  <c r="P27" i="59"/>
  <c r="O27" i="59"/>
  <c r="N27" i="59"/>
  <c r="M27" i="59"/>
  <c r="L27" i="59"/>
  <c r="K27" i="59"/>
  <c r="J27" i="59"/>
  <c r="I27" i="59"/>
  <c r="H27" i="59"/>
  <c r="G27" i="59"/>
  <c r="CH18" i="59"/>
  <c r="CG18" i="59"/>
  <c r="CF18" i="59"/>
  <c r="CE18" i="59"/>
  <c r="CD18" i="59"/>
  <c r="CC18" i="59"/>
  <c r="CB18" i="59"/>
  <c r="CA18" i="59"/>
  <c r="BZ18" i="59"/>
  <c r="BY18" i="59"/>
  <c r="BX18" i="59"/>
  <c r="BW18" i="59"/>
  <c r="BV18" i="59"/>
  <c r="BU18" i="59"/>
  <c r="BT18" i="59"/>
  <c r="BS18" i="59"/>
  <c r="BR18" i="59"/>
  <c r="BQ18" i="59"/>
  <c r="BP18" i="59"/>
  <c r="BO18" i="59"/>
  <c r="BN18" i="59"/>
  <c r="BM18" i="59"/>
  <c r="BL18" i="59"/>
  <c r="BK18" i="59"/>
  <c r="BJ18" i="59"/>
  <c r="BI18" i="59"/>
  <c r="BH18" i="59"/>
  <c r="BG18" i="59"/>
  <c r="BF18" i="59"/>
  <c r="BE18" i="59"/>
  <c r="BD18" i="59"/>
  <c r="BC18" i="59"/>
  <c r="BB18" i="59"/>
  <c r="BA18" i="59"/>
  <c r="AZ18" i="59"/>
  <c r="AY18" i="59"/>
  <c r="AX18" i="59"/>
  <c r="AW18" i="59"/>
  <c r="AV18" i="59"/>
  <c r="AU18" i="59"/>
  <c r="AT18" i="59"/>
  <c r="AS18" i="59"/>
  <c r="AR18" i="59"/>
  <c r="AQ18" i="59"/>
  <c r="AP18" i="59"/>
  <c r="AO18" i="59"/>
  <c r="AN18" i="59"/>
  <c r="AM18" i="59"/>
  <c r="AL18" i="59"/>
  <c r="AK18" i="59"/>
  <c r="AJ18" i="59"/>
  <c r="AI18" i="59"/>
  <c r="AH18" i="59"/>
  <c r="AG18" i="59"/>
  <c r="AF18" i="59"/>
  <c r="AE18" i="59"/>
  <c r="AD18" i="59"/>
  <c r="AC18" i="59"/>
  <c r="AB18" i="59"/>
  <c r="AA18" i="59"/>
  <c r="Z18" i="59"/>
  <c r="Y18" i="59"/>
  <c r="X18" i="59"/>
  <c r="W18" i="59"/>
  <c r="V18" i="59"/>
  <c r="U18" i="59"/>
  <c r="T18" i="59"/>
  <c r="S18" i="59"/>
  <c r="R18" i="59"/>
  <c r="Q18" i="59"/>
  <c r="P18" i="59"/>
  <c r="O18" i="59"/>
  <c r="N18" i="59"/>
  <c r="M18" i="59"/>
  <c r="L18" i="59"/>
  <c r="K18" i="59"/>
  <c r="J18" i="59"/>
  <c r="I18" i="59"/>
  <c r="CH9" i="59"/>
  <c r="H18" i="59"/>
  <c r="G18" i="59"/>
  <c r="CG9" i="59"/>
  <c r="CF9" i="59"/>
  <c r="CE9" i="59"/>
  <c r="CD9" i="59"/>
  <c r="CC9" i="59"/>
  <c r="CB9" i="59"/>
  <c r="CA9" i="59"/>
  <c r="BZ9" i="59"/>
  <c r="BY9" i="59"/>
  <c r="BX9" i="59"/>
  <c r="BW9" i="59"/>
  <c r="BV9" i="59"/>
  <c r="BU9" i="59"/>
  <c r="BT9" i="59"/>
  <c r="BS9" i="59"/>
  <c r="BR9" i="59"/>
  <c r="BQ9" i="59"/>
  <c r="BP9" i="59"/>
  <c r="BO9" i="59"/>
  <c r="BN9" i="59"/>
  <c r="BM9" i="59"/>
  <c r="BL9" i="59"/>
  <c r="BK9" i="59"/>
  <c r="BJ9" i="59"/>
  <c r="BI9" i="59"/>
  <c r="BH9" i="59"/>
  <c r="BG9" i="59"/>
  <c r="BF9" i="59"/>
  <c r="BE9" i="59"/>
  <c r="BD9" i="59"/>
  <c r="BC9" i="59"/>
  <c r="BB9" i="59"/>
  <c r="BA9" i="59"/>
  <c r="AZ9" i="59"/>
  <c r="AY9" i="59"/>
  <c r="AX9" i="59"/>
  <c r="AW9" i="59"/>
  <c r="AV9" i="59"/>
  <c r="AU9" i="59"/>
  <c r="AT9" i="59"/>
  <c r="AS9" i="59"/>
  <c r="AR9" i="59"/>
  <c r="AQ9" i="59"/>
  <c r="AP9" i="59"/>
  <c r="AO9" i="59"/>
  <c r="AN9" i="59"/>
  <c r="AM9" i="59"/>
  <c r="AL9" i="59"/>
  <c r="AK9" i="59"/>
  <c r="AJ9" i="59"/>
  <c r="AI9" i="59"/>
  <c r="AH9" i="59"/>
  <c r="AG9" i="59"/>
  <c r="AF9" i="59"/>
  <c r="AE9" i="59"/>
  <c r="AD9" i="59"/>
  <c r="AC9" i="59"/>
  <c r="AB9" i="59"/>
  <c r="AA9" i="59"/>
  <c r="Z9" i="59"/>
  <c r="Y9" i="59"/>
  <c r="X9" i="59"/>
  <c r="W9" i="59"/>
  <c r="V9" i="59"/>
  <c r="U9" i="59"/>
  <c r="T9" i="59"/>
  <c r="S9" i="59"/>
  <c r="R9" i="59"/>
  <c r="Q9" i="59"/>
  <c r="P9" i="59"/>
  <c r="O9" i="59"/>
  <c r="N9" i="59"/>
  <c r="M9" i="59"/>
  <c r="L9" i="59"/>
  <c r="K9" i="59"/>
  <c r="J9" i="59"/>
  <c r="I9" i="59"/>
  <c r="H9" i="59"/>
  <c r="G9" i="59"/>
  <c r="A2" i="59"/>
  <c r="C20" i="59" s="1"/>
  <c r="C8" i="59" l="1"/>
  <c r="C10" i="59"/>
  <c r="C22" i="59"/>
  <c r="B22" i="59"/>
  <c r="D8" i="59"/>
  <c r="D22" i="59"/>
  <c r="C9" i="59"/>
  <c r="B14" i="59"/>
  <c r="D29" i="59"/>
  <c r="D9" i="59"/>
  <c r="B16" i="59"/>
  <c r="B19" i="59"/>
  <c r="B20" i="59"/>
  <c r="C11" i="59"/>
  <c r="C16" i="59"/>
  <c r="C19" i="59"/>
  <c r="D47" i="59"/>
  <c r="C42" i="59"/>
  <c r="B37" i="59"/>
  <c r="D28" i="59"/>
  <c r="B27" i="59"/>
  <c r="C44" i="59"/>
  <c r="B39" i="59"/>
  <c r="D33" i="59"/>
  <c r="B32" i="59"/>
  <c r="B12" i="59"/>
  <c r="B44" i="59"/>
  <c r="D38" i="59"/>
  <c r="C33" i="59"/>
  <c r="C47" i="59"/>
  <c r="B41" i="59"/>
  <c r="D34" i="59"/>
  <c r="B47" i="59"/>
  <c r="D40" i="59"/>
  <c r="C34" i="59"/>
  <c r="D46" i="59"/>
  <c r="C40" i="59"/>
  <c r="B34" i="59"/>
  <c r="B25" i="59"/>
  <c r="D11" i="59"/>
  <c r="D24" i="59"/>
  <c r="C46" i="59"/>
  <c r="B40" i="59"/>
  <c r="B33" i="59"/>
  <c r="B46" i="59"/>
  <c r="D39" i="59"/>
  <c r="C24" i="59"/>
  <c r="D21" i="59"/>
  <c r="B11" i="59"/>
  <c r="C18" i="59"/>
  <c r="C14" i="59"/>
  <c r="D19" i="59"/>
  <c r="B18" i="59"/>
  <c r="D45" i="59"/>
  <c r="C39" i="59"/>
  <c r="D32" i="59"/>
  <c r="B24" i="59"/>
  <c r="C21" i="59"/>
  <c r="B21" i="59"/>
  <c r="C45" i="59"/>
  <c r="C38" i="59"/>
  <c r="C32" i="59"/>
  <c r="D18" i="59"/>
  <c r="D14" i="59"/>
  <c r="D23" i="59"/>
  <c r="B45" i="59"/>
  <c r="B38" i="59"/>
  <c r="D31" i="59"/>
  <c r="D44" i="59"/>
  <c r="D37" i="59"/>
  <c r="C31" i="59"/>
  <c r="C23" i="59"/>
  <c r="D43" i="59"/>
  <c r="C37" i="59"/>
  <c r="B31" i="59"/>
  <c r="D30" i="59"/>
  <c r="D42" i="59"/>
  <c r="B36" i="59"/>
  <c r="C29" i="59"/>
  <c r="C27" i="59"/>
  <c r="D16" i="59"/>
  <c r="D10" i="59"/>
  <c r="B9" i="59"/>
  <c r="B42" i="59"/>
  <c r="D35" i="59"/>
  <c r="B29" i="59"/>
  <c r="D20" i="59"/>
  <c r="B8" i="59"/>
  <c r="B30" i="59"/>
  <c r="B35" i="59"/>
  <c r="B17" i="59"/>
  <c r="C30" i="59"/>
  <c r="C35" i="59"/>
  <c r="C17" i="59"/>
  <c r="D17" i="59"/>
  <c r="C25" i="59"/>
  <c r="D25" i="59"/>
  <c r="B28" i="59"/>
  <c r="C36" i="59"/>
  <c r="B26" i="59"/>
  <c r="C28" i="59"/>
  <c r="D36" i="59"/>
  <c r="B10" i="59"/>
  <c r="C26" i="59"/>
  <c r="C41" i="59"/>
  <c r="C12" i="59"/>
  <c r="D12" i="59"/>
  <c r="B23" i="59"/>
  <c r="D26" i="59"/>
  <c r="D41" i="59"/>
  <c r="D27" i="59"/>
  <c r="B43" i="59"/>
  <c r="C43" i="59"/>
  <c r="H50" i="16" l="1"/>
  <c r="CW46" i="5" l="1"/>
  <c r="CW44" i="5"/>
  <c r="CW43" i="5"/>
  <c r="CW45" i="5"/>
  <c r="CW42" i="5"/>
  <c r="CW40" i="5"/>
  <c r="CW36" i="5"/>
  <c r="CW38" i="5"/>
  <c r="CW39" i="5"/>
  <c r="CW41" i="5"/>
  <c r="CW37" i="5"/>
  <c r="CW35" i="5"/>
  <c r="CW34" i="5"/>
  <c r="CW33" i="5"/>
  <c r="CW32" i="5"/>
  <c r="CW31" i="5"/>
  <c r="CW29" i="5"/>
  <c r="CW30" i="5"/>
  <c r="CW27" i="5"/>
  <c r="CW25" i="5"/>
  <c r="CW26" i="5"/>
  <c r="CW28" i="5"/>
  <c r="CW23" i="5"/>
  <c r="CW22" i="5"/>
  <c r="CW24" i="5"/>
  <c r="CW21" i="5"/>
  <c r="CW20" i="5"/>
  <c r="CW19" i="5"/>
  <c r="CW16" i="5"/>
  <c r="CW17" i="5"/>
  <c r="CW15" i="5"/>
  <c r="CW14" i="5"/>
  <c r="CW18" i="5"/>
  <c r="CW8" i="5"/>
  <c r="CW6" i="5"/>
  <c r="CW10" i="5"/>
  <c r="CW12" i="5"/>
  <c r="CW5" i="5"/>
  <c r="CW13" i="5"/>
  <c r="CW7" i="5"/>
  <c r="CW9" i="5"/>
  <c r="CW11" i="5"/>
  <c r="CW2" i="5" l="1"/>
  <c r="BP18" i="56" l="1"/>
  <c r="BO18" i="56"/>
  <c r="BN18" i="56"/>
  <c r="BM18" i="56"/>
  <c r="BL18" i="56"/>
  <c r="BK18" i="56"/>
  <c r="BJ18" i="56"/>
  <c r="Y27" i="56" l="1"/>
  <c r="Y26" i="56"/>
  <c r="W27" i="56"/>
  <c r="W26" i="56"/>
  <c r="BH27" i="56"/>
  <c r="BH26" i="56"/>
  <c r="BF27" i="56"/>
  <c r="BF26" i="56"/>
  <c r="DD13" i="5" l="1"/>
  <c r="CE13" i="5"/>
  <c r="CD13" i="5"/>
  <c r="CC13" i="5"/>
  <c r="CB13" i="5"/>
  <c r="BS13" i="5"/>
  <c r="BR13" i="5"/>
  <c r="BQ13" i="5"/>
  <c r="BP13" i="5"/>
  <c r="BN13" i="5"/>
  <c r="CQ13" i="5" s="1"/>
  <c r="BJ13" i="5"/>
  <c r="CP13" i="5" s="1"/>
  <c r="BG13" i="5"/>
  <c r="CO13" i="5" s="1"/>
  <c r="BC13" i="5"/>
  <c r="CN13" i="5" s="1"/>
  <c r="AZ13" i="5"/>
  <c r="B13" i="5"/>
  <c r="CG13" i="5" l="1"/>
  <c r="CF13" i="5"/>
  <c r="CA13" i="5"/>
  <c r="C13" i="5"/>
  <c r="CI13" i="5"/>
  <c r="CL13" i="5"/>
  <c r="CK13" i="5"/>
  <c r="CM13" i="5"/>
  <c r="CH13" i="5"/>
  <c r="CJ13" i="5"/>
  <c r="BX13" i="5"/>
  <c r="BT13" i="5"/>
  <c r="BY13" i="5"/>
  <c r="BU13" i="5"/>
  <c r="BZ13" i="5"/>
  <c r="BV13" i="5"/>
  <c r="BW13" i="5"/>
  <c r="BN12" i="5" l="1"/>
  <c r="BN11" i="5"/>
  <c r="BN10" i="5"/>
  <c r="BN9" i="5"/>
  <c r="BN8" i="5"/>
  <c r="BN7" i="5"/>
  <c r="BN6" i="5"/>
  <c r="BN5" i="5"/>
  <c r="BJ12" i="5"/>
  <c r="BJ11" i="5"/>
  <c r="BJ10" i="5"/>
  <c r="BJ9" i="5"/>
  <c r="BJ8" i="5"/>
  <c r="BJ7" i="5"/>
  <c r="BJ6" i="5"/>
  <c r="BJ5" i="5"/>
  <c r="BG12" i="5"/>
  <c r="BG11" i="5"/>
  <c r="BG10" i="5"/>
  <c r="BG9" i="5"/>
  <c r="BG8" i="5"/>
  <c r="BG7" i="5"/>
  <c r="BG6" i="5"/>
  <c r="BG5" i="5"/>
  <c r="BC12" i="5"/>
  <c r="BC11" i="5"/>
  <c r="BC10" i="5"/>
  <c r="BC9" i="5"/>
  <c r="BC8" i="5"/>
  <c r="BC7" i="5"/>
  <c r="BC6" i="5"/>
  <c r="BC5" i="5"/>
  <c r="BP7" i="56" l="1"/>
  <c r="BP16" i="56"/>
  <c r="BP17" i="56"/>
  <c r="BP14" i="56"/>
  <c r="BP6" i="56"/>
  <c r="BP9" i="56"/>
  <c r="BP13" i="56"/>
  <c r="BP5" i="56"/>
  <c r="BP12" i="56"/>
  <c r="BP15" i="56"/>
  <c r="BP11" i="56"/>
  <c r="BP10" i="56"/>
  <c r="BP8" i="56"/>
  <c r="BP4" i="56"/>
  <c r="BO16" i="56"/>
  <c r="BM16" i="56"/>
  <c r="BN16" i="56"/>
  <c r="BL16" i="56"/>
  <c r="BK16" i="56"/>
  <c r="BJ17" i="56"/>
  <c r="BK17" i="56"/>
  <c r="BO17" i="56"/>
  <c r="BN17" i="56"/>
  <c r="BM17" i="56"/>
  <c r="BL17" i="56"/>
  <c r="BO14" i="56"/>
  <c r="BN14" i="56"/>
  <c r="BM14" i="56"/>
  <c r="BK14" i="56"/>
  <c r="BL14" i="56"/>
  <c r="BO10" i="56"/>
  <c r="BN10" i="56"/>
  <c r="BM10" i="56"/>
  <c r="BL10" i="56"/>
  <c r="BK10" i="56"/>
  <c r="BL6" i="56"/>
  <c r="BM6" i="56"/>
  <c r="BK6" i="56"/>
  <c r="BO6" i="56"/>
  <c r="BN6" i="56"/>
  <c r="BN12" i="56"/>
  <c r="BM12" i="56"/>
  <c r="BL12" i="56"/>
  <c r="BK12" i="56"/>
  <c r="BO12" i="56"/>
  <c r="BJ15" i="56"/>
  <c r="BO15" i="56"/>
  <c r="BN15" i="56"/>
  <c r="BM15" i="56"/>
  <c r="BL15" i="56"/>
  <c r="BK15" i="56"/>
  <c r="BJ8" i="56"/>
  <c r="BO8" i="56"/>
  <c r="BN8" i="56"/>
  <c r="BM8" i="56"/>
  <c r="BL8" i="56"/>
  <c r="BK8" i="56"/>
  <c r="BJ4" i="56"/>
  <c r="BO4" i="56"/>
  <c r="BL4" i="56"/>
  <c r="BK4" i="56"/>
  <c r="BN4" i="56"/>
  <c r="BM4" i="56"/>
  <c r="BO7" i="56"/>
  <c r="BN7" i="56"/>
  <c r="BM7" i="56"/>
  <c r="BL7" i="56"/>
  <c r="BK7" i="56"/>
  <c r="BO11" i="56"/>
  <c r="BN11" i="56"/>
  <c r="BM11" i="56"/>
  <c r="BL11" i="56"/>
  <c r="BK11" i="56"/>
  <c r="BM9" i="56"/>
  <c r="BL9" i="56"/>
  <c r="BK9" i="56"/>
  <c r="BO9" i="56"/>
  <c r="BN9" i="56"/>
  <c r="BJ13" i="56"/>
  <c r="BK13" i="56"/>
  <c r="BL13" i="56"/>
  <c r="BO13" i="56"/>
  <c r="BN13" i="56"/>
  <c r="BM13" i="56"/>
  <c r="BO5" i="56"/>
  <c r="BN5" i="56"/>
  <c r="BM5" i="56"/>
  <c r="BL5" i="56"/>
  <c r="BK5" i="56"/>
  <c r="BJ10" i="56"/>
  <c r="BJ16" i="56"/>
  <c r="BJ7" i="56"/>
  <c r="BJ14" i="56"/>
  <c r="BJ6" i="56"/>
  <c r="BJ9" i="56"/>
  <c r="BJ12" i="56"/>
  <c r="BJ11" i="56"/>
  <c r="BJ5" i="56"/>
  <c r="DD12" i="5" l="1"/>
  <c r="CE12" i="5"/>
  <c r="CD12" i="5"/>
  <c r="CC12" i="5"/>
  <c r="CB12" i="5"/>
  <c r="BS12" i="5"/>
  <c r="BR12" i="5"/>
  <c r="BQ12" i="5"/>
  <c r="BP12" i="5"/>
  <c r="CQ12" i="5"/>
  <c r="CP12" i="5"/>
  <c r="CO12" i="5"/>
  <c r="CN12" i="5"/>
  <c r="AZ12" i="5"/>
  <c r="B12" i="5"/>
  <c r="B11" i="5"/>
  <c r="BZ12" i="5" l="1"/>
  <c r="C11" i="5"/>
  <c r="BY12" i="5"/>
  <c r="CM12" i="5"/>
  <c r="CK12" i="5"/>
  <c r="C12" i="5"/>
  <c r="BX12" i="5"/>
  <c r="CA12" i="5"/>
  <c r="BW12" i="5"/>
  <c r="CF12" i="5"/>
  <c r="CL12" i="5"/>
  <c r="BT12" i="5"/>
  <c r="CJ12" i="5"/>
  <c r="CG12" i="5"/>
  <c r="CH12" i="5"/>
  <c r="CI12" i="5"/>
  <c r="BU12" i="5"/>
  <c r="BV12" i="5"/>
  <c r="DD11" i="5" l="1"/>
  <c r="CE11" i="5"/>
  <c r="CD11" i="5"/>
  <c r="CC11" i="5"/>
  <c r="CB11" i="5"/>
  <c r="BS11" i="5"/>
  <c r="BR11" i="5"/>
  <c r="BQ11" i="5"/>
  <c r="BP11" i="5"/>
  <c r="CQ11" i="5"/>
  <c r="CP11" i="5"/>
  <c r="CO11" i="5"/>
  <c r="CN11" i="5"/>
  <c r="AZ11" i="5"/>
  <c r="CJ11" i="5" l="1"/>
  <c r="CH11" i="5"/>
  <c r="CA11" i="5"/>
  <c r="CK11" i="5"/>
  <c r="CI11" i="5"/>
  <c r="BT11" i="5"/>
  <c r="BV11" i="5"/>
  <c r="BX11" i="5"/>
  <c r="CL11" i="5"/>
  <c r="BY11" i="5"/>
  <c r="BZ11" i="5"/>
  <c r="BU11" i="5"/>
  <c r="BW11" i="5"/>
  <c r="CM11" i="5"/>
  <c r="CF11" i="5"/>
  <c r="CG11" i="5"/>
  <c r="BG27" i="56" l="1"/>
  <c r="BE27" i="56"/>
  <c r="BG26" i="56"/>
  <c r="BE26" i="56"/>
  <c r="BC27" i="56"/>
  <c r="BB27" i="56"/>
  <c r="BA27" i="56"/>
  <c r="AZ27" i="56"/>
  <c r="AY27" i="56"/>
  <c r="AX27" i="56"/>
  <c r="BC26" i="56"/>
  <c r="BB26" i="56"/>
  <c r="BA26" i="56"/>
  <c r="AZ26" i="56"/>
  <c r="AY26" i="56"/>
  <c r="AX26" i="56"/>
  <c r="X27" i="56"/>
  <c r="V27" i="56"/>
  <c r="X26" i="56"/>
  <c r="V26" i="56"/>
  <c r="T27" i="56"/>
  <c r="S27" i="56"/>
  <c r="R27" i="56"/>
  <c r="Q27" i="56"/>
  <c r="P27" i="56"/>
  <c r="O27" i="56"/>
  <c r="T26" i="56"/>
  <c r="S26" i="56"/>
  <c r="R26" i="56"/>
  <c r="Q26" i="56"/>
  <c r="P26" i="56"/>
  <c r="O26" i="56"/>
  <c r="AW27" i="56" l="1"/>
  <c r="AV27" i="56"/>
  <c r="AU27" i="56"/>
  <c r="AT27" i="56"/>
  <c r="AS27" i="56"/>
  <c r="AW26" i="56"/>
  <c r="AV26" i="56"/>
  <c r="AU26" i="56"/>
  <c r="AT26" i="56"/>
  <c r="AS26" i="56"/>
  <c r="AW25" i="56"/>
  <c r="AV25" i="56"/>
  <c r="AU25" i="56"/>
  <c r="AT25" i="56"/>
  <c r="AS25" i="56"/>
  <c r="AW24" i="56"/>
  <c r="AV24" i="56"/>
  <c r="AU24" i="56"/>
  <c r="AT24" i="56"/>
  <c r="AS24" i="56"/>
  <c r="AW23" i="56"/>
  <c r="AV23" i="56"/>
  <c r="AU23" i="56"/>
  <c r="AT23" i="56"/>
  <c r="AS23" i="56"/>
  <c r="AW22" i="56"/>
  <c r="AV22" i="56"/>
  <c r="AU22" i="56"/>
  <c r="AT22" i="56"/>
  <c r="AS22" i="56"/>
  <c r="AW21" i="56"/>
  <c r="AV21" i="56"/>
  <c r="AU21" i="56"/>
  <c r="AT21" i="56"/>
  <c r="AS21" i="56"/>
  <c r="AW20" i="56"/>
  <c r="AV20" i="56"/>
  <c r="AU20" i="56"/>
  <c r="AT20" i="56"/>
  <c r="AS20" i="56"/>
  <c r="AW19" i="56"/>
  <c r="AV19" i="56"/>
  <c r="AU19" i="56"/>
  <c r="AT19" i="56"/>
  <c r="AS19" i="56"/>
  <c r="AW18" i="56"/>
  <c r="AV18" i="56"/>
  <c r="AU18" i="56"/>
  <c r="AT18" i="56"/>
  <c r="AS18" i="56"/>
  <c r="AW17" i="56"/>
  <c r="AV17" i="56"/>
  <c r="AU17" i="56"/>
  <c r="AT17" i="56"/>
  <c r="AS17" i="56"/>
  <c r="AW16" i="56"/>
  <c r="AV16" i="56"/>
  <c r="AU16" i="56"/>
  <c r="AT16" i="56"/>
  <c r="AS16" i="56"/>
  <c r="AW15" i="56"/>
  <c r="AV15" i="56"/>
  <c r="AU15" i="56"/>
  <c r="AT15" i="56"/>
  <c r="AS15" i="56"/>
  <c r="AW14" i="56"/>
  <c r="AV14" i="56"/>
  <c r="AU14" i="56"/>
  <c r="AT14" i="56"/>
  <c r="AS14" i="56"/>
  <c r="AW13" i="56"/>
  <c r="AV13" i="56"/>
  <c r="AU13" i="56"/>
  <c r="AT13" i="56"/>
  <c r="AS13" i="56"/>
  <c r="AW12" i="56"/>
  <c r="AV12" i="56"/>
  <c r="AU12" i="56"/>
  <c r="AT12" i="56"/>
  <c r="AS12" i="56"/>
  <c r="AW11" i="56"/>
  <c r="AV11" i="56"/>
  <c r="AU11" i="56"/>
  <c r="AT11" i="56"/>
  <c r="AS11" i="56"/>
  <c r="AW10" i="56"/>
  <c r="AV10" i="56"/>
  <c r="AU10" i="56"/>
  <c r="AT10" i="56"/>
  <c r="AS10" i="56"/>
  <c r="AW9" i="56"/>
  <c r="AV9" i="56"/>
  <c r="AU9" i="56"/>
  <c r="AT9" i="56"/>
  <c r="AS9" i="56"/>
  <c r="AW8" i="56"/>
  <c r="AV8" i="56"/>
  <c r="AU8" i="56"/>
  <c r="AT8" i="56"/>
  <c r="AS8" i="56"/>
  <c r="AW7" i="56"/>
  <c r="AV7" i="56"/>
  <c r="AU7" i="56"/>
  <c r="AT7" i="56"/>
  <c r="AS7" i="56"/>
  <c r="AW6" i="56"/>
  <c r="AV6" i="56"/>
  <c r="AU6" i="56"/>
  <c r="AT6" i="56"/>
  <c r="AS6" i="56"/>
  <c r="AW5" i="56"/>
  <c r="AV5" i="56"/>
  <c r="AU5" i="56"/>
  <c r="AT5" i="56"/>
  <c r="AS5" i="56"/>
  <c r="AW4" i="56"/>
  <c r="AV4" i="56"/>
  <c r="AU4" i="56"/>
  <c r="AT4" i="56"/>
  <c r="AS4" i="56"/>
  <c r="N27" i="56"/>
  <c r="M27" i="56"/>
  <c r="L27" i="56"/>
  <c r="K27" i="56"/>
  <c r="N26" i="56"/>
  <c r="M26" i="56"/>
  <c r="L26" i="56"/>
  <c r="K26" i="56"/>
  <c r="N25" i="56"/>
  <c r="M25" i="56"/>
  <c r="L25" i="56"/>
  <c r="K25" i="56"/>
  <c r="N24" i="56"/>
  <c r="M24" i="56"/>
  <c r="L24" i="56"/>
  <c r="K24" i="56"/>
  <c r="N23" i="56"/>
  <c r="M23" i="56"/>
  <c r="L23" i="56"/>
  <c r="K23" i="56"/>
  <c r="N22" i="56"/>
  <c r="M22" i="56"/>
  <c r="L22" i="56"/>
  <c r="K22" i="56"/>
  <c r="N21" i="56"/>
  <c r="M21" i="56"/>
  <c r="L21" i="56"/>
  <c r="K21" i="56"/>
  <c r="N20" i="56"/>
  <c r="M20" i="56"/>
  <c r="L20" i="56"/>
  <c r="K20" i="56"/>
  <c r="N19" i="56"/>
  <c r="M19" i="56"/>
  <c r="L19" i="56"/>
  <c r="K19" i="56"/>
  <c r="N18" i="56"/>
  <c r="M18" i="56"/>
  <c r="L18" i="56"/>
  <c r="K18" i="56"/>
  <c r="N17" i="56"/>
  <c r="M17" i="56"/>
  <c r="L17" i="56"/>
  <c r="K17" i="56"/>
  <c r="N16" i="56"/>
  <c r="M16" i="56"/>
  <c r="L16" i="56"/>
  <c r="K16" i="56"/>
  <c r="J16" i="56"/>
  <c r="N15" i="56"/>
  <c r="M15" i="56"/>
  <c r="L15" i="56"/>
  <c r="K15" i="56"/>
  <c r="N14" i="56"/>
  <c r="M14" i="56"/>
  <c r="L14" i="56"/>
  <c r="K14" i="56"/>
  <c r="N13" i="56"/>
  <c r="M13" i="56"/>
  <c r="L13" i="56"/>
  <c r="K13" i="56"/>
  <c r="N12" i="56"/>
  <c r="M12" i="56"/>
  <c r="L12" i="56"/>
  <c r="K12" i="56"/>
  <c r="N11" i="56"/>
  <c r="M11" i="56"/>
  <c r="L11" i="56"/>
  <c r="K11" i="56"/>
  <c r="N10" i="56"/>
  <c r="M10" i="56"/>
  <c r="L10" i="56"/>
  <c r="K10" i="56"/>
  <c r="N9" i="56"/>
  <c r="M9" i="56"/>
  <c r="L9" i="56"/>
  <c r="K9" i="56"/>
  <c r="N8" i="56"/>
  <c r="M8" i="56"/>
  <c r="L8" i="56"/>
  <c r="K8" i="56"/>
  <c r="N7" i="56"/>
  <c r="M7" i="56"/>
  <c r="L7" i="56"/>
  <c r="K7" i="56"/>
  <c r="N6" i="56"/>
  <c r="M6" i="56"/>
  <c r="L6" i="56"/>
  <c r="K6" i="56"/>
  <c r="N5" i="56"/>
  <c r="M5" i="56"/>
  <c r="L5" i="56"/>
  <c r="K5" i="56"/>
  <c r="N4" i="56"/>
  <c r="M4" i="56"/>
  <c r="L4" i="56"/>
  <c r="K4" i="56"/>
  <c r="J27" i="56"/>
  <c r="J26" i="56"/>
  <c r="J25" i="56"/>
  <c r="J24" i="56"/>
  <c r="J23" i="56"/>
  <c r="J22" i="56"/>
  <c r="J21" i="56"/>
  <c r="J20" i="56"/>
  <c r="J19" i="56"/>
  <c r="J18" i="56"/>
  <c r="J17" i="56"/>
  <c r="J15" i="56"/>
  <c r="J14" i="56"/>
  <c r="J13" i="56"/>
  <c r="J12" i="56"/>
  <c r="J11" i="56"/>
  <c r="J10" i="56"/>
  <c r="J9" i="56"/>
  <c r="J8" i="56"/>
  <c r="J7" i="56"/>
  <c r="J6" i="56"/>
  <c r="J5" i="56"/>
  <c r="J4" i="56"/>
  <c r="AQ27" i="56" l="1"/>
  <c r="AP27" i="56"/>
  <c r="AO27" i="56"/>
  <c r="AN27" i="56"/>
  <c r="AQ26" i="56"/>
  <c r="AP26" i="56"/>
  <c r="AO26" i="56"/>
  <c r="AN26" i="56"/>
  <c r="AQ25" i="56"/>
  <c r="AP25" i="56"/>
  <c r="AO25" i="56"/>
  <c r="AN25" i="56"/>
  <c r="AQ24" i="56"/>
  <c r="AP24" i="56"/>
  <c r="AO24" i="56"/>
  <c r="AN24" i="56"/>
  <c r="AQ23" i="56"/>
  <c r="AP23" i="56"/>
  <c r="AO23" i="56"/>
  <c r="AN23" i="56"/>
  <c r="AQ22" i="56"/>
  <c r="AP22" i="56"/>
  <c r="AO22" i="56"/>
  <c r="AN22" i="56"/>
  <c r="AQ21" i="56"/>
  <c r="AP21" i="56"/>
  <c r="AO21" i="56"/>
  <c r="AN21" i="56"/>
  <c r="AQ20" i="56"/>
  <c r="AP20" i="56"/>
  <c r="AO20" i="56"/>
  <c r="AN20" i="56"/>
  <c r="AQ19" i="56"/>
  <c r="AP19" i="56"/>
  <c r="AO19" i="56"/>
  <c r="AN19" i="56"/>
  <c r="AQ18" i="56"/>
  <c r="AP18" i="56"/>
  <c r="AO18" i="56"/>
  <c r="AN18" i="56"/>
  <c r="AQ17" i="56"/>
  <c r="AP17" i="56"/>
  <c r="AO17" i="56"/>
  <c r="AN17" i="56"/>
  <c r="AQ16" i="56"/>
  <c r="AP16" i="56"/>
  <c r="AO16" i="56"/>
  <c r="AN16" i="56"/>
  <c r="AQ15" i="56"/>
  <c r="AP15" i="56"/>
  <c r="AO15" i="56"/>
  <c r="AN15" i="56"/>
  <c r="AQ14" i="56"/>
  <c r="AP14" i="56"/>
  <c r="AO14" i="56"/>
  <c r="AN14" i="56"/>
  <c r="AQ13" i="56"/>
  <c r="AP13" i="56"/>
  <c r="AO13" i="56"/>
  <c r="AN13" i="56"/>
  <c r="AQ12" i="56"/>
  <c r="AP12" i="56"/>
  <c r="AO12" i="56"/>
  <c r="AN12" i="56"/>
  <c r="AQ11" i="56"/>
  <c r="AP11" i="56"/>
  <c r="AO11" i="56"/>
  <c r="AN11" i="56"/>
  <c r="AQ10" i="56"/>
  <c r="AP10" i="56"/>
  <c r="AO10" i="56"/>
  <c r="AN10" i="56"/>
  <c r="AQ9" i="56"/>
  <c r="AP9" i="56"/>
  <c r="AO9" i="56"/>
  <c r="AN9" i="56"/>
  <c r="AQ8" i="56"/>
  <c r="AP8" i="56"/>
  <c r="AO8" i="56"/>
  <c r="AN8" i="56"/>
  <c r="AQ7" i="56"/>
  <c r="AP7" i="56"/>
  <c r="AO7" i="56"/>
  <c r="AN7" i="56"/>
  <c r="AQ6" i="56"/>
  <c r="AP6" i="56"/>
  <c r="AO6" i="56"/>
  <c r="AN6" i="56"/>
  <c r="AQ5" i="56"/>
  <c r="AP5" i="56"/>
  <c r="AO5" i="56"/>
  <c r="AN5" i="56"/>
  <c r="AQ4" i="56"/>
  <c r="AP4" i="56"/>
  <c r="AO4" i="56"/>
  <c r="AN4" i="56"/>
  <c r="AM27" i="56"/>
  <c r="AM26" i="56"/>
  <c r="AM25" i="56"/>
  <c r="AM24" i="56"/>
  <c r="AM23" i="56"/>
  <c r="AM22" i="56"/>
  <c r="AM21" i="56"/>
  <c r="AM20" i="56"/>
  <c r="AM19" i="56"/>
  <c r="AM18" i="56"/>
  <c r="AM17" i="56"/>
  <c r="AM16" i="56"/>
  <c r="AM15" i="56"/>
  <c r="AM14" i="56"/>
  <c r="AM13" i="56"/>
  <c r="AM12" i="56"/>
  <c r="AM11" i="56"/>
  <c r="AM10" i="56"/>
  <c r="AM9" i="56"/>
  <c r="AM8" i="56"/>
  <c r="AM7" i="56"/>
  <c r="AM6" i="56"/>
  <c r="AM5" i="56"/>
  <c r="AM4" i="56"/>
  <c r="AL15" i="56"/>
  <c r="AL14" i="56"/>
  <c r="AL13" i="56"/>
  <c r="AL12" i="56"/>
  <c r="AL11" i="56"/>
  <c r="AL10" i="56"/>
  <c r="AL9" i="56"/>
  <c r="AL8" i="56"/>
  <c r="AL7" i="56"/>
  <c r="AL6" i="56"/>
  <c r="AL5" i="56"/>
  <c r="AL4" i="56"/>
  <c r="AL27" i="56"/>
  <c r="AL26" i="56"/>
  <c r="AL25" i="56"/>
  <c r="AL24" i="56"/>
  <c r="AL23" i="56"/>
  <c r="AL22" i="56"/>
  <c r="AL21" i="56"/>
  <c r="AL20" i="56"/>
  <c r="AL19" i="56"/>
  <c r="AL18" i="56"/>
  <c r="AL17" i="56"/>
  <c r="I27" i="56"/>
  <c r="I26" i="56"/>
  <c r="I25" i="56"/>
  <c r="I24" i="56"/>
  <c r="I23" i="56"/>
  <c r="I22" i="56"/>
  <c r="I21" i="56"/>
  <c r="I20" i="56"/>
  <c r="I19" i="56"/>
  <c r="I18" i="56"/>
  <c r="I17" i="56"/>
  <c r="H27" i="56"/>
  <c r="H26" i="56"/>
  <c r="H25" i="56"/>
  <c r="H24" i="56"/>
  <c r="H23" i="56"/>
  <c r="H22" i="56"/>
  <c r="H21" i="56"/>
  <c r="H20" i="56"/>
  <c r="H19" i="56"/>
  <c r="H18" i="56"/>
  <c r="H17" i="56"/>
  <c r="G27" i="56"/>
  <c r="G26" i="56"/>
  <c r="G25" i="56"/>
  <c r="G24" i="56"/>
  <c r="G23" i="56"/>
  <c r="G22" i="56"/>
  <c r="G21" i="56"/>
  <c r="G20" i="56"/>
  <c r="G19" i="56"/>
  <c r="G18" i="56"/>
  <c r="G17" i="56"/>
  <c r="F27" i="56"/>
  <c r="F26" i="56"/>
  <c r="F25" i="56"/>
  <c r="F24" i="56"/>
  <c r="F23" i="56"/>
  <c r="F22" i="56"/>
  <c r="F21" i="56"/>
  <c r="F20" i="56"/>
  <c r="F19" i="56"/>
  <c r="F18" i="56"/>
  <c r="F17" i="56"/>
  <c r="I16" i="56"/>
  <c r="H16" i="56"/>
  <c r="G16" i="56"/>
  <c r="F16" i="56"/>
  <c r="E27" i="56"/>
  <c r="E26" i="56"/>
  <c r="E25" i="56"/>
  <c r="E24" i="56"/>
  <c r="E23" i="56"/>
  <c r="E22" i="56"/>
  <c r="E21" i="56"/>
  <c r="E20" i="56"/>
  <c r="E19" i="56"/>
  <c r="E18" i="56"/>
  <c r="E17" i="56"/>
  <c r="E16" i="56"/>
  <c r="D27" i="56"/>
  <c r="D26" i="56"/>
  <c r="D25" i="56"/>
  <c r="D24" i="56"/>
  <c r="D23" i="56"/>
  <c r="D22" i="56"/>
  <c r="D21" i="56"/>
  <c r="D20" i="56"/>
  <c r="D19" i="56"/>
  <c r="D18" i="56"/>
  <c r="D17" i="56"/>
  <c r="D16" i="56"/>
  <c r="I15" i="56"/>
  <c r="I14" i="56"/>
  <c r="I13" i="56"/>
  <c r="I12" i="56"/>
  <c r="I11" i="56"/>
  <c r="I10" i="56"/>
  <c r="I9" i="56"/>
  <c r="I8" i="56"/>
  <c r="I7" i="56"/>
  <c r="I6" i="56"/>
  <c r="I5" i="56"/>
  <c r="I4" i="56"/>
  <c r="H15" i="56"/>
  <c r="H14" i="56"/>
  <c r="H13" i="56"/>
  <c r="H12" i="56"/>
  <c r="H11" i="56"/>
  <c r="H10" i="56"/>
  <c r="H9" i="56"/>
  <c r="H8" i="56"/>
  <c r="H7" i="56"/>
  <c r="H6" i="56"/>
  <c r="H5" i="56"/>
  <c r="H4" i="56"/>
  <c r="G15" i="56"/>
  <c r="G14" i="56"/>
  <c r="G13" i="56"/>
  <c r="G12" i="56"/>
  <c r="G11" i="56"/>
  <c r="G10" i="56"/>
  <c r="G9" i="56"/>
  <c r="G8" i="56"/>
  <c r="G7" i="56"/>
  <c r="G6" i="56"/>
  <c r="G5" i="56"/>
  <c r="G4" i="56"/>
  <c r="F15" i="56"/>
  <c r="F14" i="56"/>
  <c r="F13" i="56"/>
  <c r="F12" i="56"/>
  <c r="F11" i="56"/>
  <c r="F10" i="56"/>
  <c r="F9" i="56"/>
  <c r="F8" i="56"/>
  <c r="F7" i="56"/>
  <c r="F6" i="56"/>
  <c r="F5" i="56"/>
  <c r="F4" i="56"/>
  <c r="E15" i="56"/>
  <c r="E14" i="56"/>
  <c r="E13" i="56"/>
  <c r="E12" i="56"/>
  <c r="E11" i="56"/>
  <c r="E10" i="56"/>
  <c r="E9" i="56"/>
  <c r="E8" i="56"/>
  <c r="E7" i="56"/>
  <c r="E6" i="56"/>
  <c r="E5" i="56"/>
  <c r="AR6" i="56" l="1"/>
  <c r="AR10" i="56"/>
  <c r="AR22" i="56"/>
  <c r="AR7" i="56"/>
  <c r="AR11" i="56"/>
  <c r="AR15" i="56"/>
  <c r="AR12" i="56"/>
  <c r="AR24" i="56"/>
  <c r="AR19" i="56"/>
  <c r="AR23" i="56"/>
  <c r="AR4" i="56"/>
  <c r="AR8" i="56"/>
  <c r="AR16" i="56"/>
  <c r="AR20" i="56"/>
  <c r="AR5" i="56"/>
  <c r="AR9" i="56"/>
  <c r="AR13" i="56"/>
  <c r="AR17" i="56"/>
  <c r="AR21" i="56"/>
  <c r="AR25" i="56"/>
  <c r="AR14" i="56"/>
  <c r="AR18" i="56"/>
  <c r="AR26" i="56"/>
  <c r="AR27" i="56"/>
  <c r="BI26" i="56"/>
  <c r="BD26" i="56"/>
  <c r="BI27" i="56"/>
  <c r="BD27" i="56"/>
  <c r="U26" i="56"/>
  <c r="Z26" i="56"/>
  <c r="U27" i="56"/>
  <c r="Z27" i="56"/>
  <c r="E4" i="56"/>
  <c r="D15" i="56"/>
  <c r="D14" i="56"/>
  <c r="D13" i="56"/>
  <c r="D12" i="56"/>
  <c r="D11" i="56"/>
  <c r="D10" i="56"/>
  <c r="D9" i="56"/>
  <c r="D8" i="56"/>
  <c r="D7" i="56"/>
  <c r="D6" i="56"/>
  <c r="D5" i="56"/>
  <c r="D4" i="56"/>
  <c r="DD10" i="5" l="1"/>
  <c r="CE10" i="5"/>
  <c r="CD10" i="5"/>
  <c r="CC10" i="5"/>
  <c r="CB10" i="5"/>
  <c r="BS10" i="5"/>
  <c r="BR10" i="5"/>
  <c r="BQ10" i="5"/>
  <c r="BP10" i="5"/>
  <c r="CQ10" i="5"/>
  <c r="CP10" i="5"/>
  <c r="CO10" i="5"/>
  <c r="CN10" i="5"/>
  <c r="AZ10" i="5"/>
  <c r="CJ10" i="5" l="1"/>
  <c r="CH10" i="5"/>
  <c r="CI10" i="5"/>
  <c r="CK10" i="5"/>
  <c r="CL10" i="5"/>
  <c r="CM10" i="5"/>
  <c r="CA10" i="5"/>
  <c r="BW10" i="5"/>
  <c r="CF10" i="5"/>
  <c r="CG10" i="5"/>
  <c r="BX10" i="5"/>
  <c r="BT10" i="5"/>
  <c r="BY10" i="5"/>
  <c r="BU10" i="5"/>
  <c r="BZ10" i="5"/>
  <c r="BV10" i="5"/>
  <c r="B10" i="5" l="1"/>
  <c r="C10" i="5" l="1"/>
  <c r="AZ9" i="5" l="1"/>
  <c r="AZ8" i="5"/>
  <c r="DD9" i="5" l="1"/>
  <c r="CE9" i="5"/>
  <c r="CD9" i="5"/>
  <c r="CC9" i="5"/>
  <c r="CB9" i="5"/>
  <c r="BS9" i="5"/>
  <c r="BR9" i="5"/>
  <c r="BQ9" i="5"/>
  <c r="BP9" i="5"/>
  <c r="CQ9" i="5"/>
  <c r="CP9" i="5"/>
  <c r="CO9" i="5"/>
  <c r="CN9" i="5"/>
  <c r="B9" i="5"/>
  <c r="C9" i="5" l="1"/>
  <c r="BX9" i="5"/>
  <c r="BZ9" i="5"/>
  <c r="CM9" i="5"/>
  <c r="CA9" i="5"/>
  <c r="BY9" i="5"/>
  <c r="BV9" i="5"/>
  <c r="CK9" i="5"/>
  <c r="CJ9" i="5"/>
  <c r="CL9" i="5"/>
  <c r="CF9" i="5"/>
  <c r="CG9" i="5"/>
  <c r="CH9" i="5"/>
  <c r="CI9" i="5"/>
  <c r="BT9" i="5"/>
  <c r="BU9" i="5"/>
  <c r="BW9" i="5"/>
  <c r="DD8" i="5" l="1"/>
  <c r="CE8" i="5"/>
  <c r="CD8" i="5"/>
  <c r="CC8" i="5"/>
  <c r="CB8" i="5"/>
  <c r="BS8" i="5"/>
  <c r="BR8" i="5"/>
  <c r="BQ8" i="5"/>
  <c r="BP8" i="5"/>
  <c r="CQ8" i="5"/>
  <c r="CP8" i="5"/>
  <c r="CO8" i="5"/>
  <c r="CN8" i="5"/>
  <c r="B8" i="5"/>
  <c r="CJ8" i="5" l="1"/>
  <c r="C8" i="5"/>
  <c r="BT8" i="5"/>
  <c r="BU8" i="5"/>
  <c r="CG8" i="5"/>
  <c r="CI8" i="5"/>
  <c r="CF8" i="5"/>
  <c r="CK8" i="5"/>
  <c r="CH8" i="5"/>
  <c r="CL8" i="5"/>
  <c r="CM8" i="5"/>
  <c r="BX8" i="5"/>
  <c r="BZ8" i="5"/>
  <c r="CA8" i="5"/>
  <c r="BW8" i="5"/>
  <c r="BY8" i="5"/>
  <c r="BV8" i="5"/>
  <c r="CE7" i="5" l="1"/>
  <c r="CE6" i="5"/>
  <c r="CE5" i="5"/>
  <c r="CD7" i="5"/>
  <c r="CD6" i="5"/>
  <c r="CD5" i="5"/>
  <c r="CC7" i="5"/>
  <c r="CC6" i="5"/>
  <c r="CC5" i="5"/>
  <c r="CB7" i="5"/>
  <c r="CB6" i="5"/>
  <c r="CB5" i="5"/>
  <c r="BS7" i="5"/>
  <c r="BS6" i="5"/>
  <c r="BS5" i="5"/>
  <c r="BR7" i="5"/>
  <c r="BR6" i="5"/>
  <c r="BR5" i="5"/>
  <c r="BQ7" i="5"/>
  <c r="BQ6" i="5"/>
  <c r="BQ5" i="5"/>
  <c r="BP7" i="5"/>
  <c r="BP6" i="5"/>
  <c r="BP5" i="5"/>
  <c r="CQ7" i="5"/>
  <c r="CQ6" i="5"/>
  <c r="CQ5" i="5"/>
  <c r="CP7" i="5"/>
  <c r="CP6" i="5"/>
  <c r="CP5" i="5"/>
  <c r="CO7" i="5"/>
  <c r="CO6" i="5"/>
  <c r="CO5" i="5"/>
  <c r="CN7" i="5"/>
  <c r="CN6" i="5"/>
  <c r="CN5" i="5"/>
  <c r="BY6" i="5" l="1"/>
  <c r="BZ6" i="5"/>
  <c r="BZ7" i="5"/>
  <c r="BX6" i="5"/>
  <c r="BX5" i="5"/>
  <c r="BX7" i="5"/>
  <c r="BY5" i="5"/>
  <c r="BY7" i="5"/>
  <c r="BZ5" i="5"/>
  <c r="CA5" i="5"/>
  <c r="BW5" i="5"/>
  <c r="CM6" i="5"/>
  <c r="CI6" i="5"/>
  <c r="CJ5" i="5"/>
  <c r="CF5" i="5"/>
  <c r="CA7" i="5"/>
  <c r="BW7" i="5"/>
  <c r="CA6" i="5"/>
  <c r="BW6" i="5"/>
  <c r="CJ7" i="5"/>
  <c r="CF7" i="5"/>
  <c r="CK5" i="5"/>
  <c r="CG5" i="5"/>
  <c r="CJ6" i="5"/>
  <c r="CF6" i="5"/>
  <c r="CK7" i="5"/>
  <c r="CG7" i="5"/>
  <c r="CH5" i="5"/>
  <c r="CL5" i="5"/>
  <c r="CK6" i="5"/>
  <c r="CG6" i="5"/>
  <c r="CL7" i="5"/>
  <c r="CH7" i="5"/>
  <c r="CL6" i="5"/>
  <c r="CH6" i="5"/>
  <c r="CM7" i="5"/>
  <c r="CI7" i="5"/>
  <c r="CI5" i="5"/>
  <c r="CM5" i="5"/>
  <c r="BV7" i="5"/>
  <c r="BV6" i="5"/>
  <c r="BT5" i="5"/>
  <c r="BT7" i="5"/>
  <c r="BU5" i="5"/>
  <c r="BV5" i="5"/>
  <c r="BU6" i="5"/>
  <c r="BT6" i="5"/>
  <c r="BU7" i="5"/>
  <c r="DD7" i="5" l="1"/>
  <c r="B7" i="5"/>
  <c r="C7" i="5" l="1"/>
  <c r="B6" i="5" l="1"/>
  <c r="C6" i="5" l="1"/>
  <c r="DD6" i="5"/>
  <c r="B5" i="5" l="1"/>
  <c r="C5" i="5" l="1"/>
  <c r="AL81" i="56" l="1"/>
  <c r="AL69" i="56"/>
  <c r="AL50" i="56"/>
  <c r="AM75" i="56"/>
  <c r="AP59" i="56"/>
  <c r="AM78" i="56"/>
  <c r="AQ60" i="56"/>
  <c r="AO53" i="56"/>
  <c r="AP36" i="56"/>
  <c r="AP82" i="56"/>
  <c r="AL45" i="56"/>
  <c r="AQ46" i="56"/>
  <c r="AL70" i="56"/>
  <c r="AM57" i="56"/>
  <c r="AO38" i="56"/>
  <c r="AM35" i="56"/>
  <c r="AO39" i="56"/>
  <c r="AQ59" i="56"/>
  <c r="AL31" i="56"/>
  <c r="AN60" i="56"/>
  <c r="AM82" i="56"/>
  <c r="AM56" i="56"/>
  <c r="AO48" i="56"/>
  <c r="AO73" i="56"/>
  <c r="AP67" i="56"/>
  <c r="AN58" i="56"/>
  <c r="AL30" i="56"/>
  <c r="AO40" i="56"/>
  <c r="AP64" i="56"/>
  <c r="AO41" i="56"/>
  <c r="AP34" i="56"/>
  <c r="AP80" i="56"/>
  <c r="AL80" i="56"/>
  <c r="AL82" i="56"/>
  <c r="AL64" i="56"/>
  <c r="AN64" i="56"/>
  <c r="AO47" i="56"/>
  <c r="AM40" i="56"/>
  <c r="AL68" i="56"/>
  <c r="AO80" i="56"/>
  <c r="AP68" i="56"/>
  <c r="AQ75" i="56"/>
  <c r="AN43" i="56"/>
  <c r="AQ36" i="56"/>
  <c r="AM49" i="56"/>
  <c r="AN53" i="56"/>
  <c r="AX70" i="56"/>
  <c r="AQ61" i="56"/>
  <c r="AN77" i="56"/>
  <c r="AL38" i="56"/>
  <c r="AM71" i="56"/>
  <c r="AM68" i="56"/>
  <c r="AL33" i="56"/>
  <c r="AQ45" i="56"/>
  <c r="AM41" i="56"/>
  <c r="AO62" i="56"/>
  <c r="AM47" i="56"/>
  <c r="AL46" i="56"/>
  <c r="AX72" i="56"/>
  <c r="BD78" i="56"/>
  <c r="AO72" i="56"/>
  <c r="AZ78" i="56"/>
  <c r="AM60" i="56"/>
  <c r="BC81" i="56"/>
  <c r="BC71" i="56"/>
  <c r="AP48" i="56"/>
  <c r="AN44" i="56"/>
  <c r="BD72" i="56"/>
  <c r="AX79" i="56"/>
  <c r="AN34" i="56"/>
  <c r="AQ30" i="56"/>
  <c r="AN45" i="56"/>
  <c r="AL47" i="56"/>
  <c r="AP70" i="56"/>
  <c r="AM76" i="56"/>
  <c r="AN62" i="56"/>
  <c r="AN69" i="56"/>
  <c r="AM64" i="56"/>
  <c r="AQ78" i="56"/>
  <c r="AL65" i="56"/>
  <c r="AL66" i="56"/>
  <c r="AX80" i="56"/>
  <c r="AO54" i="56"/>
  <c r="AQ76" i="56"/>
  <c r="AN46" i="56"/>
  <c r="AM32" i="56"/>
  <c r="AZ76" i="56"/>
  <c r="AM77" i="56"/>
  <c r="AP33" i="56"/>
  <c r="AP35" i="56"/>
  <c r="AM51" i="56"/>
  <c r="AM38" i="56"/>
  <c r="AX81" i="56"/>
  <c r="AP73" i="56"/>
  <c r="AM74" i="56"/>
  <c r="AO60" i="56"/>
  <c r="AN41" i="56"/>
  <c r="AQ62" i="56"/>
  <c r="AY72" i="56"/>
  <c r="AL37" i="56"/>
  <c r="AO71" i="56"/>
  <c r="AQ82" i="56"/>
  <c r="AR82" i="56" s="1"/>
  <c r="BA81" i="56"/>
  <c r="AL44" i="56"/>
  <c r="AQ63" i="56"/>
  <c r="AM39" i="56"/>
  <c r="AM61" i="56"/>
  <c r="AM46" i="56"/>
  <c r="AY75" i="56"/>
  <c r="AL63" i="56"/>
  <c r="AL32" i="56"/>
  <c r="AM58" i="56"/>
  <c r="AN30" i="56"/>
  <c r="AL56" i="56"/>
  <c r="AN42" i="56"/>
  <c r="AM67" i="56"/>
  <c r="AY79" i="56"/>
  <c r="AP40" i="56"/>
  <c r="AP57" i="56"/>
  <c r="AM80" i="56"/>
  <c r="AN67" i="56"/>
  <c r="AO55" i="56"/>
  <c r="AN76" i="56"/>
  <c r="AL39" i="56"/>
  <c r="AN78" i="56"/>
  <c r="AO74" i="56"/>
  <c r="AL34" i="56"/>
  <c r="AO78" i="56"/>
  <c r="AN59" i="56"/>
  <c r="BB81" i="56"/>
  <c r="AL36" i="56"/>
  <c r="AL78" i="56"/>
  <c r="AN37" i="56"/>
  <c r="AQ77" i="56"/>
  <c r="AL40" i="56"/>
  <c r="AL60" i="56"/>
  <c r="AM31" i="56"/>
  <c r="AP52" i="56"/>
  <c r="AQ33" i="56"/>
  <c r="BA79" i="56"/>
  <c r="AO76" i="56"/>
  <c r="AP56" i="56"/>
  <c r="AZ70" i="56"/>
  <c r="AO63" i="56"/>
  <c r="AX78" i="56"/>
  <c r="AN38" i="56"/>
  <c r="AN39" i="56"/>
  <c r="AN40" i="56"/>
  <c r="AN57" i="56"/>
  <c r="AL49" i="56"/>
  <c r="AM81" i="56"/>
  <c r="AQ47" i="56"/>
  <c r="AL35" i="56"/>
  <c r="AL55" i="56"/>
  <c r="AM44" i="56"/>
  <c r="AN75" i="56"/>
  <c r="AM48" i="56"/>
  <c r="AL61" i="56"/>
  <c r="AM50" i="56"/>
  <c r="AQ44" i="56"/>
  <c r="AL41" i="56"/>
  <c r="AY76" i="56"/>
  <c r="AQ49" i="56"/>
  <c r="BB82" i="56"/>
  <c r="AP39" i="56"/>
  <c r="AP72" i="56"/>
  <c r="BA73" i="56"/>
  <c r="AO79" i="56"/>
  <c r="AN54" i="56"/>
  <c r="AN55" i="56"/>
  <c r="AN56" i="56"/>
  <c r="AN73" i="56"/>
  <c r="AM33" i="56"/>
  <c r="AM59" i="56"/>
  <c r="AP66" i="56"/>
  <c r="BB78" i="56"/>
  <c r="BC78" i="56"/>
  <c r="AL54" i="56"/>
  <c r="AL77" i="56"/>
  <c r="AM63" i="56"/>
  <c r="AO56" i="56"/>
  <c r="AO64" i="56"/>
  <c r="AM65" i="56"/>
  <c r="AM72" i="56"/>
  <c r="AL73" i="56"/>
  <c r="BC75" i="56"/>
  <c r="AQ81" i="56"/>
  <c r="AP55" i="56"/>
  <c r="AY70" i="56"/>
  <c r="AQ35" i="56"/>
  <c r="BB76" i="56"/>
  <c r="AP42" i="56"/>
  <c r="AN70" i="56"/>
  <c r="AN71" i="56"/>
  <c r="AN72" i="56"/>
  <c r="AO36" i="56"/>
  <c r="AP32" i="56"/>
  <c r="AL71" i="56"/>
  <c r="AL53" i="56"/>
  <c r="AL76" i="56"/>
  <c r="AM43" i="56"/>
  <c r="AN35" i="56"/>
  <c r="AP41" i="56"/>
  <c r="AZ72" i="56"/>
  <c r="AP49" i="56"/>
  <c r="AZ75" i="56"/>
  <c r="AL62" i="56"/>
  <c r="AO32" i="56"/>
  <c r="AM52" i="56"/>
  <c r="AL42" i="56"/>
  <c r="AZ82" i="56"/>
  <c r="BD73" i="56"/>
  <c r="AP71" i="56"/>
  <c r="AZ73" i="56"/>
  <c r="AQ51" i="56"/>
  <c r="BC79" i="56"/>
  <c r="BA70" i="56"/>
  <c r="AP58" i="56"/>
  <c r="BB70" i="56"/>
  <c r="AO33" i="56"/>
  <c r="AO34" i="56"/>
  <c r="AO35" i="56"/>
  <c r="AO52" i="56"/>
  <c r="AM34" i="56"/>
  <c r="AL67" i="56"/>
  <c r="AN61" i="56"/>
  <c r="AL72" i="56"/>
  <c r="AM42" i="56"/>
  <c r="AM62" i="56"/>
  <c r="AN74" i="56"/>
  <c r="AP81" i="56"/>
  <c r="AQ31" i="56"/>
  <c r="AM66" i="56"/>
  <c r="AO70" i="56"/>
  <c r="AN31" i="56"/>
  <c r="AL74" i="56"/>
  <c r="BD71" i="56"/>
  <c r="BC72" i="56"/>
  <c r="AX73" i="56"/>
  <c r="AL43" i="56"/>
  <c r="AQ34" i="56"/>
  <c r="AR34" i="56" s="1"/>
  <c r="BA76" i="56"/>
  <c r="AQ67" i="56"/>
  <c r="AR67" i="56" s="1"/>
  <c r="BB73" i="56"/>
  <c r="AP74" i="56"/>
  <c r="BC73" i="56"/>
  <c r="AO49" i="56"/>
  <c r="AO50" i="56"/>
  <c r="AO51" i="56"/>
  <c r="AO68" i="56"/>
  <c r="AP51" i="56"/>
  <c r="BB75" i="56"/>
  <c r="AN63" i="56"/>
  <c r="AM53" i="56"/>
  <c r="AL57" i="56"/>
  <c r="AZ79" i="56"/>
  <c r="AL59" i="56"/>
  <c r="AQ50" i="56"/>
  <c r="BB79" i="56"/>
  <c r="BC76" i="56"/>
  <c r="AQ37" i="56"/>
  <c r="AY77" i="56"/>
  <c r="AO65" i="56"/>
  <c r="AO66" i="56"/>
  <c r="AO67" i="56"/>
  <c r="AP31" i="56"/>
  <c r="AQ43" i="56"/>
  <c r="BD70" i="56"/>
  <c r="AO42" i="56"/>
  <c r="AN32" i="56"/>
  <c r="AM36" i="56"/>
  <c r="BA82" i="56"/>
  <c r="AL75" i="56"/>
  <c r="AQ66" i="56"/>
  <c r="BC82" i="56"/>
  <c r="BD75" i="56"/>
  <c r="AY80" i="56"/>
  <c r="AQ53" i="56"/>
  <c r="AZ80" i="56"/>
  <c r="AO81" i="56"/>
  <c r="AO82" i="56"/>
  <c r="AP30" i="56"/>
  <c r="AR30" i="56" s="1"/>
  <c r="AP47" i="56"/>
  <c r="AX75" i="56"/>
  <c r="AQ68" i="56"/>
  <c r="AR68" i="56" s="1"/>
  <c r="AQ69" i="56"/>
  <c r="AP44" i="56"/>
  <c r="AP45" i="56"/>
  <c r="AP46" i="56"/>
  <c r="AR46" i="56" s="1"/>
  <c r="AP63" i="56"/>
  <c r="AR63" i="56" s="1"/>
  <c r="BB71" i="56"/>
  <c r="AQ79" i="56"/>
  <c r="AP53" i="56"/>
  <c r="AO43" i="56"/>
  <c r="AN47" i="56"/>
  <c r="AL58" i="56"/>
  <c r="AM54" i="56"/>
  <c r="BD74" i="56"/>
  <c r="AP60" i="56"/>
  <c r="AR60" i="56" s="1"/>
  <c r="AY71" i="56"/>
  <c r="AP61" i="56"/>
  <c r="AR61" i="56" s="1"/>
  <c r="AZ71" i="56"/>
  <c r="AP62" i="56"/>
  <c r="BA71" i="56"/>
  <c r="AP79" i="56"/>
  <c r="BC74" i="56"/>
  <c r="AX71" i="56"/>
  <c r="AQ32" i="56"/>
  <c r="AO75" i="56"/>
  <c r="AN79" i="56"/>
  <c r="AM37" i="56"/>
  <c r="AM70" i="56"/>
  <c r="AX74" i="56"/>
  <c r="AN50" i="56"/>
  <c r="BD76" i="56"/>
  <c r="BD77" i="56"/>
  <c r="BC70" i="56"/>
  <c r="AP76" i="56"/>
  <c r="AR76" i="56" s="1"/>
  <c r="AZ74" i="56"/>
  <c r="AP77" i="56"/>
  <c r="BA74" i="56"/>
  <c r="AP78" i="56"/>
  <c r="BB74" i="56"/>
  <c r="AQ42" i="56"/>
  <c r="AY78" i="56"/>
  <c r="AQ64" i="56"/>
  <c r="AR64" i="56" s="1"/>
  <c r="AP54" i="56"/>
  <c r="AO58" i="56"/>
  <c r="AM69" i="56"/>
  <c r="AN33" i="56"/>
  <c r="AN66" i="56"/>
  <c r="AX76" i="56"/>
  <c r="AM73" i="56"/>
  <c r="AX77" i="56"/>
  <c r="AP75" i="56"/>
  <c r="AR75" i="56" s="1"/>
  <c r="AY74" i="56"/>
  <c r="AQ39" i="56"/>
  <c r="BA77" i="56"/>
  <c r="AQ40" i="56"/>
  <c r="BB77" i="56"/>
  <c r="AQ41" i="56"/>
  <c r="BC77" i="56"/>
  <c r="AQ58" i="56"/>
  <c r="AZ81" i="56"/>
  <c r="AQ65" i="56"/>
  <c r="AP37" i="56"/>
  <c r="AN48" i="56"/>
  <c r="AN49" i="56"/>
  <c r="AN82" i="56"/>
  <c r="AN36" i="56"/>
  <c r="AQ38" i="56"/>
  <c r="AZ77" i="56"/>
  <c r="AQ55" i="56"/>
  <c r="BB80" i="56"/>
  <c r="AQ56" i="56"/>
  <c r="BC80" i="56"/>
  <c r="AQ57" i="56"/>
  <c r="AY81" i="56"/>
  <c r="AQ74" i="56"/>
  <c r="AP69" i="56"/>
  <c r="AN80" i="56"/>
  <c r="AN65" i="56"/>
  <c r="AO45" i="56"/>
  <c r="AN52" i="56"/>
  <c r="AQ54" i="56"/>
  <c r="BA80" i="56"/>
  <c r="AQ71" i="56"/>
  <c r="AQ72" i="56"/>
  <c r="AR72" i="56" s="1"/>
  <c r="AQ73" i="56"/>
  <c r="AR73" i="56" s="1"/>
  <c r="AO46" i="56"/>
  <c r="AL52" i="56"/>
  <c r="BA78" i="56"/>
  <c r="AP65" i="56"/>
  <c r="AL79" i="56"/>
  <c r="AO57" i="56"/>
  <c r="AM30" i="56"/>
  <c r="BA75" i="56"/>
  <c r="AO30" i="56"/>
  <c r="AN51" i="56"/>
  <c r="AQ48" i="56"/>
  <c r="AO59" i="56"/>
  <c r="AN81" i="56"/>
  <c r="AO61" i="56"/>
  <c r="AN68" i="56"/>
  <c r="AQ70" i="56"/>
  <c r="AR70" i="56" s="1"/>
  <c r="BD82" i="56"/>
  <c r="AM55" i="56"/>
  <c r="AL48" i="56"/>
  <c r="AM79" i="56"/>
  <c r="AL51" i="56"/>
  <c r="AQ52" i="56"/>
  <c r="AR52" i="56" s="1"/>
  <c r="AY82" i="56"/>
  <c r="AM45" i="56"/>
  <c r="AP43" i="56"/>
  <c r="BA72" i="56"/>
  <c r="AO69" i="56"/>
  <c r="AP50" i="56"/>
  <c r="AO37" i="56"/>
  <c r="BB72" i="56"/>
  <c r="AQ80" i="56"/>
  <c r="AR80" i="56" s="1"/>
  <c r="AP38" i="56"/>
  <c r="AY73" i="56"/>
  <c r="AO44" i="56"/>
  <c r="AO77" i="56"/>
  <c r="AO31" i="56"/>
  <c r="BD79" i="56"/>
  <c r="BD80" i="56"/>
  <c r="BD81" i="56"/>
  <c r="AX82" i="56"/>
  <c r="AR33" i="56"/>
  <c r="AR36" i="56"/>
  <c r="AR59" i="56"/>
  <c r="AR56" i="56" l="1"/>
  <c r="AR40" i="56"/>
  <c r="AR44" i="56"/>
  <c r="AR39" i="56"/>
  <c r="AR57" i="56"/>
  <c r="AR48" i="56"/>
  <c r="AR78" i="56"/>
  <c r="AR45" i="56"/>
  <c r="AR35" i="56"/>
  <c r="AR74" i="56"/>
  <c r="AR50" i="56"/>
  <c r="AR66" i="56"/>
  <c r="AR47" i="56"/>
  <c r="AR77" i="56"/>
  <c r="AR79" i="56"/>
  <c r="AR62" i="56"/>
  <c r="AR81" i="56"/>
  <c r="AR42" i="56"/>
  <c r="AR32" i="56"/>
  <c r="AR51" i="56"/>
  <c r="AR55" i="56"/>
  <c r="AR53" i="56"/>
  <c r="AR31" i="56"/>
  <c r="AR69" i="56"/>
  <c r="AR49" i="56"/>
  <c r="AR43" i="56"/>
  <c r="AR71" i="56"/>
  <c r="AR37" i="56"/>
  <c r="AR58" i="56"/>
  <c r="AR38" i="56"/>
  <c r="AR54" i="56"/>
  <c r="AR65" i="56"/>
  <c r="AR41" i="56"/>
  <c r="DD5" i="5"/>
  <c r="T80" i="16"/>
  <c r="T79" i="16"/>
  <c r="T78" i="16"/>
  <c r="T77" i="16"/>
  <c r="T76" i="16"/>
  <c r="T75" i="16"/>
  <c r="T74" i="16"/>
  <c r="T73" i="16"/>
  <c r="T72" i="16"/>
  <c r="T71" i="16"/>
  <c r="T70" i="16"/>
  <c r="T69" i="16"/>
  <c r="T68" i="16"/>
  <c r="T67" i="16"/>
  <c r="T66" i="16"/>
  <c r="T65" i="16"/>
  <c r="T64" i="16"/>
  <c r="T63" i="16"/>
  <c r="T62" i="16"/>
  <c r="T61" i="16"/>
  <c r="T60" i="16" l="1"/>
  <c r="T59" i="16"/>
  <c r="T58" i="16"/>
  <c r="T57" i="16"/>
  <c r="T56" i="16"/>
  <c r="T55" i="16"/>
  <c r="T54" i="16"/>
  <c r="T53" i="16"/>
  <c r="T52" i="16"/>
  <c r="T51" i="16"/>
  <c r="T50" i="16"/>
  <c r="T49" i="16"/>
  <c r="T48" i="16"/>
  <c r="T47" i="16"/>
  <c r="T46" i="16"/>
  <c r="T45" i="16"/>
  <c r="T44" i="16"/>
  <c r="T43" i="16"/>
  <c r="T42" i="16"/>
  <c r="T41" i="16"/>
  <c r="T40" i="16"/>
  <c r="T39" i="16"/>
  <c r="T38" i="16"/>
  <c r="T37" i="16"/>
  <c r="T36" i="16"/>
  <c r="T35" i="16"/>
  <c r="T34" i="16"/>
  <c r="T33" i="16"/>
  <c r="T32" i="16"/>
  <c r="T31" i="16"/>
  <c r="T30" i="16"/>
  <c r="T29" i="16"/>
  <c r="T28" i="16"/>
  <c r="T27" i="16"/>
  <c r="T26" i="16"/>
  <c r="T25" i="16"/>
  <c r="T24" i="16"/>
  <c r="T23" i="16"/>
  <c r="T22" i="16"/>
  <c r="T21" i="16"/>
  <c r="T20" i="16"/>
  <c r="T19" i="16"/>
  <c r="T18" i="16"/>
  <c r="T17" i="16"/>
  <c r="T16" i="16"/>
  <c r="T15" i="16"/>
  <c r="T14" i="16"/>
  <c r="T13" i="16"/>
  <c r="T12" i="16"/>
  <c r="T11" i="16"/>
  <c r="T10" i="16"/>
  <c r="T9" i="16"/>
  <c r="T8" i="16"/>
  <c r="T7" i="16"/>
  <c r="T6" i="16"/>
  <c r="T5" i="16"/>
  <c r="T4" i="16"/>
  <c r="T3" i="16"/>
  <c r="DG46" i="5" l="1"/>
  <c r="DE46" i="5"/>
  <c r="DG45" i="5"/>
  <c r="DE45" i="5"/>
  <c r="L44" i="5"/>
  <c r="K44" i="5" s="1"/>
  <c r="O44" i="5" s="1"/>
  <c r="P44" i="5" s="1"/>
  <c r="DE44" i="5"/>
  <c r="DG44" i="5"/>
  <c r="DE43" i="5"/>
  <c r="DG43" i="5"/>
  <c r="L43" i="5"/>
  <c r="K43" i="5" s="1"/>
  <c r="O43" i="5" s="1"/>
  <c r="P43" i="5" s="1"/>
  <c r="DG42" i="5"/>
  <c r="DE42" i="5"/>
  <c r="L42" i="5"/>
  <c r="K42" i="5" s="1"/>
  <c r="O42" i="5" s="1"/>
  <c r="P42" i="5" s="1"/>
  <c r="DG41" i="5"/>
  <c r="L41" i="5"/>
  <c r="K41" i="5" s="1"/>
  <c r="O41" i="5" s="1"/>
  <c r="P41" i="5" s="1"/>
  <c r="DE41" i="5"/>
  <c r="DE39" i="5"/>
  <c r="DE40" i="5"/>
  <c r="DG40" i="5"/>
  <c r="DG39" i="5"/>
  <c r="L40" i="5"/>
  <c r="K40" i="5" s="1"/>
  <c r="O40" i="5" s="1"/>
  <c r="P40" i="5" s="1"/>
  <c r="L39" i="5"/>
  <c r="K39" i="5" s="1"/>
  <c r="O39" i="5" s="1"/>
  <c r="P39" i="5" s="1"/>
  <c r="L46" i="5"/>
  <c r="K46" i="5" s="1"/>
  <c r="O46" i="5" s="1"/>
  <c r="P46" i="5" s="1"/>
  <c r="L38" i="5"/>
  <c r="K38" i="5" s="1"/>
  <c r="O38" i="5" s="1"/>
  <c r="P38" i="5" s="1"/>
  <c r="DG38" i="5"/>
  <c r="DE38" i="5"/>
  <c r="DG37" i="5"/>
  <c r="DE37" i="5"/>
  <c r="L37" i="5"/>
  <c r="K37" i="5" s="1"/>
  <c r="O37" i="5" s="1"/>
  <c r="P37" i="5" s="1"/>
  <c r="DG36" i="5"/>
  <c r="DE36" i="5"/>
  <c r="DG35" i="5"/>
  <c r="DE35" i="5"/>
  <c r="DE34" i="5"/>
  <c r="DG33" i="5"/>
  <c r="DG34" i="5"/>
  <c r="DE33" i="5"/>
  <c r="DE32" i="5"/>
  <c r="DG32" i="5"/>
  <c r="DE31" i="5"/>
  <c r="DG31" i="5"/>
  <c r="L45" i="5"/>
  <c r="K45" i="5" s="1"/>
  <c r="O45" i="5" s="1"/>
  <c r="P45" i="5" s="1"/>
  <c r="L35" i="5"/>
  <c r="K35" i="5" s="1"/>
  <c r="O35" i="5" s="1"/>
  <c r="P35" i="5" s="1"/>
  <c r="L30" i="5"/>
  <c r="K30" i="5" s="1"/>
  <c r="O30" i="5" s="1"/>
  <c r="P30" i="5" s="1"/>
  <c r="DE30" i="5"/>
  <c r="DG30" i="5"/>
  <c r="DG29" i="5"/>
  <c r="DE29" i="5"/>
  <c r="L29" i="5"/>
  <c r="K29" i="5" s="1"/>
  <c r="O29" i="5" s="1"/>
  <c r="P29" i="5" s="1"/>
  <c r="DE27" i="5"/>
  <c r="DG27" i="5"/>
  <c r="DG28" i="5"/>
  <c r="DE28" i="5"/>
  <c r="L26" i="5"/>
  <c r="K26" i="5" s="1"/>
  <c r="O26" i="5" s="1"/>
  <c r="P26" i="5" s="1"/>
  <c r="DE26" i="5"/>
  <c r="L25" i="5"/>
  <c r="K25" i="5" s="1"/>
  <c r="O25" i="5" s="1"/>
  <c r="P25" i="5" s="1"/>
  <c r="DG25" i="5"/>
  <c r="DE25" i="5"/>
  <c r="DG26" i="5"/>
  <c r="L24" i="5"/>
  <c r="K24" i="5" s="1"/>
  <c r="O24" i="5" s="1"/>
  <c r="P24" i="5" s="1"/>
  <c r="DG24" i="5"/>
  <c r="DE24" i="5"/>
  <c r="DG23" i="5"/>
  <c r="L23" i="5"/>
  <c r="K23" i="5" s="1"/>
  <c r="O23" i="5" s="1"/>
  <c r="P23" i="5" s="1"/>
  <c r="DE23" i="5"/>
  <c r="DE22" i="5"/>
  <c r="L22" i="5"/>
  <c r="K22" i="5" s="1"/>
  <c r="O22" i="5" s="1"/>
  <c r="P22" i="5" s="1"/>
  <c r="DG22" i="5"/>
  <c r="DG21" i="5"/>
  <c r="DE21" i="5"/>
  <c r="L21" i="5"/>
  <c r="K21" i="5" s="1"/>
  <c r="O21" i="5" s="1"/>
  <c r="P21" i="5" s="1"/>
  <c r="DE20" i="5"/>
  <c r="L34" i="5"/>
  <c r="K34" i="5" s="1"/>
  <c r="O34" i="5" s="1"/>
  <c r="P34" i="5" s="1"/>
  <c r="DG20" i="5"/>
  <c r="L20" i="5"/>
  <c r="DG19" i="5"/>
  <c r="DE19" i="5"/>
  <c r="DE18" i="5"/>
  <c r="DG18" i="5"/>
  <c r="L19" i="5"/>
  <c r="K19" i="5" s="1"/>
  <c r="O19" i="5" s="1"/>
  <c r="P19" i="5" s="1"/>
  <c r="L18" i="5"/>
  <c r="K18" i="5" s="1"/>
  <c r="O18" i="5" s="1"/>
  <c r="P18" i="5" s="1"/>
  <c r="L17" i="5"/>
  <c r="K17" i="5" s="1"/>
  <c r="O17" i="5" s="1"/>
  <c r="P17" i="5" s="1"/>
  <c r="DG17" i="5"/>
  <c r="DE17" i="5"/>
  <c r="L33" i="5"/>
  <c r="K33" i="5" s="1"/>
  <c r="O33" i="5" s="1"/>
  <c r="P33" i="5" s="1"/>
  <c r="DG16" i="5"/>
  <c r="DE16" i="5"/>
  <c r="L16" i="5"/>
  <c r="K16" i="5" s="1"/>
  <c r="O16" i="5" s="1"/>
  <c r="P16" i="5" s="1"/>
  <c r="L15" i="5"/>
  <c r="K15" i="5" s="1"/>
  <c r="O15" i="5" s="1"/>
  <c r="P15" i="5" s="1"/>
  <c r="DG15" i="5"/>
  <c r="DE15" i="5"/>
  <c r="DE14" i="5"/>
  <c r="DG14" i="5"/>
  <c r="DE13" i="5"/>
  <c r="L36" i="5"/>
  <c r="K36" i="5" s="1"/>
  <c r="O36" i="5" s="1"/>
  <c r="P36" i="5" s="1"/>
  <c r="L13" i="5"/>
  <c r="K13" i="5" s="1"/>
  <c r="O13" i="5" s="1"/>
  <c r="P13" i="5" s="1"/>
  <c r="DG13" i="5"/>
  <c r="DE12" i="5"/>
  <c r="L12" i="5"/>
  <c r="K12" i="5" s="1"/>
  <c r="O12" i="5" s="1"/>
  <c r="P12" i="5" s="1"/>
  <c r="DG12" i="5"/>
  <c r="DG11" i="5"/>
  <c r="L11" i="5"/>
  <c r="K11" i="5" s="1"/>
  <c r="O11" i="5" s="1"/>
  <c r="P11" i="5" s="1"/>
  <c r="DE11" i="5"/>
  <c r="DG10" i="5"/>
  <c r="L10" i="5"/>
  <c r="K10" i="5" s="1"/>
  <c r="O10" i="5" s="1"/>
  <c r="P10" i="5" s="1"/>
  <c r="DE10" i="5"/>
  <c r="DE9" i="5"/>
  <c r="L9" i="5"/>
  <c r="K9" i="5" s="1"/>
  <c r="O9" i="5" s="1"/>
  <c r="P9" i="5" s="1"/>
  <c r="DG9" i="5"/>
  <c r="L8" i="5"/>
  <c r="K8" i="5" s="1"/>
  <c r="O8" i="5" s="1"/>
  <c r="P8" i="5" s="1"/>
  <c r="DG8" i="5"/>
  <c r="DE8" i="5"/>
  <c r="DE7" i="5"/>
  <c r="L32" i="5"/>
  <c r="K32" i="5" s="1"/>
  <c r="O32" i="5" s="1"/>
  <c r="P32" i="5" s="1"/>
  <c r="DE6" i="5"/>
  <c r="L28" i="5"/>
  <c r="K28" i="5" s="1"/>
  <c r="O28" i="5" s="1"/>
  <c r="P28" i="5" s="1"/>
  <c r="L31" i="5"/>
  <c r="K31" i="5" s="1"/>
  <c r="O31" i="5" s="1"/>
  <c r="P31" i="5" s="1"/>
  <c r="DE5" i="5"/>
  <c r="L14" i="5"/>
  <c r="K14" i="5" s="1"/>
  <c r="O14" i="5" s="1"/>
  <c r="P14" i="5" s="1"/>
  <c r="L27" i="5"/>
  <c r="K27" i="5" s="1"/>
  <c r="O27" i="5" s="1"/>
  <c r="P27" i="5" s="1"/>
  <c r="L7" i="5"/>
  <c r="K7" i="5" s="1"/>
  <c r="O7" i="5" s="1"/>
  <c r="P7" i="5" s="1"/>
  <c r="DG7" i="5"/>
  <c r="L6" i="5"/>
  <c r="K6" i="5" s="1"/>
  <c r="O6" i="5" s="1"/>
  <c r="P6" i="5" s="1"/>
  <c r="DG6" i="5"/>
  <c r="L5" i="5"/>
  <c r="K5" i="5" s="1"/>
  <c r="O5" i="5" s="1"/>
  <c r="P5" i="5" s="1"/>
  <c r="DG5" i="5"/>
  <c r="BA37" i="56" l="1"/>
  <c r="BB37" i="56"/>
  <c r="BD37" i="56"/>
  <c r="AX37" i="56"/>
  <c r="BC37" i="56"/>
  <c r="AY37" i="56"/>
  <c r="AZ37" i="56"/>
  <c r="BD41" i="56"/>
  <c r="BB41" i="56"/>
  <c r="BA41" i="56"/>
  <c r="AZ41" i="56"/>
  <c r="AX41" i="56"/>
  <c r="AY41" i="56"/>
  <c r="BC41" i="56"/>
  <c r="BC55" i="56"/>
  <c r="BB55" i="56"/>
  <c r="AY55" i="56"/>
  <c r="AX55" i="56"/>
  <c r="AZ55" i="56"/>
  <c r="BA55" i="56"/>
  <c r="BD55" i="56"/>
  <c r="BB62" i="56"/>
  <c r="BA62" i="56"/>
  <c r="AZ62" i="56"/>
  <c r="AY62" i="56"/>
  <c r="BD62" i="56"/>
  <c r="AX62" i="56"/>
  <c r="BC62" i="56"/>
  <c r="AY46" i="56"/>
  <c r="AZ46" i="56"/>
  <c r="BA46" i="56"/>
  <c r="BB46" i="56"/>
  <c r="BC46" i="56"/>
  <c r="BD46" i="56"/>
  <c r="AX46" i="56"/>
  <c r="BB40" i="56"/>
  <c r="BA40" i="56"/>
  <c r="AY40" i="56"/>
  <c r="AX40" i="56"/>
  <c r="BD40" i="56"/>
  <c r="BC40" i="56"/>
  <c r="AZ40" i="56"/>
  <c r="BC42" i="56"/>
  <c r="BD42" i="56"/>
  <c r="AZ42" i="56"/>
  <c r="AX42" i="56"/>
  <c r="AY42" i="56"/>
  <c r="BA42" i="56"/>
  <c r="BB42" i="56"/>
  <c r="BA38" i="56"/>
  <c r="BB38" i="56"/>
  <c r="BD38" i="56"/>
  <c r="AX38" i="56"/>
  <c r="BC38" i="56"/>
  <c r="AY38" i="56"/>
  <c r="AZ38" i="56"/>
  <c r="T18" i="56"/>
  <c r="R18" i="56"/>
  <c r="S18" i="56"/>
  <c r="BC18" i="56"/>
  <c r="BA18" i="56"/>
  <c r="AZ18" i="56"/>
  <c r="AY18" i="56"/>
  <c r="P18" i="56"/>
  <c r="Q18" i="56"/>
  <c r="O18" i="56"/>
  <c r="BB18" i="56"/>
  <c r="AX18" i="56"/>
  <c r="BA24" i="56"/>
  <c r="S24" i="56"/>
  <c r="AZ24" i="56"/>
  <c r="Q24" i="56"/>
  <c r="AY24" i="56"/>
  <c r="R24" i="56"/>
  <c r="T24" i="56"/>
  <c r="BB24" i="56"/>
  <c r="BC24" i="56"/>
  <c r="P24" i="56"/>
  <c r="O24" i="56"/>
  <c r="AX24" i="56"/>
  <c r="BD47" i="56"/>
  <c r="AY47" i="56"/>
  <c r="BB47" i="56"/>
  <c r="BA47" i="56"/>
  <c r="AZ47" i="56"/>
  <c r="BC47" i="56"/>
  <c r="AX47" i="56"/>
  <c r="BC57" i="56"/>
  <c r="BD57" i="56"/>
  <c r="AX57" i="56"/>
  <c r="BB57" i="56"/>
  <c r="AY57" i="56"/>
  <c r="AZ57" i="56"/>
  <c r="BA57" i="56"/>
  <c r="AY44" i="56"/>
  <c r="BC44" i="56"/>
  <c r="BD44" i="56"/>
  <c r="BA44" i="56"/>
  <c r="AZ44" i="56"/>
  <c r="BB44" i="56"/>
  <c r="AX44" i="56"/>
  <c r="BB48" i="56"/>
  <c r="BD48" i="56"/>
  <c r="AZ48" i="56"/>
  <c r="BC48" i="56"/>
  <c r="BA48" i="56"/>
  <c r="AY48" i="56"/>
  <c r="AX48" i="56"/>
  <c r="K20" i="5"/>
  <c r="O20" i="5" s="1"/>
  <c r="P20" i="5" s="1"/>
  <c r="AY43" i="56"/>
  <c r="BC43" i="56"/>
  <c r="BB43" i="56"/>
  <c r="BD43" i="56"/>
  <c r="AZ43" i="56"/>
  <c r="BA43" i="56"/>
  <c r="AX43" i="56"/>
  <c r="BC25" i="56"/>
  <c r="T25" i="56"/>
  <c r="BB25" i="56"/>
  <c r="S25" i="56"/>
  <c r="AX25" i="56"/>
  <c r="O25" i="56"/>
  <c r="BA25" i="56"/>
  <c r="R25" i="56"/>
  <c r="AY25" i="56"/>
  <c r="P25" i="56"/>
  <c r="AZ25" i="56"/>
  <c r="Q25" i="56"/>
  <c r="BD69" i="56"/>
  <c r="AX69" i="56"/>
  <c r="BB69" i="56"/>
  <c r="BC69" i="56"/>
  <c r="BA69" i="56"/>
  <c r="AZ69" i="56"/>
  <c r="AY69" i="56"/>
  <c r="AZ50" i="56"/>
  <c r="AX50" i="56"/>
  <c r="BC50" i="56"/>
  <c r="BA50" i="56"/>
  <c r="BD50" i="56"/>
  <c r="AY50" i="56"/>
  <c r="BB50" i="56"/>
  <c r="BB52" i="56"/>
  <c r="AX52" i="56"/>
  <c r="BC52" i="56"/>
  <c r="BD52" i="56"/>
  <c r="AY52" i="56"/>
  <c r="BA52" i="56"/>
  <c r="AZ52" i="56"/>
  <c r="AX64" i="56"/>
  <c r="AY64" i="56"/>
  <c r="AZ64" i="56"/>
  <c r="BA64" i="56"/>
  <c r="BB64" i="56"/>
  <c r="BC64" i="56"/>
  <c r="BD64" i="56"/>
  <c r="AX67" i="56"/>
  <c r="AZ67" i="56"/>
  <c r="BA67" i="56"/>
  <c r="AY67" i="56"/>
  <c r="BB67" i="56"/>
  <c r="BD67" i="56"/>
  <c r="BC67" i="56"/>
  <c r="BB49" i="56"/>
  <c r="AZ49" i="56"/>
  <c r="BC49" i="56"/>
  <c r="AX49" i="56"/>
  <c r="BD49" i="56"/>
  <c r="AY49" i="56"/>
  <c r="BA49" i="56"/>
  <c r="BC53" i="56"/>
  <c r="AX53" i="56"/>
  <c r="BD53" i="56"/>
  <c r="AY53" i="56"/>
  <c r="BA53" i="56"/>
  <c r="BB53" i="56"/>
  <c r="AZ53" i="56"/>
  <c r="R19" i="56"/>
  <c r="S19" i="56"/>
  <c r="T19" i="56"/>
  <c r="P19" i="56"/>
  <c r="BA19" i="56"/>
  <c r="O19" i="56"/>
  <c r="AZ19" i="56"/>
  <c r="BB19" i="56"/>
  <c r="Q19" i="56"/>
  <c r="AX19" i="56"/>
  <c r="BC19" i="56"/>
  <c r="AY19" i="56"/>
  <c r="BB63" i="56"/>
  <c r="BD63" i="56"/>
  <c r="AX63" i="56"/>
  <c r="AZ63" i="56"/>
  <c r="BA63" i="56"/>
  <c r="AY63" i="56"/>
  <c r="BC63" i="56"/>
  <c r="AX61" i="56"/>
  <c r="AY61" i="56"/>
  <c r="BA61" i="56"/>
  <c r="BB61" i="56"/>
  <c r="BC61" i="56"/>
  <c r="BD61" i="56"/>
  <c r="AZ61" i="56"/>
  <c r="BC45" i="56"/>
  <c r="AZ45" i="56"/>
  <c r="BA45" i="56"/>
  <c r="AY45" i="56"/>
  <c r="BD45" i="56"/>
  <c r="BB45" i="56"/>
  <c r="AX45" i="56"/>
  <c r="BB39" i="56"/>
  <c r="BC39" i="56"/>
  <c r="AX39" i="56"/>
  <c r="BA39" i="56"/>
  <c r="AY39" i="56"/>
  <c r="AZ39" i="56"/>
  <c r="BD39" i="56"/>
  <c r="P20" i="56"/>
  <c r="AX20" i="56"/>
  <c r="Q20" i="56"/>
  <c r="S20" i="56"/>
  <c r="R20" i="56"/>
  <c r="AZ20" i="56"/>
  <c r="T20" i="56"/>
  <c r="BA20" i="56"/>
  <c r="AY20" i="56"/>
  <c r="O20" i="56"/>
  <c r="BC20" i="56"/>
  <c r="BB20" i="56"/>
  <c r="BB23" i="56"/>
  <c r="BC23" i="56"/>
  <c r="R23" i="56"/>
  <c r="S23" i="56"/>
  <c r="O23" i="56"/>
  <c r="T23" i="56"/>
  <c r="P23" i="56"/>
  <c r="Q23" i="56"/>
  <c r="AX23" i="56"/>
  <c r="AY23" i="56"/>
  <c r="AZ23" i="56"/>
  <c r="BA23" i="56"/>
  <c r="AY22" i="56"/>
  <c r="AZ22" i="56"/>
  <c r="AX22" i="56"/>
  <c r="O22" i="56"/>
  <c r="Q22" i="56"/>
  <c r="P22" i="56"/>
  <c r="T22" i="56"/>
  <c r="BC22" i="56"/>
  <c r="BB22" i="56"/>
  <c r="S22" i="56"/>
  <c r="BA22" i="56"/>
  <c r="R22" i="56"/>
  <c r="BB56" i="56"/>
  <c r="BC56" i="56"/>
  <c r="AX56" i="56"/>
  <c r="BD56" i="56"/>
  <c r="AZ56" i="56"/>
  <c r="AY56" i="56"/>
  <c r="BA56" i="56"/>
  <c r="AX59" i="56"/>
  <c r="BC59" i="56"/>
  <c r="BA59" i="56"/>
  <c r="AZ59" i="56"/>
  <c r="AY59" i="56"/>
  <c r="BD59" i="56"/>
  <c r="BB59" i="56"/>
  <c r="AZ60" i="56"/>
  <c r="BC60" i="56"/>
  <c r="BD60" i="56"/>
  <c r="BA60" i="56"/>
  <c r="BB60" i="56"/>
  <c r="AY60" i="56"/>
  <c r="AX60" i="56"/>
  <c r="BC58" i="56"/>
  <c r="BA58" i="56"/>
  <c r="BB58" i="56"/>
  <c r="BD58" i="56"/>
  <c r="AX58" i="56"/>
  <c r="AY58" i="56"/>
  <c r="AZ58" i="56"/>
  <c r="BD65" i="56"/>
  <c r="AY65" i="56"/>
  <c r="BB65" i="56"/>
  <c r="BA65" i="56"/>
  <c r="AZ65" i="56"/>
  <c r="BC65" i="56"/>
  <c r="AX65" i="56"/>
  <c r="AY66" i="56"/>
  <c r="BC66" i="56"/>
  <c r="BA66" i="56"/>
  <c r="BD66" i="56"/>
  <c r="AX66" i="56"/>
  <c r="BB66" i="56"/>
  <c r="AZ66" i="56"/>
  <c r="AX68" i="56"/>
  <c r="BA68" i="56"/>
  <c r="BC68" i="56"/>
  <c r="AZ68" i="56"/>
  <c r="BB68" i="56"/>
  <c r="AY68" i="56"/>
  <c r="BD68" i="56"/>
  <c r="BD36" i="56"/>
  <c r="AY36" i="56"/>
  <c r="BB36" i="56"/>
  <c r="AZ36" i="56"/>
  <c r="BA36" i="56"/>
  <c r="AX36" i="56"/>
  <c r="BC36" i="56"/>
  <c r="O21" i="56"/>
  <c r="R21" i="56"/>
  <c r="S21" i="56"/>
  <c r="Q21" i="56"/>
  <c r="T21" i="56"/>
  <c r="AZ21" i="56"/>
  <c r="AX21" i="56"/>
  <c r="BA21" i="56"/>
  <c r="AY21" i="56"/>
  <c r="P21" i="56"/>
  <c r="BC21" i="56"/>
  <c r="BB21" i="56"/>
  <c r="AY54" i="56"/>
  <c r="BC54" i="56"/>
  <c r="AZ54" i="56"/>
  <c r="BA54" i="56"/>
  <c r="BB54" i="56"/>
  <c r="AX54" i="56"/>
  <c r="BD54" i="56"/>
  <c r="AZ51" i="56"/>
  <c r="BA51" i="56"/>
  <c r="BD51" i="56"/>
  <c r="AX51" i="56"/>
  <c r="BC51" i="56"/>
  <c r="AY51" i="56"/>
  <c r="BB51" i="56"/>
  <c r="J12" i="70"/>
  <c r="J11" i="70"/>
  <c r="J16" i="70"/>
  <c r="J15" i="70"/>
  <c r="J14" i="70"/>
  <c r="J13" i="70"/>
  <c r="E15" i="70"/>
  <c r="G11" i="70"/>
  <c r="E16" i="70"/>
  <c r="E14" i="70"/>
  <c r="E13" i="70"/>
  <c r="E12" i="70"/>
  <c r="E11" i="70"/>
  <c r="D16" i="70"/>
  <c r="G16" i="70"/>
  <c r="D15" i="70"/>
  <c r="D12" i="70"/>
  <c r="D14" i="70"/>
  <c r="D13" i="70"/>
  <c r="G15" i="70"/>
  <c r="D11" i="70"/>
  <c r="G14" i="70"/>
  <c r="G13" i="70"/>
  <c r="G12" i="70"/>
  <c r="I6" i="70"/>
  <c r="D6" i="70"/>
  <c r="G6" i="70"/>
  <c r="L6" i="70"/>
  <c r="K6" i="70"/>
  <c r="L7" i="70"/>
  <c r="K7" i="70"/>
  <c r="I7" i="70"/>
  <c r="G7" i="70"/>
  <c r="D7" i="70"/>
  <c r="K4" i="70"/>
  <c r="L5" i="70"/>
  <c r="K5" i="70"/>
  <c r="D5" i="70"/>
  <c r="I4" i="70"/>
  <c r="D4" i="70"/>
  <c r="I5" i="70"/>
  <c r="G4" i="70"/>
  <c r="G5" i="70"/>
  <c r="L4" i="70"/>
  <c r="BC35" i="56"/>
  <c r="BB35" i="56"/>
  <c r="BA35" i="56"/>
  <c r="AZ35" i="56"/>
  <c r="AY35" i="56"/>
  <c r="AX35" i="56"/>
  <c r="BD35" i="56"/>
  <c r="BB32" i="56"/>
  <c r="AX32" i="56"/>
  <c r="BA32" i="56"/>
  <c r="BD32" i="56"/>
  <c r="AZ32" i="56"/>
  <c r="AY32" i="56"/>
  <c r="BC32" i="56"/>
  <c r="BD33" i="56"/>
  <c r="BC33" i="56"/>
  <c r="BB33" i="56"/>
  <c r="BA33" i="56"/>
  <c r="AZ33" i="56"/>
  <c r="AY33" i="56"/>
  <c r="AX33" i="56"/>
  <c r="AX30" i="56"/>
  <c r="BD30" i="56"/>
  <c r="BC30" i="56"/>
  <c r="BB30" i="56"/>
  <c r="BA30" i="56"/>
  <c r="AZ30" i="56"/>
  <c r="AY30" i="56"/>
  <c r="AX31" i="56"/>
  <c r="BD31" i="56"/>
  <c r="BC31" i="56"/>
  <c r="BB31" i="56"/>
  <c r="BA31" i="56"/>
  <c r="AZ31" i="56"/>
  <c r="AY31" i="56"/>
  <c r="BD34" i="56"/>
  <c r="BC34" i="56"/>
  <c r="BB34" i="56"/>
  <c r="BA34" i="56"/>
  <c r="AZ34" i="56"/>
  <c r="AY34" i="56"/>
  <c r="AX34" i="56"/>
  <c r="BB11" i="56"/>
  <c r="AZ11" i="56"/>
  <c r="AY11" i="56"/>
  <c r="BC11" i="56"/>
  <c r="AX11" i="56"/>
  <c r="Q11" i="56"/>
  <c r="O11" i="56"/>
  <c r="T11" i="56"/>
  <c r="S11" i="56"/>
  <c r="R11" i="56"/>
  <c r="P11" i="56"/>
  <c r="BA11" i="56"/>
  <c r="BB8" i="56"/>
  <c r="BA8" i="56"/>
  <c r="Q8" i="56"/>
  <c r="AZ8" i="56"/>
  <c r="S8" i="56"/>
  <c r="AY8" i="56"/>
  <c r="AX8" i="56"/>
  <c r="O8" i="56"/>
  <c r="T8" i="56"/>
  <c r="R8" i="56"/>
  <c r="P8" i="56"/>
  <c r="BC8" i="56"/>
  <c r="O10" i="56"/>
  <c r="Q10" i="56"/>
  <c r="BC10" i="56"/>
  <c r="BB10" i="56"/>
  <c r="BA10" i="56"/>
  <c r="S10" i="56"/>
  <c r="R10" i="56"/>
  <c r="AZ10" i="56"/>
  <c r="AX10" i="56"/>
  <c r="T10" i="56"/>
  <c r="AY10" i="56"/>
  <c r="P10" i="56"/>
  <c r="BC13" i="56"/>
  <c r="S13" i="56"/>
  <c r="BB13" i="56"/>
  <c r="O13" i="56"/>
  <c r="BA13" i="56"/>
  <c r="AZ13" i="56"/>
  <c r="AY13" i="56"/>
  <c r="Q13" i="56"/>
  <c r="P13" i="56"/>
  <c r="AX13" i="56"/>
  <c r="T13" i="56"/>
  <c r="R13" i="56"/>
  <c r="AZ14" i="56"/>
  <c r="AX14" i="56"/>
  <c r="BC14" i="56"/>
  <c r="BA14" i="56"/>
  <c r="O14" i="56"/>
  <c r="T14" i="56"/>
  <c r="S14" i="56"/>
  <c r="R14" i="56"/>
  <c r="Q14" i="56"/>
  <c r="BB14" i="56"/>
  <c r="AY14" i="56"/>
  <c r="P14" i="56"/>
  <c r="AZ6" i="56"/>
  <c r="AX6" i="56"/>
  <c r="BC6" i="56"/>
  <c r="BA6" i="56"/>
  <c r="O6" i="56"/>
  <c r="T6" i="56"/>
  <c r="S6" i="56"/>
  <c r="R6" i="56"/>
  <c r="Q6" i="56"/>
  <c r="P6" i="56"/>
  <c r="BB6" i="56"/>
  <c r="AY6" i="56"/>
  <c r="AX9" i="56"/>
  <c r="T9" i="56"/>
  <c r="BB9" i="56"/>
  <c r="BA9" i="56"/>
  <c r="AY9" i="56"/>
  <c r="S9" i="56"/>
  <c r="R9" i="56"/>
  <c r="Q9" i="56"/>
  <c r="P9" i="56"/>
  <c r="BC9" i="56"/>
  <c r="O9" i="56"/>
  <c r="AZ9" i="56"/>
  <c r="Q7" i="56"/>
  <c r="P7" i="56"/>
  <c r="O7" i="56"/>
  <c r="AX7" i="56"/>
  <c r="S7" i="56"/>
  <c r="BC7" i="56"/>
  <c r="AY7" i="56"/>
  <c r="T7" i="56"/>
  <c r="BB7" i="56"/>
  <c r="AZ7" i="56"/>
  <c r="BA7" i="56"/>
  <c r="R7" i="56"/>
  <c r="BC5" i="56"/>
  <c r="BB5" i="56"/>
  <c r="S5" i="56"/>
  <c r="O5" i="56"/>
  <c r="BA5" i="56"/>
  <c r="AZ5" i="56"/>
  <c r="AY5" i="56"/>
  <c r="Q5" i="56"/>
  <c r="P5" i="56"/>
  <c r="AX5" i="56"/>
  <c r="T5" i="56"/>
  <c r="R5" i="56"/>
  <c r="Q15" i="56"/>
  <c r="P15" i="56"/>
  <c r="AX15" i="56"/>
  <c r="O15" i="56"/>
  <c r="S15" i="56"/>
  <c r="BC15" i="56"/>
  <c r="AY15" i="56"/>
  <c r="T15" i="56"/>
  <c r="BB15" i="56"/>
  <c r="AZ15" i="56"/>
  <c r="BA15" i="56"/>
  <c r="R15" i="56"/>
  <c r="S12" i="56"/>
  <c r="R12" i="56"/>
  <c r="AY12" i="56"/>
  <c r="Q12" i="56"/>
  <c r="AZ12" i="56"/>
  <c r="P12" i="56"/>
  <c r="O12" i="56"/>
  <c r="BA12" i="56"/>
  <c r="BB12" i="56"/>
  <c r="AX12" i="56"/>
  <c r="BC12" i="56"/>
  <c r="T12" i="56"/>
  <c r="AZ16" i="56"/>
  <c r="AY16" i="56"/>
  <c r="S16" i="56"/>
  <c r="Q16" i="56"/>
  <c r="BA16" i="56"/>
  <c r="O16" i="56"/>
  <c r="T16" i="56"/>
  <c r="BB16" i="56"/>
  <c r="R16" i="56"/>
  <c r="P16" i="56"/>
  <c r="AX16" i="56"/>
  <c r="BC16" i="56"/>
  <c r="AZ4" i="56"/>
  <c r="AY4" i="56"/>
  <c r="S4" i="56"/>
  <c r="Q4" i="56"/>
  <c r="BA4" i="56"/>
  <c r="O4" i="56"/>
  <c r="T4" i="56"/>
  <c r="BB4" i="56"/>
  <c r="R4" i="56"/>
  <c r="P4" i="56"/>
  <c r="AX4" i="56"/>
  <c r="BC4" i="56"/>
  <c r="BB17" i="56"/>
  <c r="BA17" i="56"/>
  <c r="T17" i="56"/>
  <c r="AZ17" i="56"/>
  <c r="S17" i="56"/>
  <c r="AY17" i="56"/>
  <c r="R17" i="56"/>
  <c r="AX17" i="56"/>
  <c r="Q17" i="56"/>
  <c r="P17" i="56"/>
  <c r="O17" i="56"/>
  <c r="BC17" i="56"/>
  <c r="F16" i="70" l="1"/>
  <c r="I16" i="70" s="1"/>
  <c r="BD18" i="56"/>
  <c r="F13" i="70"/>
  <c r="H13" i="70" s="1"/>
  <c r="F14" i="70"/>
  <c r="U18" i="56"/>
  <c r="F12" i="70"/>
  <c r="I12" i="70" s="1"/>
  <c r="E18" i="70"/>
  <c r="BD23" i="56"/>
  <c r="BD21" i="56"/>
  <c r="BD20" i="56"/>
  <c r="U25" i="56"/>
  <c r="BD25" i="56"/>
  <c r="U22" i="56"/>
  <c r="V20" i="56"/>
  <c r="W20" i="56"/>
  <c r="BF20" i="56"/>
  <c r="BH20" i="56"/>
  <c r="BG20" i="56"/>
  <c r="X20" i="56"/>
  <c r="BE20" i="56"/>
  <c r="Y20" i="56"/>
  <c r="BG19" i="56"/>
  <c r="X19" i="56"/>
  <c r="BE19" i="56"/>
  <c r="V19" i="56"/>
  <c r="BF19" i="56"/>
  <c r="BH19" i="56"/>
  <c r="Y19" i="56"/>
  <c r="W19" i="56"/>
  <c r="G18" i="70"/>
  <c r="BD22" i="56"/>
  <c r="U23" i="56"/>
  <c r="V18" i="56"/>
  <c r="BF18" i="56"/>
  <c r="X18" i="56"/>
  <c r="BG18" i="56"/>
  <c r="W18" i="56"/>
  <c r="BH18" i="56"/>
  <c r="BE18" i="56"/>
  <c r="Y18" i="56"/>
  <c r="F11" i="70"/>
  <c r="D18" i="70"/>
  <c r="U21" i="56"/>
  <c r="BG22" i="56"/>
  <c r="X22" i="56"/>
  <c r="BE22" i="56"/>
  <c r="V22" i="56"/>
  <c r="W22" i="56"/>
  <c r="BF22" i="56"/>
  <c r="Y22" i="56"/>
  <c r="BH22" i="56"/>
  <c r="W25" i="56"/>
  <c r="BH25" i="56"/>
  <c r="BF25" i="56"/>
  <c r="Y25" i="56"/>
  <c r="BG25" i="56"/>
  <c r="X25" i="56"/>
  <c r="BE25" i="56"/>
  <c r="V25" i="56"/>
  <c r="Y24" i="56"/>
  <c r="W24" i="56"/>
  <c r="BH24" i="56"/>
  <c r="BF24" i="56"/>
  <c r="BG24" i="56"/>
  <c r="X24" i="56"/>
  <c r="BE24" i="56"/>
  <c r="V24" i="56"/>
  <c r="V21" i="56"/>
  <c r="W21" i="56"/>
  <c r="BG21" i="56"/>
  <c r="X21" i="56"/>
  <c r="BH21" i="56"/>
  <c r="BE21" i="56"/>
  <c r="Y21" i="56"/>
  <c r="BF21" i="56"/>
  <c r="I13" i="70"/>
  <c r="BF23" i="56"/>
  <c r="Y23" i="56"/>
  <c r="W23" i="56"/>
  <c r="BH23" i="56"/>
  <c r="V23" i="56"/>
  <c r="X23" i="56"/>
  <c r="BG23" i="56"/>
  <c r="BE23" i="56"/>
  <c r="U20" i="56"/>
  <c r="BD19" i="56"/>
  <c r="H14" i="70"/>
  <c r="I14" i="70"/>
  <c r="BD24" i="56"/>
  <c r="F15" i="70"/>
  <c r="U24" i="56"/>
  <c r="U19" i="56"/>
  <c r="M5" i="70"/>
  <c r="O5" i="70" s="1"/>
  <c r="M4" i="70"/>
  <c r="O4" i="70" s="1"/>
  <c r="M7" i="70"/>
  <c r="O7" i="70" s="1"/>
  <c r="M6" i="70"/>
  <c r="O6" i="70" s="1"/>
  <c r="AY28" i="56"/>
  <c r="AX28" i="56"/>
  <c r="BC28" i="56"/>
  <c r="BB28" i="56"/>
  <c r="BA28" i="56"/>
  <c r="AZ28" i="56"/>
  <c r="BD83" i="56"/>
  <c r="AY83" i="56"/>
  <c r="AZ83" i="56"/>
  <c r="BA83" i="56"/>
  <c r="BB83" i="56"/>
  <c r="BC83" i="56"/>
  <c r="AX83" i="56"/>
  <c r="BF16" i="56"/>
  <c r="W16" i="56"/>
  <c r="Y16" i="56"/>
  <c r="BH16" i="56"/>
  <c r="BH9" i="56"/>
  <c r="BF9" i="56"/>
  <c r="Y9" i="56"/>
  <c r="W9" i="56"/>
  <c r="BH8" i="56"/>
  <c r="Y8" i="56"/>
  <c r="W8" i="56"/>
  <c r="BF8" i="56"/>
  <c r="W4" i="56"/>
  <c r="BF4" i="56"/>
  <c r="Y4" i="56"/>
  <c r="BH4" i="56"/>
  <c r="BF7" i="56"/>
  <c r="W7" i="56"/>
  <c r="Y7" i="56"/>
  <c r="BH7" i="56"/>
  <c r="BH10" i="56"/>
  <c r="BF10" i="56"/>
  <c r="Y10" i="56"/>
  <c r="W10" i="56"/>
  <c r="BF17" i="56"/>
  <c r="Y17" i="56"/>
  <c r="W17" i="56"/>
  <c r="BH17" i="56"/>
  <c r="W5" i="56"/>
  <c r="Y5" i="56"/>
  <c r="BH5" i="56"/>
  <c r="BF5" i="56"/>
  <c r="Y13" i="56"/>
  <c r="BH13" i="56"/>
  <c r="W13" i="56"/>
  <c r="BF13" i="56"/>
  <c r="BH15" i="56"/>
  <c r="W15" i="56"/>
  <c r="BF15" i="56"/>
  <c r="Y15" i="56"/>
  <c r="BH14" i="56"/>
  <c r="Y14" i="56"/>
  <c r="W14" i="56"/>
  <c r="BF14" i="56"/>
  <c r="Y12" i="56"/>
  <c r="BH12" i="56"/>
  <c r="W12" i="56"/>
  <c r="BF12" i="56"/>
  <c r="W6" i="56"/>
  <c r="BF6" i="56"/>
  <c r="Y6" i="56"/>
  <c r="BH6" i="56"/>
  <c r="Y11" i="56"/>
  <c r="BH11" i="56"/>
  <c r="W11" i="56"/>
  <c r="BF11" i="56"/>
  <c r="U14" i="56"/>
  <c r="U15" i="56"/>
  <c r="BD16" i="56"/>
  <c r="BD15" i="56"/>
  <c r="BD11" i="56"/>
  <c r="BD14" i="56"/>
  <c r="U17" i="56"/>
  <c r="BD4" i="56"/>
  <c r="U11" i="56"/>
  <c r="U6" i="56"/>
  <c r="V16" i="56"/>
  <c r="X16" i="56"/>
  <c r="BG16" i="56"/>
  <c r="BE16" i="56"/>
  <c r="BD7" i="56"/>
  <c r="BD9" i="56"/>
  <c r="U7" i="56"/>
  <c r="X9" i="56"/>
  <c r="BE9" i="56"/>
  <c r="V9" i="56"/>
  <c r="BG9" i="56"/>
  <c r="X8" i="56"/>
  <c r="BG8" i="56"/>
  <c r="V8" i="56"/>
  <c r="BE8" i="56"/>
  <c r="U12" i="56"/>
  <c r="U16" i="56"/>
  <c r="BG4" i="56"/>
  <c r="BE4" i="56"/>
  <c r="X4" i="56"/>
  <c r="V4" i="56"/>
  <c r="BD12" i="56"/>
  <c r="U5" i="56"/>
  <c r="BE15" i="56"/>
  <c r="X15" i="56"/>
  <c r="BG15" i="56"/>
  <c r="V15" i="56"/>
  <c r="BE7" i="56"/>
  <c r="BG7" i="56"/>
  <c r="X7" i="56"/>
  <c r="V7" i="56"/>
  <c r="U13" i="56"/>
  <c r="U10" i="56"/>
  <c r="V10" i="56"/>
  <c r="BE10" i="56"/>
  <c r="BG10" i="56"/>
  <c r="X10" i="56"/>
  <c r="U9" i="56"/>
  <c r="BG5" i="56"/>
  <c r="BE5" i="56"/>
  <c r="X5" i="56"/>
  <c r="V5" i="56"/>
  <c r="X17" i="56"/>
  <c r="BG17" i="56"/>
  <c r="BE17" i="56"/>
  <c r="V17" i="56"/>
  <c r="BG13" i="56"/>
  <c r="V13" i="56"/>
  <c r="BE13" i="56"/>
  <c r="X13" i="56"/>
  <c r="U8" i="56"/>
  <c r="BE14" i="56"/>
  <c r="V14" i="56"/>
  <c r="X14" i="56"/>
  <c r="BG14" i="56"/>
  <c r="BD8" i="56"/>
  <c r="BD6" i="56"/>
  <c r="BD10" i="56"/>
  <c r="U4" i="56"/>
  <c r="V12" i="56"/>
  <c r="BG12" i="56"/>
  <c r="BE12" i="56"/>
  <c r="X12" i="56"/>
  <c r="BD5" i="56"/>
  <c r="BD17" i="56"/>
  <c r="BE6" i="56"/>
  <c r="V6" i="56"/>
  <c r="X6" i="56"/>
  <c r="BG6" i="56"/>
  <c r="BD13" i="56"/>
  <c r="X11" i="56"/>
  <c r="V11" i="56"/>
  <c r="BG11" i="56"/>
  <c r="BE11" i="56"/>
  <c r="H12" i="70" l="1"/>
  <c r="BK320" i="59"/>
  <c r="Z23" i="56"/>
  <c r="AQ30" i="59"/>
  <c r="AD111" i="59"/>
  <c r="BM110" i="59"/>
  <c r="CG113" i="59"/>
  <c r="BO235" i="59"/>
  <c r="BI18" i="56"/>
  <c r="BJ368" i="59"/>
  <c r="AY28" i="59"/>
  <c r="AW28" i="59"/>
  <c r="BS28" i="59"/>
  <c r="Y28" i="59"/>
  <c r="BA28" i="59"/>
  <c r="I28" i="59"/>
  <c r="Z32" i="59"/>
  <c r="AV231" i="59"/>
  <c r="BO28" i="59"/>
  <c r="BX28" i="59"/>
  <c r="AU29" i="59"/>
  <c r="CN109" i="59"/>
  <c r="CC32" i="59"/>
  <c r="G28" i="59"/>
  <c r="AH110" i="59"/>
  <c r="AB29" i="59"/>
  <c r="AA30" i="59"/>
  <c r="L110" i="59"/>
  <c r="BB29" i="59"/>
  <c r="AR109" i="59"/>
  <c r="BH28" i="59"/>
  <c r="BL110" i="59"/>
  <c r="BC28" i="59"/>
  <c r="M32" i="59"/>
  <c r="J29" i="59"/>
  <c r="AD110" i="59"/>
  <c r="BS30" i="59"/>
  <c r="AN29" i="59"/>
  <c r="J28" i="59"/>
  <c r="Q29" i="59"/>
  <c r="AG29" i="59"/>
  <c r="AV28" i="59"/>
  <c r="CG32" i="59"/>
  <c r="V109" i="59"/>
  <c r="AE113" i="59"/>
  <c r="Q231" i="59"/>
  <c r="X301" i="59"/>
  <c r="V28" i="59"/>
  <c r="X28" i="59"/>
  <c r="BF28" i="59"/>
  <c r="CC29" i="59"/>
  <c r="AE28" i="59"/>
  <c r="BL28" i="59"/>
  <c r="BE32" i="59"/>
  <c r="AC110" i="59"/>
  <c r="P111" i="59"/>
  <c r="AF233" i="59"/>
  <c r="P297" i="59"/>
  <c r="BI25" i="56"/>
  <c r="AL28" i="59"/>
  <c r="AN28" i="59"/>
  <c r="AC29" i="59"/>
  <c r="T30" i="59"/>
  <c r="BK28" i="59"/>
  <c r="CB28" i="59"/>
  <c r="U32" i="59"/>
  <c r="P110" i="59"/>
  <c r="S111" i="59"/>
  <c r="AL231" i="59"/>
  <c r="L298" i="59"/>
  <c r="BB28" i="59"/>
  <c r="BD28" i="59"/>
  <c r="BY29" i="59"/>
  <c r="AJ30" i="59"/>
  <c r="CA28" i="59"/>
  <c r="S29" i="59"/>
  <c r="BR32" i="59"/>
  <c r="AE109" i="59"/>
  <c r="P113" i="59"/>
  <c r="AX233" i="59"/>
  <c r="M299" i="59"/>
  <c r="G30" i="59"/>
  <c r="BR28" i="59"/>
  <c r="BT28" i="59"/>
  <c r="K28" i="59"/>
  <c r="AZ30" i="59"/>
  <c r="AX29" i="59"/>
  <c r="AI29" i="59"/>
  <c r="CH32" i="59"/>
  <c r="G110" i="59"/>
  <c r="L111" i="59"/>
  <c r="BM233" i="59"/>
  <c r="J301" i="59"/>
  <c r="G32" i="59"/>
  <c r="CH28" i="59"/>
  <c r="K29" i="59"/>
  <c r="AQ28" i="59"/>
  <c r="BP30" i="59"/>
  <c r="BN29" i="59"/>
  <c r="BO29" i="59"/>
  <c r="AA32" i="59"/>
  <c r="AS109" i="59"/>
  <c r="Q113" i="59"/>
  <c r="BR231" i="59"/>
  <c r="Q339" i="59"/>
  <c r="H32" i="59"/>
  <c r="BX30" i="59"/>
  <c r="AA29" i="59"/>
  <c r="BG28" i="59"/>
  <c r="CF30" i="59"/>
  <c r="CD29" i="59"/>
  <c r="BB30" i="59"/>
  <c r="N32" i="59"/>
  <c r="CC110" i="59"/>
  <c r="BJ113" i="59"/>
  <c r="CC233" i="59"/>
  <c r="R316" i="59"/>
  <c r="I30" i="59"/>
  <c r="BG30" i="59"/>
  <c r="U29" i="59"/>
  <c r="BM30" i="59"/>
  <c r="U28" i="59"/>
  <c r="BE30" i="59"/>
  <c r="AU32" i="59"/>
  <c r="AM32" i="59"/>
  <c r="BI110" i="59"/>
  <c r="AL111" i="59"/>
  <c r="AA235" i="59"/>
  <c r="Z24" i="56"/>
  <c r="H29" i="59"/>
  <c r="W28" i="59"/>
  <c r="BQ29" i="59"/>
  <c r="CC30" i="59"/>
  <c r="BQ28" i="59"/>
  <c r="Z30" i="59"/>
  <c r="CA32" i="59"/>
  <c r="X32" i="59"/>
  <c r="BH110" i="59"/>
  <c r="AN111" i="59"/>
  <c r="AW235" i="59"/>
  <c r="I32" i="59"/>
  <c r="AM28" i="59"/>
  <c r="BD30" i="59"/>
  <c r="AB28" i="59"/>
  <c r="BT29" i="59"/>
  <c r="BV30" i="59"/>
  <c r="BL32" i="59"/>
  <c r="BD32" i="59"/>
  <c r="BY110" i="59"/>
  <c r="AR113" i="59"/>
  <c r="BM235" i="59"/>
  <c r="AW113" i="59"/>
  <c r="CC235" i="59"/>
  <c r="BC30" i="59"/>
  <c r="Z29" i="59"/>
  <c r="AO30" i="59"/>
  <c r="BK29" i="59"/>
  <c r="AU30" i="59"/>
  <c r="L29" i="59"/>
  <c r="BU32" i="59"/>
  <c r="W110" i="59"/>
  <c r="AK110" i="59"/>
  <c r="AE235" i="59"/>
  <c r="BJ232" i="59"/>
  <c r="CJ113" i="59"/>
  <c r="Q28" i="59"/>
  <c r="AP29" i="59"/>
  <c r="T28" i="59"/>
  <c r="CA29" i="59"/>
  <c r="BV28" i="59"/>
  <c r="CA30" i="59"/>
  <c r="AR32" i="59"/>
  <c r="AD109" i="59"/>
  <c r="AX109" i="59"/>
  <c r="X232" i="59"/>
  <c r="AD233" i="59"/>
  <c r="CV110" i="59"/>
  <c r="AJ29" i="59"/>
  <c r="BC29" i="59"/>
  <c r="BK30" i="59"/>
  <c r="AF30" i="59"/>
  <c r="BJ28" i="59"/>
  <c r="AF28" i="59"/>
  <c r="BV32" i="59"/>
  <c r="P109" i="59"/>
  <c r="I113" i="59"/>
  <c r="R233" i="59"/>
  <c r="CP233" i="59"/>
  <c r="AZ29" i="59"/>
  <c r="L30" i="59"/>
  <c r="AS30" i="59"/>
  <c r="AD30" i="59"/>
  <c r="BW30" i="59"/>
  <c r="BJ29" i="59"/>
  <c r="BN30" i="59"/>
  <c r="AL29" i="59"/>
  <c r="AV29" i="59"/>
  <c r="CG30" i="59"/>
  <c r="BI28" i="59"/>
  <c r="BY32" i="59"/>
  <c r="BO32" i="59"/>
  <c r="AZ32" i="59"/>
  <c r="AB110" i="59"/>
  <c r="BK110" i="59"/>
  <c r="AM110" i="59"/>
  <c r="BL113" i="59"/>
  <c r="P235" i="59"/>
  <c r="AT235" i="59"/>
  <c r="CL232" i="59"/>
  <c r="CN298" i="59"/>
  <c r="I29" i="59"/>
  <c r="W30" i="59"/>
  <c r="AB30" i="59"/>
  <c r="BI30" i="59"/>
  <c r="AT30" i="59"/>
  <c r="AO28" i="59"/>
  <c r="BZ29" i="59"/>
  <c r="CD30" i="59"/>
  <c r="CH29" i="59"/>
  <c r="CB29" i="59"/>
  <c r="AX28" i="59"/>
  <c r="BY28" i="59"/>
  <c r="AT32" i="59"/>
  <c r="CE32" i="59"/>
  <c r="AK32" i="59"/>
  <c r="L109" i="59"/>
  <c r="H110" i="59"/>
  <c r="BC110" i="59"/>
  <c r="CB113" i="59"/>
  <c r="H233" i="59"/>
  <c r="BJ235" i="59"/>
  <c r="CR30" i="59"/>
  <c r="AM297" i="59"/>
  <c r="H30" i="59"/>
  <c r="T29" i="59"/>
  <c r="AR30" i="59"/>
  <c r="BY30" i="59"/>
  <c r="BJ30" i="59"/>
  <c r="BU28" i="59"/>
  <c r="Q30" i="59"/>
  <c r="CD28" i="59"/>
  <c r="CF28" i="59"/>
  <c r="AY30" i="59"/>
  <c r="BN28" i="59"/>
  <c r="AD28" i="59"/>
  <c r="BJ32" i="59"/>
  <c r="J32" i="59"/>
  <c r="V32" i="59"/>
  <c r="AA109" i="59"/>
  <c r="AW110" i="59"/>
  <c r="BA109" i="59"/>
  <c r="BR111" i="59"/>
  <c r="S232" i="59"/>
  <c r="AZ232" i="59"/>
  <c r="CS29" i="59"/>
  <c r="BK298" i="59"/>
  <c r="G29" i="59"/>
  <c r="CF29" i="59"/>
  <c r="BH30" i="59"/>
  <c r="X30" i="59"/>
  <c r="BZ30" i="59"/>
  <c r="AR29" i="59"/>
  <c r="AG30" i="59"/>
  <c r="BP28" i="59"/>
  <c r="BS29" i="59"/>
  <c r="CE30" i="59"/>
  <c r="S28" i="59"/>
  <c r="AT28" i="59"/>
  <c r="BZ32" i="59"/>
  <c r="AH32" i="59"/>
  <c r="BB32" i="59"/>
  <c r="K109" i="59"/>
  <c r="CB109" i="59"/>
  <c r="V111" i="59"/>
  <c r="BH113" i="59"/>
  <c r="K233" i="59"/>
  <c r="BF233" i="59"/>
  <c r="CQ30" i="59"/>
  <c r="BA298" i="59"/>
  <c r="CE28" i="59"/>
  <c r="AM30" i="59"/>
  <c r="O30" i="59"/>
  <c r="AW30" i="59"/>
  <c r="BE28" i="59"/>
  <c r="AP30" i="59"/>
  <c r="N28" i="59"/>
  <c r="BR29" i="59"/>
  <c r="P28" i="59"/>
  <c r="O32" i="59"/>
  <c r="CF32" i="59"/>
  <c r="W32" i="59"/>
  <c r="N109" i="59"/>
  <c r="BU109" i="59"/>
  <c r="S113" i="59"/>
  <c r="BM113" i="59"/>
  <c r="T231" i="59"/>
  <c r="BV233" i="59"/>
  <c r="CU30" i="59"/>
  <c r="AV301" i="59"/>
  <c r="AE301" i="59"/>
  <c r="BM28" i="59"/>
  <c r="Y29" i="59"/>
  <c r="BF29" i="59"/>
  <c r="AQ29" i="59"/>
  <c r="J30" i="59"/>
  <c r="N29" i="59"/>
  <c r="R30" i="59"/>
  <c r="AH28" i="59"/>
  <c r="AS29" i="59"/>
  <c r="U30" i="59"/>
  <c r="Z28" i="59"/>
  <c r="BR30" i="59"/>
  <c r="BN32" i="59"/>
  <c r="T32" i="59"/>
  <c r="Z109" i="59"/>
  <c r="AT109" i="59"/>
  <c r="CA110" i="59"/>
  <c r="AO113" i="59"/>
  <c r="G233" i="59"/>
  <c r="AN235" i="59"/>
  <c r="BK233" i="59"/>
  <c r="CM235" i="59"/>
  <c r="CD298" i="59"/>
  <c r="CC28" i="59"/>
  <c r="AO29" i="59"/>
  <c r="BV29" i="59"/>
  <c r="BW29" i="59"/>
  <c r="AK28" i="59"/>
  <c r="AD29" i="59"/>
  <c r="AH30" i="59"/>
  <c r="AK29" i="59"/>
  <c r="AC28" i="59"/>
  <c r="AK30" i="59"/>
  <c r="M29" i="59"/>
  <c r="L32" i="59"/>
  <c r="BG32" i="59"/>
  <c r="AL32" i="59"/>
  <c r="AG110" i="59"/>
  <c r="BJ109" i="59"/>
  <c r="CB110" i="59"/>
  <c r="BT111" i="59"/>
  <c r="W232" i="59"/>
  <c r="AY232" i="59"/>
  <c r="CM28" i="59"/>
  <c r="BH299" i="59"/>
  <c r="AG28" i="59"/>
  <c r="BE29" i="59"/>
  <c r="AC30" i="59"/>
  <c r="N30" i="59"/>
  <c r="CG28" i="59"/>
  <c r="AT29" i="59"/>
  <c r="AX30" i="59"/>
  <c r="BT30" i="59"/>
  <c r="P29" i="59"/>
  <c r="BA30" i="59"/>
  <c r="AV30" i="59"/>
  <c r="AC32" i="59"/>
  <c r="AD32" i="59"/>
  <c r="BS32" i="59"/>
  <c r="AC109" i="59"/>
  <c r="AO109" i="59"/>
  <c r="BY109" i="59"/>
  <c r="AV113" i="59"/>
  <c r="N231" i="59"/>
  <c r="BS233" i="59"/>
  <c r="CO28" i="59"/>
  <c r="AF298" i="59"/>
  <c r="AS110" i="59"/>
  <c r="BV109" i="59"/>
  <c r="BS110" i="59"/>
  <c r="BG113" i="59"/>
  <c r="AT111" i="59"/>
  <c r="V232" i="59"/>
  <c r="BZ235" i="59"/>
  <c r="AL235" i="59"/>
  <c r="CM233" i="59"/>
  <c r="M301" i="59"/>
  <c r="BL297" i="59"/>
  <c r="BZ110" i="59"/>
  <c r="BJ110" i="59"/>
  <c r="AJ109" i="59"/>
  <c r="U111" i="59"/>
  <c r="AE111" i="59"/>
  <c r="S231" i="59"/>
  <c r="AY233" i="59"/>
  <c r="BB235" i="59"/>
  <c r="CM30" i="59"/>
  <c r="Z298" i="59"/>
  <c r="CH298" i="59"/>
  <c r="W109" i="59"/>
  <c r="AV109" i="59"/>
  <c r="AV110" i="59"/>
  <c r="H113" i="59"/>
  <c r="BF113" i="59"/>
  <c r="S235" i="59"/>
  <c r="BC233" i="59"/>
  <c r="AT232" i="59"/>
  <c r="CS30" i="59"/>
  <c r="BC297" i="59"/>
  <c r="I110" i="59"/>
  <c r="X109" i="59"/>
  <c r="BF110" i="59"/>
  <c r="BB110" i="59"/>
  <c r="X111" i="59"/>
  <c r="AC111" i="59"/>
  <c r="U232" i="59"/>
  <c r="Q235" i="59"/>
  <c r="BZ232" i="59"/>
  <c r="CV113" i="59"/>
  <c r="AU298" i="59"/>
  <c r="BW32" i="59"/>
  <c r="N110" i="59"/>
  <c r="O109" i="59"/>
  <c r="AE110" i="59"/>
  <c r="CA109" i="59"/>
  <c r="AI110" i="59"/>
  <c r="CH110" i="59"/>
  <c r="AO110" i="59"/>
  <c r="T113" i="59"/>
  <c r="BY113" i="59"/>
  <c r="BD111" i="59"/>
  <c r="AL113" i="59"/>
  <c r="AD232" i="59"/>
  <c r="V233" i="59"/>
  <c r="BW235" i="59"/>
  <c r="BX235" i="59"/>
  <c r="BN231" i="59"/>
  <c r="CJ109" i="59"/>
  <c r="CP111" i="59"/>
  <c r="W297" i="59"/>
  <c r="BV297" i="59"/>
  <c r="AR318" i="59"/>
  <c r="BX32" i="59"/>
  <c r="Q109" i="59"/>
  <c r="AA110" i="59"/>
  <c r="AH109" i="59"/>
  <c r="AM109" i="59"/>
  <c r="AZ110" i="59"/>
  <c r="AY109" i="59"/>
  <c r="BE110" i="59"/>
  <c r="N111" i="59"/>
  <c r="AP111" i="59"/>
  <c r="AB113" i="59"/>
  <c r="BB113" i="59"/>
  <c r="AA231" i="59"/>
  <c r="Z232" i="59"/>
  <c r="AP231" i="59"/>
  <c r="AS231" i="59"/>
  <c r="CD231" i="59"/>
  <c r="CK235" i="59"/>
  <c r="CU28" i="59"/>
  <c r="O297" i="59"/>
  <c r="AL301" i="59"/>
  <c r="BK355" i="59"/>
  <c r="K30" i="59"/>
  <c r="BW28" i="59"/>
  <c r="O29" i="59"/>
  <c r="M28" i="59"/>
  <c r="BU30" i="59"/>
  <c r="P30" i="59"/>
  <c r="R29" i="59"/>
  <c r="AJ28" i="59"/>
  <c r="AF29" i="59"/>
  <c r="BF32" i="59"/>
  <c r="AW32" i="59"/>
  <c r="BI32" i="59"/>
  <c r="R32" i="59"/>
  <c r="H109" i="59"/>
  <c r="R109" i="59"/>
  <c r="AI109" i="59"/>
  <c r="AP109" i="59"/>
  <c r="CC109" i="59"/>
  <c r="BO109" i="59"/>
  <c r="BU110" i="59"/>
  <c r="AC113" i="59"/>
  <c r="BF111" i="59"/>
  <c r="CB111" i="59"/>
  <c r="CH113" i="59"/>
  <c r="M231" i="59"/>
  <c r="J232" i="59"/>
  <c r="AJ232" i="59"/>
  <c r="BI231" i="59"/>
  <c r="AR232" i="59"/>
  <c r="CJ232" i="59"/>
  <c r="CR110" i="59"/>
  <c r="R297" i="59"/>
  <c r="AN301" i="59"/>
  <c r="BK354" i="59"/>
  <c r="AE29" i="59"/>
  <c r="S30" i="59"/>
  <c r="AZ28" i="59"/>
  <c r="CB30" i="59"/>
  <c r="AH29" i="59"/>
  <c r="AM29" i="59"/>
  <c r="AI30" i="59"/>
  <c r="AQ32" i="59"/>
  <c r="BM32" i="59"/>
  <c r="BA32" i="59"/>
  <c r="S32" i="59"/>
  <c r="Y109" i="59"/>
  <c r="R110" i="59"/>
  <c r="BG110" i="59"/>
  <c r="BH109" i="59"/>
  <c r="AP110" i="59"/>
  <c r="BT109" i="59"/>
  <c r="AL109" i="59"/>
  <c r="W111" i="59"/>
  <c r="BV111" i="59"/>
  <c r="AG111" i="59"/>
  <c r="AY111" i="59"/>
  <c r="AH232" i="59"/>
  <c r="AG231" i="59"/>
  <c r="BP232" i="59"/>
  <c r="BY231" i="59"/>
  <c r="BH232" i="59"/>
  <c r="CL235" i="59"/>
  <c r="CR113" i="59"/>
  <c r="P299" i="59"/>
  <c r="BX298" i="59"/>
  <c r="BI339" i="59"/>
  <c r="AU110" i="59"/>
  <c r="J111" i="59"/>
  <c r="BT113" i="59"/>
  <c r="AA113" i="59"/>
  <c r="BA111" i="59"/>
  <c r="N233" i="59"/>
  <c r="U235" i="59"/>
  <c r="BN233" i="59"/>
  <c r="AM233" i="59"/>
  <c r="AP233" i="59"/>
  <c r="CF231" i="59"/>
  <c r="CK232" i="59"/>
  <c r="CS110" i="59"/>
  <c r="M298" i="59"/>
  <c r="CI297" i="59"/>
  <c r="BW355" i="59"/>
  <c r="BP29" i="59"/>
  <c r="BU29" i="59"/>
  <c r="M30" i="59"/>
  <c r="BG29" i="59"/>
  <c r="W29" i="59"/>
  <c r="BL30" i="59"/>
  <c r="L28" i="59"/>
  <c r="Y30" i="59"/>
  <c r="CG29" i="59"/>
  <c r="BX29" i="59"/>
  <c r="O28" i="59"/>
  <c r="AN30" i="59"/>
  <c r="BI29" i="59"/>
  <c r="AY29" i="59"/>
  <c r="P32" i="59"/>
  <c r="BH32" i="59"/>
  <c r="BC32" i="59"/>
  <c r="J110" i="59"/>
  <c r="U109" i="59"/>
  <c r="K110" i="59"/>
  <c r="AF110" i="59"/>
  <c r="BW109" i="59"/>
  <c r="Y110" i="59"/>
  <c r="BQ109" i="59"/>
  <c r="O111" i="59"/>
  <c r="BX113" i="59"/>
  <c r="BY111" i="59"/>
  <c r="AH111" i="59"/>
  <c r="AB232" i="59"/>
  <c r="O232" i="59"/>
  <c r="AJ233" i="59"/>
  <c r="CF232" i="59"/>
  <c r="CE235" i="59"/>
  <c r="CO32" i="59"/>
  <c r="CW30" i="59"/>
  <c r="N297" i="59"/>
  <c r="AR298" i="59"/>
  <c r="CD299" i="59"/>
  <c r="X110" i="59"/>
  <c r="AU109" i="59"/>
  <c r="BX109" i="59"/>
  <c r="AL110" i="59"/>
  <c r="CG109" i="59"/>
  <c r="G111" i="59"/>
  <c r="BU111" i="59"/>
  <c r="BZ111" i="59"/>
  <c r="AX111" i="59"/>
  <c r="R232" i="59"/>
  <c r="AG235" i="59"/>
  <c r="BP233" i="59"/>
  <c r="BA233" i="59"/>
  <c r="H232" i="59"/>
  <c r="CL231" i="59"/>
  <c r="CS113" i="59"/>
  <c r="T298" i="59"/>
  <c r="BJ299" i="59"/>
  <c r="BO298" i="59"/>
  <c r="BF30" i="59"/>
  <c r="AA28" i="59"/>
  <c r="AR28" i="59"/>
  <c r="X29" i="59"/>
  <c r="AI28" i="59"/>
  <c r="AP28" i="59"/>
  <c r="AU28" i="59"/>
  <c r="V29" i="59"/>
  <c r="AS28" i="59"/>
  <c r="V30" i="59"/>
  <c r="CB32" i="59"/>
  <c r="BP32" i="59"/>
  <c r="AP32" i="59"/>
  <c r="M110" i="59"/>
  <c r="J109" i="59"/>
  <c r="AF109" i="59"/>
  <c r="BK109" i="59"/>
  <c r="BI109" i="59"/>
  <c r="BR110" i="59"/>
  <c r="BW110" i="59"/>
  <c r="H111" i="59"/>
  <c r="AS113" i="59"/>
  <c r="AZ113" i="59"/>
  <c r="CD111" i="59"/>
  <c r="AG232" i="59"/>
  <c r="L235" i="59"/>
  <c r="AQ235" i="59"/>
  <c r="CG233" i="59"/>
  <c r="AX231" i="59"/>
  <c r="CN233" i="59"/>
  <c r="CT30" i="59"/>
  <c r="N301" i="59"/>
  <c r="BC301" i="59"/>
  <c r="BT320" i="59"/>
  <c r="Z21" i="56"/>
  <c r="BL373" i="59"/>
  <c r="AL298" i="59"/>
  <c r="BR298" i="59"/>
  <c r="AN109" i="59"/>
  <c r="N113" i="59"/>
  <c r="Z111" i="59"/>
  <c r="AJ111" i="59"/>
  <c r="CA113" i="59"/>
  <c r="BG111" i="59"/>
  <c r="AO111" i="59"/>
  <c r="BI111" i="59"/>
  <c r="AV111" i="59"/>
  <c r="Y231" i="59"/>
  <c r="AC235" i="59"/>
  <c r="M233" i="59"/>
  <c r="N232" i="59"/>
  <c r="J233" i="59"/>
  <c r="BT235" i="59"/>
  <c r="BB233" i="59"/>
  <c r="AN231" i="59"/>
  <c r="BE233" i="59"/>
  <c r="CD235" i="59"/>
  <c r="CE231" i="59"/>
  <c r="BC235" i="59"/>
  <c r="CL29" i="59"/>
  <c r="CJ110" i="59"/>
  <c r="CJ111" i="59"/>
  <c r="CW32" i="59"/>
  <c r="CP235" i="59"/>
  <c r="G298" i="59"/>
  <c r="U298" i="59"/>
  <c r="CL297" i="59"/>
  <c r="BP298" i="59"/>
  <c r="AK301" i="59"/>
  <c r="AE356" i="59"/>
  <c r="BP110" i="59"/>
  <c r="BN109" i="59"/>
  <c r="BE109" i="59"/>
  <c r="AN110" i="59"/>
  <c r="K113" i="59"/>
  <c r="U113" i="59"/>
  <c r="AZ111" i="59"/>
  <c r="AK111" i="59"/>
  <c r="AU113" i="59"/>
  <c r="AH113" i="59"/>
  <c r="AX113" i="59"/>
  <c r="BP113" i="59"/>
  <c r="G231" i="59"/>
  <c r="T232" i="59"/>
  <c r="AC232" i="59"/>
  <c r="AE231" i="59"/>
  <c r="P233" i="59"/>
  <c r="BM232" i="59"/>
  <c r="BR233" i="59"/>
  <c r="AF232" i="59"/>
  <c r="BU233" i="59"/>
  <c r="G232" i="59"/>
  <c r="AS232" i="59"/>
  <c r="BS235" i="59"/>
  <c r="CL32" i="59"/>
  <c r="CL113" i="59"/>
  <c r="CM232" i="59"/>
  <c r="CW109" i="59"/>
  <c r="CQ232" i="59"/>
  <c r="L299" i="59"/>
  <c r="T301" i="59"/>
  <c r="AX299" i="59"/>
  <c r="CV298" i="59"/>
  <c r="AI320" i="59"/>
  <c r="BE336" i="59"/>
  <c r="BA29" i="59"/>
  <c r="BH29" i="59"/>
  <c r="BZ28" i="59"/>
  <c r="CH30" i="59"/>
  <c r="AF32" i="59"/>
  <c r="AI32" i="59"/>
  <c r="AB32" i="59"/>
  <c r="AS32" i="59"/>
  <c r="T109" i="59"/>
  <c r="AB109" i="59"/>
  <c r="S109" i="59"/>
  <c r="U110" i="59"/>
  <c r="AX110" i="59"/>
  <c r="BS109" i="59"/>
  <c r="CF110" i="59"/>
  <c r="CD109" i="59"/>
  <c r="BF109" i="59"/>
  <c r="BD110" i="59"/>
  <c r="Y111" i="59"/>
  <c r="Y113" i="59"/>
  <c r="BP111" i="59"/>
  <c r="BU113" i="59"/>
  <c r="BK113" i="59"/>
  <c r="CE113" i="59"/>
  <c r="CA111" i="59"/>
  <c r="CF113" i="59"/>
  <c r="U231" i="59"/>
  <c r="AB231" i="59"/>
  <c r="W233" i="59"/>
  <c r="O233" i="59"/>
  <c r="R235" i="59"/>
  <c r="BU235" i="59"/>
  <c r="CH233" i="59"/>
  <c r="BN232" i="59"/>
  <c r="Z235" i="59"/>
  <c r="AW231" i="59"/>
  <c r="BI232" i="59"/>
  <c r="CL30" i="59"/>
  <c r="CK110" i="59"/>
  <c r="CO235" i="59"/>
  <c r="CW111" i="59"/>
  <c r="CQ235" i="59"/>
  <c r="N299" i="59"/>
  <c r="Q298" i="59"/>
  <c r="BZ299" i="59"/>
  <c r="CV299" i="59"/>
  <c r="AY335" i="59"/>
  <c r="BI355" i="59"/>
  <c r="AE30" i="59"/>
  <c r="AW29" i="59"/>
  <c r="AO32" i="59"/>
  <c r="AV32" i="59"/>
  <c r="AY32" i="59"/>
  <c r="AG32" i="59"/>
  <c r="Q32" i="59"/>
  <c r="Q110" i="59"/>
  <c r="Z110" i="59"/>
  <c r="S110" i="59"/>
  <c r="T110" i="59"/>
  <c r="BN110" i="59"/>
  <c r="BD109" i="59"/>
  <c r="AW109" i="59"/>
  <c r="BV110" i="59"/>
  <c r="AT110" i="59"/>
  <c r="BT110" i="59"/>
  <c r="AD113" i="59"/>
  <c r="O113" i="59"/>
  <c r="CF111" i="59"/>
  <c r="BV113" i="59"/>
  <c r="BH111" i="59"/>
  <c r="BE113" i="59"/>
  <c r="AJ113" i="59"/>
  <c r="CC111" i="59"/>
  <c r="M232" i="59"/>
  <c r="I235" i="59"/>
  <c r="I232" i="59"/>
  <c r="W235" i="59"/>
  <c r="CC232" i="59"/>
  <c r="CB232" i="59"/>
  <c r="AS235" i="59"/>
  <c r="AI233" i="59"/>
  <c r="AV235" i="59"/>
  <c r="BM231" i="59"/>
  <c r="BY232" i="59"/>
  <c r="CK32" i="59"/>
  <c r="CM113" i="59"/>
  <c r="CW29" i="59"/>
  <c r="CT110" i="59"/>
  <c r="CR232" i="59"/>
  <c r="H299" i="59"/>
  <c r="L301" i="59"/>
  <c r="AT299" i="59"/>
  <c r="CP301" i="59"/>
  <c r="BO358" i="59"/>
  <c r="BD358" i="59"/>
  <c r="CD110" i="59"/>
  <c r="AR110" i="59"/>
  <c r="BM109" i="59"/>
  <c r="BX110" i="59"/>
  <c r="BG109" i="59"/>
  <c r="AK109" i="59"/>
  <c r="M111" i="59"/>
  <c r="AF113" i="59"/>
  <c r="AN113" i="59"/>
  <c r="BW113" i="59"/>
  <c r="BX111" i="59"/>
  <c r="I111" i="59"/>
  <c r="BN111" i="59"/>
  <c r="BQ113" i="59"/>
  <c r="J231" i="59"/>
  <c r="L232" i="59"/>
  <c r="AE232" i="59"/>
  <c r="M235" i="59"/>
  <c r="BC231" i="59"/>
  <c r="BD231" i="59"/>
  <c r="BI235" i="59"/>
  <c r="CE233" i="59"/>
  <c r="BL235" i="59"/>
  <c r="CC231" i="59"/>
  <c r="AT233" i="59"/>
  <c r="CI30" i="59"/>
  <c r="CN231" i="59"/>
  <c r="CR29" i="59"/>
  <c r="CP113" i="59"/>
  <c r="CR235" i="59"/>
  <c r="L297" i="59"/>
  <c r="R299" i="59"/>
  <c r="BF297" i="59"/>
  <c r="BO299" i="59"/>
  <c r="BO316" i="59"/>
  <c r="BI358" i="59"/>
  <c r="BK335" i="59"/>
  <c r="BQ30" i="59"/>
  <c r="BD29" i="59"/>
  <c r="BL29" i="59"/>
  <c r="CE29" i="59"/>
  <c r="AE32" i="59"/>
  <c r="AX32" i="59"/>
  <c r="AJ32" i="59"/>
  <c r="Y32" i="59"/>
  <c r="AN32" i="59"/>
  <c r="M109" i="59"/>
  <c r="I109" i="59"/>
  <c r="G109" i="59"/>
  <c r="BZ109" i="59"/>
  <c r="BO110" i="59"/>
  <c r="AY110" i="59"/>
  <c r="BA110" i="59"/>
  <c r="CE109" i="59"/>
  <c r="AZ109" i="59"/>
  <c r="BB109" i="59"/>
  <c r="L113" i="59"/>
  <c r="Q111" i="59"/>
  <c r="BI113" i="59"/>
  <c r="AT113" i="59"/>
  <c r="AS111" i="59"/>
  <c r="BA113" i="59"/>
  <c r="AU111" i="59"/>
  <c r="CE111" i="59"/>
  <c r="O235" i="59"/>
  <c r="R231" i="59"/>
  <c r="S233" i="59"/>
  <c r="H231" i="59"/>
  <c r="AW232" i="59"/>
  <c r="BQ232" i="59"/>
  <c r="AU235" i="59"/>
  <c r="BT232" i="59"/>
  <c r="AB235" i="59"/>
  <c r="H235" i="59"/>
  <c r="AE233" i="59"/>
  <c r="CO109" i="59"/>
  <c r="CI232" i="59"/>
  <c r="CV32" i="59"/>
  <c r="CV233" i="59"/>
  <c r="U301" i="59"/>
  <c r="AE298" i="59"/>
  <c r="AO297" i="59"/>
  <c r="BV301" i="59"/>
  <c r="BV298" i="59"/>
  <c r="U356" i="59"/>
  <c r="CE110" i="59"/>
  <c r="BQ110" i="59"/>
  <c r="BC109" i="59"/>
  <c r="BP109" i="59"/>
  <c r="BR109" i="59"/>
  <c r="AG113" i="59"/>
  <c r="R111" i="59"/>
  <c r="V113" i="59"/>
  <c r="BZ113" i="59"/>
  <c r="BN113" i="59"/>
  <c r="BQ111" i="59"/>
  <c r="BK111" i="59"/>
  <c r="AM113" i="59"/>
  <c r="W231" i="59"/>
  <c r="Z233" i="59"/>
  <c r="AD235" i="59"/>
  <c r="P231" i="59"/>
  <c r="BE235" i="59"/>
  <c r="CG232" i="59"/>
  <c r="BK235" i="59"/>
  <c r="T233" i="59"/>
  <c r="AX235" i="59"/>
  <c r="AY231" i="59"/>
  <c r="AV233" i="59"/>
  <c r="CK231" i="59"/>
  <c r="CN110" i="59"/>
  <c r="CV109" i="59"/>
  <c r="CW231" i="59"/>
  <c r="Z299" i="59"/>
  <c r="P301" i="59"/>
  <c r="AN297" i="59"/>
  <c r="CT299" i="59"/>
  <c r="BP301" i="59"/>
  <c r="BE318" i="59"/>
  <c r="BM29" i="59"/>
  <c r="R28" i="59"/>
  <c r="H28" i="59"/>
  <c r="BO30" i="59"/>
  <c r="AL30" i="59"/>
  <c r="BK32" i="59"/>
  <c r="CD32" i="59"/>
  <c r="BQ32" i="59"/>
  <c r="K32" i="59"/>
  <c r="BT32" i="59"/>
  <c r="O110" i="59"/>
  <c r="V110" i="59"/>
  <c r="AG109" i="59"/>
  <c r="AQ109" i="59"/>
  <c r="BL109" i="59"/>
  <c r="AJ110" i="59"/>
  <c r="CG110" i="59"/>
  <c r="AQ110" i="59"/>
  <c r="CF109" i="59"/>
  <c r="CH109" i="59"/>
  <c r="X113" i="59"/>
  <c r="M113" i="59"/>
  <c r="BW111" i="59"/>
  <c r="AA111" i="59"/>
  <c r="G113" i="59"/>
  <c r="AQ113" i="59"/>
  <c r="BO113" i="59"/>
  <c r="Y233" i="59"/>
  <c r="L231" i="59"/>
  <c r="AF235" i="59"/>
  <c r="T235" i="59"/>
  <c r="Z231" i="59"/>
  <c r="BL232" i="59"/>
  <c r="AL233" i="59"/>
  <c r="CA235" i="59"/>
  <c r="AO233" i="59"/>
  <c r="BN235" i="59"/>
  <c r="BO231" i="59"/>
  <c r="CB233" i="59"/>
  <c r="CI32" i="59"/>
  <c r="CK113" i="59"/>
  <c r="CI111" i="59"/>
  <c r="CV111" i="59"/>
  <c r="CW233" i="59"/>
  <c r="W301" i="59"/>
  <c r="AE297" i="59"/>
  <c r="AX298" i="59"/>
  <c r="CT297" i="59"/>
  <c r="AQ298" i="59"/>
  <c r="AZ317" i="59"/>
  <c r="BO233" i="59"/>
  <c r="AQ231" i="59"/>
  <c r="BX231" i="59"/>
  <c r="BS232" i="59"/>
  <c r="BO232" i="59"/>
  <c r="AT231" i="59"/>
  <c r="CA231" i="59"/>
  <c r="BV232" i="59"/>
  <c r="AR233" i="59"/>
  <c r="BY233" i="59"/>
  <c r="BA235" i="59"/>
  <c r="BQ231" i="59"/>
  <c r="CK30" i="59"/>
  <c r="CM231" i="59"/>
  <c r="CO231" i="59"/>
  <c r="CN29" i="59"/>
  <c r="CP30" i="59"/>
  <c r="CS109" i="59"/>
  <c r="CQ109" i="59"/>
  <c r="CR233" i="59"/>
  <c r="CT235" i="59"/>
  <c r="Q299" i="59"/>
  <c r="O301" i="59"/>
  <c r="T297" i="59"/>
  <c r="CJ297" i="59"/>
  <c r="CS298" i="59"/>
  <c r="CH301" i="59"/>
  <c r="BR297" i="59"/>
  <c r="CA301" i="59"/>
  <c r="AT297" i="59"/>
  <c r="CF339" i="59"/>
  <c r="H355" i="59"/>
  <c r="CV318" i="59"/>
  <c r="AG233" i="59"/>
  <c r="Y232" i="59"/>
  <c r="AP235" i="59"/>
  <c r="BG231" i="59"/>
  <c r="AL232" i="59"/>
  <c r="AN233" i="59"/>
  <c r="AZ233" i="59"/>
  <c r="BJ231" i="59"/>
  <c r="AO232" i="59"/>
  <c r="X233" i="59"/>
  <c r="BH233" i="59"/>
  <c r="AJ235" i="59"/>
  <c r="CG235" i="59"/>
  <c r="CG231" i="59"/>
  <c r="CJ28" i="59"/>
  <c r="CK111" i="59"/>
  <c r="CN232" i="59"/>
  <c r="CK233" i="59"/>
  <c r="CR32" i="59"/>
  <c r="CT111" i="59"/>
  <c r="CR109" i="59"/>
  <c r="CS231" i="59"/>
  <c r="CV235" i="59"/>
  <c r="H297" i="59"/>
  <c r="O299" i="59"/>
  <c r="V298" i="59"/>
  <c r="AM301" i="59"/>
  <c r="BN299" i="59"/>
  <c r="CO299" i="59"/>
  <c r="AL297" i="59"/>
  <c r="CE297" i="59"/>
  <c r="BD299" i="59"/>
  <c r="BB316" i="59"/>
  <c r="BM337" i="59"/>
  <c r="CK335" i="59"/>
  <c r="AB111" i="59"/>
  <c r="CD113" i="59"/>
  <c r="BJ111" i="59"/>
  <c r="BC111" i="59"/>
  <c r="AW111" i="59"/>
  <c r="BC113" i="59"/>
  <c r="Q232" i="59"/>
  <c r="I231" i="59"/>
  <c r="Y235" i="59"/>
  <c r="G235" i="59"/>
  <c r="P232" i="59"/>
  <c r="AW233" i="59"/>
  <c r="AO235" i="59"/>
  <c r="BV235" i="59"/>
  <c r="BW231" i="59"/>
  <c r="BB232" i="59"/>
  <c r="BD233" i="59"/>
  <c r="CF233" i="59"/>
  <c r="BZ231" i="59"/>
  <c r="BE232" i="59"/>
  <c r="AQ233" i="59"/>
  <c r="BX233" i="59"/>
  <c r="AZ235" i="59"/>
  <c r="AJ231" i="59"/>
  <c r="AU232" i="59"/>
  <c r="CM32" i="59"/>
  <c r="CO232" i="59"/>
  <c r="CM109" i="59"/>
  <c r="CN30" i="59"/>
  <c r="CQ29" i="59"/>
  <c r="CU32" i="59"/>
  <c r="CS28" i="59"/>
  <c r="CS233" i="59"/>
  <c r="CW232" i="59"/>
  <c r="X297" i="59"/>
  <c r="G299" i="59"/>
  <c r="V297" i="59"/>
  <c r="CC298" i="59"/>
  <c r="CT298" i="59"/>
  <c r="BA297" i="59"/>
  <c r="AV298" i="59"/>
  <c r="AY298" i="59"/>
  <c r="BY297" i="59"/>
  <c r="AT320" i="59"/>
  <c r="BL358" i="59"/>
  <c r="CV358" i="59"/>
  <c r="BE111" i="59"/>
  <c r="AR111" i="59"/>
  <c r="CG111" i="59"/>
  <c r="AY113" i="59"/>
  <c r="T111" i="59"/>
  <c r="BM111" i="59"/>
  <c r="BS113" i="59"/>
  <c r="J235" i="59"/>
  <c r="K232" i="59"/>
  <c r="L233" i="59"/>
  <c r="K235" i="59"/>
  <c r="AD231" i="59"/>
  <c r="AM231" i="59"/>
  <c r="AV232" i="59"/>
  <c r="AO231" i="59"/>
  <c r="AK232" i="59"/>
  <c r="BR232" i="59"/>
  <c r="BT233" i="59"/>
  <c r="BG235" i="59"/>
  <c r="AN232" i="59"/>
  <c r="BU232" i="59"/>
  <c r="BG233" i="59"/>
  <c r="AI235" i="59"/>
  <c r="BP235" i="59"/>
  <c r="AZ231" i="59"/>
  <c r="BK232" i="59"/>
  <c r="CM111" i="59"/>
  <c r="CI233" i="59"/>
  <c r="CL110" i="59"/>
  <c r="CM110" i="59"/>
  <c r="CV29" i="59"/>
  <c r="CU109" i="59"/>
  <c r="CT28" i="59"/>
  <c r="CT231" i="59"/>
  <c r="CW235" i="59"/>
  <c r="K297" i="59"/>
  <c r="I301" i="59"/>
  <c r="AA298" i="59"/>
  <c r="H298" i="59"/>
  <c r="BR301" i="59"/>
  <c r="CP299" i="59"/>
  <c r="CB298" i="59"/>
  <c r="AI299" i="59"/>
  <c r="V299" i="59"/>
  <c r="CA356" i="59"/>
  <c r="CE317" i="59"/>
  <c r="G337" i="59"/>
  <c r="BB231" i="59"/>
  <c r="BD235" i="59"/>
  <c r="BU231" i="59"/>
  <c r="BA232" i="59"/>
  <c r="CH232" i="59"/>
  <c r="V235" i="59"/>
  <c r="BF231" i="59"/>
  <c r="BD232" i="59"/>
  <c r="U233" i="59"/>
  <c r="BW233" i="59"/>
  <c r="AY235" i="59"/>
  <c r="CF235" i="59"/>
  <c r="BP231" i="59"/>
  <c r="CA232" i="59"/>
  <c r="CI231" i="59"/>
  <c r="CL233" i="59"/>
  <c r="CL28" i="59"/>
  <c r="CO113" i="59"/>
  <c r="CQ28" i="59"/>
  <c r="CP109" i="59"/>
  <c r="CQ110" i="59"/>
  <c r="CT233" i="59"/>
  <c r="P298" i="59"/>
  <c r="U297" i="59"/>
  <c r="AF301" i="59"/>
  <c r="Z301" i="59"/>
  <c r="Y298" i="59"/>
  <c r="BY298" i="59"/>
  <c r="CJ301" i="59"/>
  <c r="CB299" i="59"/>
  <c r="CU299" i="59"/>
  <c r="CU301" i="59"/>
  <c r="BB335" i="59"/>
  <c r="BE339" i="59"/>
  <c r="W336" i="59"/>
  <c r="W113" i="59"/>
  <c r="J113" i="59"/>
  <c r="BD113" i="59"/>
  <c r="BB111" i="59"/>
  <c r="AQ111" i="59"/>
  <c r="CC113" i="59"/>
  <c r="AI113" i="59"/>
  <c r="AK113" i="59"/>
  <c r="AF111" i="59"/>
  <c r="AI111" i="59"/>
  <c r="X231" i="59"/>
  <c r="K231" i="59"/>
  <c r="AA232" i="59"/>
  <c r="X235" i="59"/>
  <c r="N235" i="59"/>
  <c r="AI231" i="59"/>
  <c r="BS231" i="59"/>
  <c r="BT231" i="59"/>
  <c r="AK233" i="59"/>
  <c r="BY235" i="59"/>
  <c r="CE232" i="59"/>
  <c r="BF235" i="59"/>
  <c r="AM232" i="59"/>
  <c r="CB235" i="59"/>
  <c r="BL231" i="59"/>
  <c r="AQ232" i="59"/>
  <c r="AB233" i="59"/>
  <c r="BJ233" i="59"/>
  <c r="BR235" i="59"/>
  <c r="CJ30" i="59"/>
  <c r="CO29" i="59"/>
  <c r="CK109" i="59"/>
  <c r="CN235" i="59"/>
  <c r="CQ32" i="59"/>
  <c r="CV30" i="59"/>
  <c r="CQ113" i="59"/>
  <c r="CQ231" i="59"/>
  <c r="CS232" i="59"/>
  <c r="R301" i="59"/>
  <c r="J298" i="59"/>
  <c r="X298" i="59"/>
  <c r="AI297" i="59"/>
  <c r="AS298" i="59"/>
  <c r="BI298" i="59"/>
  <c r="CQ298" i="59"/>
  <c r="CG298" i="59"/>
  <c r="CS297" i="59"/>
  <c r="AX339" i="59"/>
  <c r="CC356" i="59"/>
  <c r="BN320" i="59"/>
  <c r="Q233" i="59"/>
  <c r="AH233" i="59"/>
  <c r="CD233" i="59"/>
  <c r="AX232" i="59"/>
  <c r="BQ233" i="59"/>
  <c r="AR231" i="59"/>
  <c r="BV231" i="59"/>
  <c r="BE231" i="59"/>
  <c r="BC232" i="59"/>
  <c r="AU231" i="59"/>
  <c r="CB231" i="59"/>
  <c r="BW232" i="59"/>
  <c r="AS233" i="59"/>
  <c r="BZ233" i="59"/>
  <c r="AK231" i="59"/>
  <c r="CJ32" i="59"/>
  <c r="CJ231" i="59"/>
  <c r="CK28" i="59"/>
  <c r="CI109" i="59"/>
  <c r="CP32" i="59"/>
  <c r="CR111" i="59"/>
  <c r="CV28" i="59"/>
  <c r="CQ233" i="59"/>
  <c r="CS235" i="59"/>
  <c r="G297" i="59"/>
  <c r="AH298" i="59"/>
  <c r="S299" i="59"/>
  <c r="AJ301" i="59"/>
  <c r="CP298" i="59"/>
  <c r="AD299" i="59"/>
  <c r="CQ299" i="59"/>
  <c r="AK299" i="59"/>
  <c r="BC298" i="59"/>
  <c r="BN336" i="59"/>
  <c r="BB356" i="59"/>
  <c r="BV316" i="59"/>
  <c r="R113" i="59"/>
  <c r="K111" i="59"/>
  <c r="AP113" i="59"/>
  <c r="AM111" i="59"/>
  <c r="Z113" i="59"/>
  <c r="BS111" i="59"/>
  <c r="CH111" i="59"/>
  <c r="BR113" i="59"/>
  <c r="BL111" i="59"/>
  <c r="BO111" i="59"/>
  <c r="O231" i="59"/>
  <c r="V231" i="59"/>
  <c r="AH231" i="59"/>
  <c r="AF231" i="59"/>
  <c r="AC231" i="59"/>
  <c r="AH235" i="59"/>
  <c r="CH231" i="59"/>
  <c r="CD232" i="59"/>
  <c r="AR235" i="59"/>
  <c r="BH231" i="59"/>
  <c r="BH235" i="59"/>
  <c r="AI232" i="59"/>
  <c r="I233" i="59"/>
  <c r="BK231" i="59"/>
  <c r="BF232" i="59"/>
  <c r="AA233" i="59"/>
  <c r="BI233" i="59"/>
  <c r="AK235" i="59"/>
  <c r="BA231" i="59"/>
  <c r="CN32" i="59"/>
  <c r="CO30" i="59"/>
  <c r="CN113" i="59"/>
  <c r="CL111" i="59"/>
  <c r="CT29" i="59"/>
  <c r="CS32" i="59"/>
  <c r="CW28" i="59"/>
  <c r="CR231" i="59"/>
  <c r="CT232" i="59"/>
  <c r="AB298" i="59"/>
  <c r="Y299" i="59"/>
  <c r="J299" i="59"/>
  <c r="AK297" i="59"/>
  <c r="BM299" i="59"/>
  <c r="BW301" i="59"/>
  <c r="CK301" i="59"/>
  <c r="BQ299" i="59"/>
  <c r="CI299" i="59"/>
  <c r="AX354" i="59"/>
  <c r="BJ358" i="59"/>
  <c r="AI377" i="59"/>
  <c r="AA317" i="59"/>
  <c r="P317" i="59"/>
  <c r="Z339" i="59"/>
  <c r="CP358" i="59"/>
  <c r="CQ336" i="59"/>
  <c r="CM355" i="59"/>
  <c r="CD354" i="59"/>
  <c r="AA358" i="59"/>
  <c r="BP336" i="59"/>
  <c r="X356" i="59"/>
  <c r="BU316" i="59"/>
  <c r="BD356" i="59"/>
  <c r="BV335" i="59"/>
  <c r="BE337" i="59"/>
  <c r="BA356" i="59"/>
  <c r="BV356" i="59"/>
  <c r="AU318" i="59"/>
  <c r="BF335" i="59"/>
  <c r="U337" i="59"/>
  <c r="BE356" i="59"/>
  <c r="AZ316" i="59"/>
  <c r="BT336" i="59"/>
  <c r="BK316" i="59"/>
  <c r="CH336" i="59"/>
  <c r="BC336" i="59"/>
  <c r="BW354" i="59"/>
  <c r="BJ355" i="59"/>
  <c r="BJ336" i="59"/>
  <c r="CE335" i="59"/>
  <c r="CE336" i="59"/>
  <c r="CD320" i="59"/>
  <c r="BZ355" i="59"/>
  <c r="AV317" i="59"/>
  <c r="CA320" i="59"/>
  <c r="AM358" i="59"/>
  <c r="AF337" i="59"/>
  <c r="BY335" i="59"/>
  <c r="BY320" i="59"/>
  <c r="BJ318" i="59"/>
  <c r="AJ354" i="59"/>
  <c r="AX335" i="59"/>
  <c r="BS337" i="59"/>
  <c r="CI354" i="59"/>
  <c r="AI358" i="59"/>
  <c r="BG297" i="59"/>
  <c r="AP298" i="59"/>
  <c r="BU298" i="59"/>
  <c r="U299" i="59"/>
  <c r="BC299" i="59"/>
  <c r="BN297" i="59"/>
  <c r="CH299" i="59"/>
  <c r="CC297" i="59"/>
  <c r="AU301" i="59"/>
  <c r="BP299" i="59"/>
  <c r="AV299" i="59"/>
  <c r="BK299" i="59"/>
  <c r="CW297" i="59"/>
  <c r="AG299" i="59"/>
  <c r="BS301" i="59"/>
  <c r="AT298" i="59"/>
  <c r="CG297" i="59"/>
  <c r="AJ297" i="59"/>
  <c r="S297" i="59"/>
  <c r="S298" i="59"/>
  <c r="AC301" i="59"/>
  <c r="Y301" i="59"/>
  <c r="W299" i="59"/>
  <c r="CV232" i="59"/>
  <c r="CV231" i="59"/>
  <c r="CU113" i="59"/>
  <c r="CP110" i="59"/>
  <c r="CT109" i="59"/>
  <c r="CU29" i="59"/>
  <c r="CI29" i="59"/>
  <c r="CN28" i="59"/>
  <c r="CI113" i="59"/>
  <c r="CO233" i="59"/>
  <c r="CL109" i="59"/>
  <c r="CI28" i="59"/>
  <c r="AM235" i="59"/>
  <c r="CA233" i="59"/>
  <c r="AI373" i="59"/>
  <c r="G317" i="59"/>
  <c r="AC317" i="59"/>
  <c r="L339" i="59"/>
  <c r="CV356" i="59"/>
  <c r="CK317" i="59"/>
  <c r="CT316" i="59"/>
  <c r="S339" i="59"/>
  <c r="AQ320" i="59"/>
  <c r="BR336" i="59"/>
  <c r="BD335" i="59"/>
  <c r="AP317" i="59"/>
  <c r="BT317" i="59"/>
  <c r="AQ337" i="59"/>
  <c r="AP355" i="59"/>
  <c r="BQ336" i="59"/>
  <c r="CB354" i="59"/>
  <c r="AW356" i="59"/>
  <c r="BV358" i="59"/>
  <c r="BA354" i="59"/>
  <c r="AG318" i="59"/>
  <c r="AK358" i="59"/>
  <c r="BL356" i="59"/>
  <c r="BM318" i="59"/>
  <c r="AP339" i="59"/>
  <c r="BS336" i="59"/>
  <c r="BH318" i="59"/>
  <c r="AS355" i="59"/>
  <c r="AS337" i="59"/>
  <c r="AZ355" i="59"/>
  <c r="AZ354" i="59"/>
  <c r="CE316" i="59"/>
  <c r="AS335" i="59"/>
  <c r="AR337" i="59"/>
  <c r="AR358" i="59"/>
  <c r="BS356" i="59"/>
  <c r="CD318" i="59"/>
  <c r="AJ320" i="59"/>
  <c r="AU317" i="59"/>
  <c r="BR317" i="59"/>
  <c r="BB317" i="59"/>
  <c r="AM354" i="59"/>
  <c r="AQ354" i="59"/>
  <c r="BC339" i="59"/>
  <c r="CW301" i="59"/>
  <c r="BW297" i="59"/>
  <c r="AR297" i="59"/>
  <c r="BE298" i="59"/>
  <c r="CJ298" i="59"/>
  <c r="AM299" i="59"/>
  <c r="BY301" i="59"/>
  <c r="BR299" i="59"/>
  <c r="AZ298" i="59"/>
  <c r="CW299" i="59"/>
  <c r="AZ299" i="59"/>
  <c r="AF299" i="59"/>
  <c r="AU299" i="59"/>
  <c r="AR299" i="59"/>
  <c r="BJ298" i="59"/>
  <c r="BY299" i="59"/>
  <c r="BU297" i="59"/>
  <c r="H301" i="59"/>
  <c r="S301" i="59"/>
  <c r="AG297" i="59"/>
  <c r="I297" i="59"/>
  <c r="R298" i="59"/>
  <c r="W298" i="59"/>
  <c r="AF297" i="59"/>
  <c r="CU235" i="59"/>
  <c r="CU233" i="59"/>
  <c r="CU110" i="59"/>
  <c r="CQ111" i="59"/>
  <c r="CT32" i="59"/>
  <c r="J375" i="59"/>
  <c r="O356" i="59"/>
  <c r="L358" i="59"/>
  <c r="CW318" i="59"/>
  <c r="CK356" i="59"/>
  <c r="CP356" i="59"/>
  <c r="CV320" i="59"/>
  <c r="BQ335" i="59"/>
  <c r="BW335" i="59"/>
  <c r="CH337" i="59"/>
  <c r="BT358" i="59"/>
  <c r="AA337" i="59"/>
  <c r="BL317" i="59"/>
  <c r="BG356" i="59"/>
  <c r="BV320" i="59"/>
  <c r="AW358" i="59"/>
  <c r="BI318" i="59"/>
  <c r="AH337" i="59"/>
  <c r="CB320" i="59"/>
  <c r="BQ318" i="59"/>
  <c r="BF318" i="59"/>
  <c r="BA337" i="59"/>
  <c r="AO337" i="59"/>
  <c r="CD355" i="59"/>
  <c r="BG316" i="59"/>
  <c r="CI317" i="59"/>
  <c r="BJ339" i="59"/>
  <c r="BK318" i="59"/>
  <c r="BK317" i="59"/>
  <c r="AK316" i="59"/>
  <c r="AK354" i="59"/>
  <c r="AZ339" i="59"/>
  <c r="AF355" i="59"/>
  <c r="AT355" i="59"/>
  <c r="AT354" i="59"/>
  <c r="CI318" i="59"/>
  <c r="CF356" i="59"/>
  <c r="BC354" i="59"/>
  <c r="BN316" i="59"/>
  <c r="CC335" i="59"/>
  <c r="AX355" i="59"/>
  <c r="CI355" i="59"/>
  <c r="BJ316" i="59"/>
  <c r="AJ335" i="59"/>
  <c r="CG301" i="59"/>
  <c r="CM297" i="59"/>
  <c r="BH297" i="59"/>
  <c r="AO298" i="59"/>
  <c r="BT298" i="59"/>
  <c r="T299" i="59"/>
  <c r="AS301" i="59"/>
  <c r="BB299" i="59"/>
  <c r="AX297" i="59"/>
  <c r="CG299" i="59"/>
  <c r="AJ299" i="59"/>
  <c r="CR298" i="59"/>
  <c r="AE299" i="59"/>
  <c r="BN298" i="59"/>
  <c r="BE297" i="59"/>
  <c r="AB299" i="59"/>
  <c r="BD301" i="59"/>
  <c r="AQ301" i="59"/>
  <c r="AI301" i="59"/>
  <c r="AC298" i="59"/>
  <c r="AA297" i="59"/>
  <c r="AB297" i="59"/>
  <c r="O298" i="59"/>
  <c r="AD298" i="59"/>
  <c r="CU232" i="59"/>
  <c r="CU231" i="59"/>
  <c r="CP29" i="59"/>
  <c r="CW113" i="59"/>
  <c r="CS111" i="59"/>
  <c r="CR28" i="59"/>
  <c r="CO110" i="59"/>
  <c r="CO111" i="59"/>
  <c r="CI235" i="59"/>
  <c r="CI110" i="59"/>
  <c r="CM29" i="59"/>
  <c r="BL233" i="59"/>
  <c r="AU233" i="59"/>
  <c r="AC233" i="59"/>
  <c r="BX232" i="59"/>
  <c r="BG232" i="59"/>
  <c r="AP232" i="59"/>
  <c r="Z375" i="59"/>
  <c r="W358" i="59"/>
  <c r="K355" i="59"/>
  <c r="CM320" i="59"/>
  <c r="CP337" i="59"/>
  <c r="CS317" i="59"/>
  <c r="CO335" i="59"/>
  <c r="BN355" i="59"/>
  <c r="AR316" i="59"/>
  <c r="CA358" i="59"/>
  <c r="BL335" i="59"/>
  <c r="BG358" i="59"/>
  <c r="AO354" i="59"/>
  <c r="AB358" i="59"/>
  <c r="CB355" i="59"/>
  <c r="AH318" i="59"/>
  <c r="AV335" i="59"/>
  <c r="BP355" i="59"/>
  <c r="AQ316" i="59"/>
  <c r="CG320" i="59"/>
  <c r="BV336" i="59"/>
  <c r="BQ320" i="59"/>
  <c r="BU354" i="59"/>
  <c r="CF358" i="59"/>
  <c r="BH335" i="59"/>
  <c r="AJ358" i="59"/>
  <c r="AS358" i="59"/>
  <c r="BM358" i="59"/>
  <c r="BM356" i="59"/>
  <c r="CG337" i="59"/>
  <c r="CG336" i="59"/>
  <c r="BA358" i="59"/>
  <c r="CD335" i="59"/>
  <c r="BZ337" i="59"/>
  <c r="BZ354" i="59"/>
  <c r="AM336" i="59"/>
  <c r="BA339" i="59"/>
  <c r="AI318" i="59"/>
  <c r="AY318" i="59"/>
  <c r="BC318" i="59"/>
  <c r="BO335" i="59"/>
  <c r="BC317" i="59"/>
  <c r="BY354" i="59"/>
  <c r="AQ339" i="59"/>
  <c r="BQ301" i="59"/>
  <c r="CV301" i="59"/>
  <c r="BX297" i="59"/>
  <c r="AS297" i="59"/>
  <c r="BD298" i="59"/>
  <c r="CI298" i="59"/>
  <c r="CE299" i="59"/>
  <c r="AL299" i="59"/>
  <c r="CO301" i="59"/>
  <c r="K373" i="59"/>
  <c r="AF339" i="59"/>
  <c r="J336" i="59"/>
  <c r="CN317" i="59"/>
  <c r="CM339" i="59"/>
  <c r="CR336" i="59"/>
  <c r="H317" i="59"/>
  <c r="AY356" i="59"/>
  <c r="BX318" i="59"/>
  <c r="CC358" i="59"/>
  <c r="BU358" i="59"/>
  <c r="BW358" i="59"/>
  <c r="BE335" i="59"/>
  <c r="AN355" i="59"/>
  <c r="AQ336" i="59"/>
  <c r="AY317" i="59"/>
  <c r="AB356" i="59"/>
  <c r="AL339" i="59"/>
  <c r="BG355" i="59"/>
  <c r="AU337" i="59"/>
  <c r="CB318" i="59"/>
  <c r="BY358" i="59"/>
  <c r="BF358" i="59"/>
  <c r="AK356" i="59"/>
  <c r="BJ337" i="59"/>
  <c r="BR316" i="59"/>
  <c r="CE355" i="59"/>
  <c r="CE354" i="59"/>
  <c r="CE339" i="59"/>
  <c r="AW320" i="59"/>
  <c r="AW335" i="59"/>
  <c r="CG339" i="59"/>
  <c r="CE318" i="59"/>
  <c r="AS336" i="59"/>
  <c r="AF318" i="59"/>
  <c r="CI320" i="59"/>
  <c r="BY355" i="59"/>
  <c r="CA316" i="59"/>
  <c r="AJ336" i="59"/>
  <c r="AM318" i="59"/>
  <c r="AM320" i="59"/>
  <c r="AR335" i="59"/>
  <c r="AY336" i="59"/>
  <c r="AK318" i="59"/>
  <c r="BA301" i="59"/>
  <c r="CF301" i="59"/>
  <c r="CN297" i="59"/>
  <c r="BI297" i="59"/>
  <c r="AN298" i="59"/>
  <c r="BS298" i="59"/>
  <c r="CU298" i="59"/>
  <c r="I299" i="59"/>
  <c r="BI301" i="59"/>
  <c r="BA299" i="59"/>
  <c r="CF298" i="59"/>
  <c r="BL298" i="59"/>
  <c r="CA298" i="59"/>
  <c r="AW299" i="59"/>
  <c r="CC299" i="59"/>
  <c r="BQ297" i="59"/>
  <c r="CL392" i="59"/>
  <c r="M373" i="59"/>
  <c r="P336" i="59"/>
  <c r="K339" i="59"/>
  <c r="CT356" i="59"/>
  <c r="CR317" i="59"/>
  <c r="CP336" i="59"/>
  <c r="BD354" i="59"/>
  <c r="AJ317" i="59"/>
  <c r="BJ320" i="59"/>
  <c r="X337" i="59"/>
  <c r="BF337" i="59"/>
  <c r="BI354" i="59"/>
  <c r="AP358" i="59"/>
  <c r="BD320" i="59"/>
  <c r="BG318" i="59"/>
  <c r="BP356" i="59"/>
  <c r="BH337" i="59"/>
  <c r="BR355" i="59"/>
  <c r="BI336" i="59"/>
  <c r="AW355" i="59"/>
  <c r="AQ355" i="59"/>
  <c r="AW354" i="59"/>
  <c r="BV355" i="59"/>
  <c r="BA336" i="59"/>
  <c r="CE356" i="59"/>
  <c r="CC355" i="59"/>
  <c r="T356" i="59"/>
  <c r="AZ358" i="59"/>
  <c r="AZ356" i="59"/>
  <c r="AH358" i="59"/>
  <c r="AH356" i="59"/>
  <c r="AU358" i="59"/>
  <c r="AZ318" i="59"/>
  <c r="AF356" i="59"/>
  <c r="CD316" i="59"/>
  <c r="CF318" i="59"/>
  <c r="AU335" i="59"/>
  <c r="BC320" i="59"/>
  <c r="BB318" i="59"/>
  <c r="CA354" i="59"/>
  <c r="CI358" i="59"/>
  <c r="AT335" i="59"/>
  <c r="BS335" i="59"/>
  <c r="CT393" i="59"/>
  <c r="AI335" i="59"/>
  <c r="W354" i="59"/>
  <c r="L336" i="59"/>
  <c r="CO318" i="59"/>
  <c r="CO356" i="59"/>
  <c r="CL318" i="59"/>
  <c r="BT337" i="59"/>
  <c r="BP354" i="59"/>
  <c r="BM316" i="59"/>
  <c r="BD355" i="59"/>
  <c r="AC356" i="59"/>
  <c r="AN320" i="59"/>
  <c r="AA356" i="59"/>
  <c r="AO336" i="59"/>
  <c r="AB320" i="59"/>
  <c r="CH318" i="59"/>
  <c r="BX336" i="59"/>
  <c r="CH320" i="59"/>
  <c r="AV320" i="59"/>
  <c r="AH320" i="59"/>
  <c r="BG335" i="59"/>
  <c r="AH339" i="59"/>
  <c r="CB337" i="59"/>
  <c r="BQ317" i="59"/>
  <c r="CF320" i="59"/>
  <c r="AX337" i="59"/>
  <c r="CF337" i="59"/>
  <c r="CF317" i="59"/>
  <c r="AK335" i="59"/>
  <c r="BP335" i="59"/>
  <c r="BP317" i="59"/>
  <c r="AW337" i="59"/>
  <c r="BA320" i="59"/>
  <c r="CD317" i="59"/>
  <c r="AZ320" i="59"/>
  <c r="BC335" i="59"/>
  <c r="BN354" i="59"/>
  <c r="CC317" i="59"/>
  <c r="AX356" i="59"/>
  <c r="AM317" i="59"/>
  <c r="BH316" i="59"/>
  <c r="CF336" i="59"/>
  <c r="BH355" i="59"/>
  <c r="BS358" i="59"/>
  <c r="CM299" i="59"/>
  <c r="AZ301" i="59"/>
  <c r="CE301" i="59"/>
  <c r="CO297" i="59"/>
  <c r="BJ297" i="59"/>
  <c r="AM298" i="59"/>
  <c r="AI298" i="59"/>
  <c r="CU392" i="59"/>
  <c r="G355" i="59"/>
  <c r="AD355" i="59"/>
  <c r="AF358" i="59"/>
  <c r="CK320" i="59"/>
  <c r="CK316" i="59"/>
  <c r="CP339" i="59"/>
  <c r="BL316" i="59"/>
  <c r="BB354" i="59"/>
  <c r="CD339" i="59"/>
  <c r="BT355" i="59"/>
  <c r="BG354" i="59"/>
  <c r="BD336" i="59"/>
  <c r="BG317" i="59"/>
  <c r="BE316" i="59"/>
  <c r="BH354" i="59"/>
  <c r="CA318" i="59"/>
  <c r="AT336" i="59"/>
  <c r="CA335" i="59"/>
  <c r="AB318" i="59"/>
  <c r="BP339" i="59"/>
  <c r="AB337" i="59"/>
  <c r="AJ356" i="59"/>
  <c r="AQ358" i="59"/>
  <c r="BY337" i="59"/>
  <c r="AK320" i="59"/>
  <c r="AI355" i="59"/>
  <c r="AK339" i="59"/>
  <c r="AK317" i="59"/>
  <c r="CG354" i="59"/>
  <c r="BS318" i="59"/>
  <c r="AL318" i="59"/>
  <c r="BN356" i="59"/>
  <c r="CG318" i="59"/>
  <c r="AZ337" i="59"/>
  <c r="BA317" i="59"/>
  <c r="BR358" i="59"/>
  <c r="AY339" i="59"/>
  <c r="CC316" i="59"/>
  <c r="BO317" i="59"/>
  <c r="BL354" i="59"/>
  <c r="CF316" i="59"/>
  <c r="BQ355" i="59"/>
  <c r="S358" i="59"/>
  <c r="BS317" i="59"/>
  <c r="BW299" i="59"/>
  <c r="AH301" i="59"/>
  <c r="BO301" i="59"/>
  <c r="CT301" i="59"/>
  <c r="BZ297" i="59"/>
  <c r="AU297" i="59"/>
  <c r="BO297" i="59"/>
  <c r="BB298" i="59"/>
  <c r="CE298" i="59"/>
  <c r="CD297" i="59"/>
  <c r="AY299" i="59"/>
  <c r="BB297" i="59"/>
  <c r="T358" i="59"/>
  <c r="AC358" i="59"/>
  <c r="AH355" i="59"/>
  <c r="CL320" i="59"/>
  <c r="CP335" i="59"/>
  <c r="CP354" i="59"/>
  <c r="I356" i="59"/>
  <c r="BR337" i="59"/>
  <c r="CE358" i="59"/>
  <c r="BL318" i="59"/>
  <c r="BW316" i="59"/>
  <c r="BT318" i="59"/>
  <c r="AV358" i="59"/>
  <c r="BU320" i="59"/>
  <c r="BX316" i="59"/>
  <c r="CC318" i="59"/>
  <c r="BZ318" i="59"/>
  <c r="CC320" i="59"/>
  <c r="BH358" i="59"/>
  <c r="V358" i="59"/>
  <c r="BH336" i="59"/>
  <c r="BP318" i="59"/>
  <c r="BG337" i="59"/>
  <c r="AU356" i="59"/>
  <c r="BQ316" i="59"/>
  <c r="BP358" i="59"/>
  <c r="CG356" i="59"/>
  <c r="CG355" i="59"/>
  <c r="BP320" i="59"/>
  <c r="BO339" i="59"/>
  <c r="CH356" i="59"/>
  <c r="BP316" i="59"/>
  <c r="AU355" i="59"/>
  <c r="BA318" i="59"/>
  <c r="BY317" i="59"/>
  <c r="AM355" i="59"/>
  <c r="AJ337" i="59"/>
  <c r="CI339" i="59"/>
  <c r="AM337" i="59"/>
  <c r="AR356" i="59"/>
  <c r="BQ354" i="59"/>
  <c r="BY318" i="59"/>
  <c r="BB339" i="59"/>
  <c r="AX336" i="59"/>
  <c r="BG299" i="59"/>
  <c r="CL299" i="59"/>
  <c r="AY301" i="59"/>
  <c r="CD301" i="59"/>
  <c r="CP297" i="59"/>
  <c r="BK297" i="59"/>
  <c r="CN301" i="59"/>
  <c r="AH336" i="59"/>
  <c r="U358" i="59"/>
  <c r="W355" i="59"/>
  <c r="CJ335" i="59"/>
  <c r="CQ358" i="59"/>
  <c r="CQ317" i="59"/>
  <c r="AO318" i="59"/>
  <c r="CH335" i="59"/>
  <c r="T337" i="59"/>
  <c r="BU355" i="59"/>
  <c r="BI356" i="59"/>
  <c r="BL320" i="59"/>
  <c r="AN336" i="59"/>
  <c r="AP337" i="59"/>
  <c r="AT337" i="59"/>
  <c r="AX316" i="59"/>
  <c r="AS320" i="59"/>
  <c r="AX317" i="59"/>
  <c r="BX355" i="59"/>
  <c r="CH358" i="59"/>
  <c r="BX358" i="59"/>
  <c r="V339" i="59"/>
  <c r="BI316" i="59"/>
  <c r="AW339" i="59"/>
  <c r="BY356" i="59"/>
  <c r="AI337" i="59"/>
  <c r="AL354" i="59"/>
  <c r="CC354" i="59"/>
  <c r="H320" i="59"/>
  <c r="AN318" i="59"/>
  <c r="BD337" i="59"/>
  <c r="AL317" i="59"/>
  <c r="AW336" i="59"/>
  <c r="CG316" i="59"/>
  <c r="AU339" i="59"/>
  <c r="AI317" i="59"/>
  <c r="BB358" i="59"/>
  <c r="BL355" i="59"/>
  <c r="BS354" i="59"/>
  <c r="AT339" i="59"/>
  <c r="V356" i="59"/>
  <c r="BN318" i="59"/>
  <c r="BO337" i="59"/>
  <c r="BS316" i="59"/>
  <c r="AQ299" i="59"/>
  <c r="BV299" i="59"/>
  <c r="AB301" i="59"/>
  <c r="BN301" i="59"/>
  <c r="CS301" i="59"/>
  <c r="CA297" i="59"/>
  <c r="BH301" i="59"/>
  <c r="AV297" i="59"/>
  <c r="AY297" i="59"/>
  <c r="CU297" i="59"/>
  <c r="CL301" i="59"/>
  <c r="CH297" i="59"/>
  <c r="BS297" i="59"/>
  <c r="CI301" i="59"/>
  <c r="BT301" i="59"/>
  <c r="BX299" i="59"/>
  <c r="CO298" i="59"/>
  <c r="CV297" i="59"/>
  <c r="Q297" i="59"/>
  <c r="AC316" i="59"/>
  <c r="G354" i="59"/>
  <c r="O339" i="59"/>
  <c r="CM335" i="59"/>
  <c r="CW336" i="59"/>
  <c r="CN358" i="59"/>
  <c r="AP335" i="59"/>
  <c r="BT356" i="59"/>
  <c r="CF354" i="59"/>
  <c r="BF356" i="59"/>
  <c r="AR320" i="59"/>
  <c r="BU339" i="59"/>
  <c r="AN317" i="59"/>
  <c r="BV318" i="59"/>
  <c r="BK358" i="59"/>
  <c r="BO320" i="59"/>
  <c r="BK356" i="59"/>
  <c r="AI356" i="59"/>
  <c r="AT318" i="59"/>
  <c r="CA317" i="59"/>
  <c r="AT317" i="59"/>
  <c r="AL358" i="59"/>
  <c r="AV318" i="59"/>
  <c r="BN358" i="59"/>
  <c r="AY316" i="59"/>
  <c r="AL335" i="59"/>
  <c r="BS339" i="59"/>
  <c r="CC337" i="59"/>
  <c r="BE358" i="59"/>
  <c r="BU317" i="59"/>
  <c r="BU337" i="59"/>
  <c r="BO356" i="59"/>
  <c r="BN339" i="59"/>
  <c r="AU354" i="59"/>
  <c r="BN317" i="59"/>
  <c r="AL337" i="59"/>
  <c r="CA337" i="59"/>
  <c r="AR339" i="59"/>
  <c r="CI337" i="59"/>
  <c r="CD336" i="59"/>
  <c r="BO336" i="59"/>
  <c r="AY320" i="59"/>
  <c r="CI335" i="59"/>
  <c r="CA355" i="59"/>
  <c r="AA299" i="59"/>
  <c r="BF299" i="59"/>
  <c r="CK299" i="59"/>
  <c r="AX301" i="59"/>
  <c r="CC301" i="59"/>
  <c r="CQ297" i="59"/>
  <c r="AH317" i="59"/>
  <c r="U336" i="59"/>
  <c r="N356" i="59"/>
  <c r="CR358" i="59"/>
  <c r="CM316" i="59"/>
  <c r="CO354" i="59"/>
  <c r="BW356" i="59"/>
  <c r="BU356" i="59"/>
  <c r="AK336" i="59"/>
  <c r="BV317" i="59"/>
  <c r="BH356" i="59"/>
  <c r="BF339" i="59"/>
  <c r="BD318" i="59"/>
  <c r="BG339" i="59"/>
  <c r="AF317" i="59"/>
  <c r="H358" i="59"/>
  <c r="BM339" i="59"/>
  <c r="H339" i="59"/>
  <c r="BK337" i="59"/>
  <c r="H336" i="59"/>
  <c r="BZ317" i="59"/>
  <c r="BR339" i="59"/>
  <c r="AR354" i="59"/>
  <c r="AJ355" i="59"/>
  <c r="AJ316" i="59"/>
  <c r="CA336" i="59"/>
  <c r="BO355" i="59"/>
  <c r="CI356" i="59"/>
  <c r="BX335" i="59"/>
  <c r="BX317" i="59"/>
  <c r="BX339" i="59"/>
  <c r="BT335" i="59"/>
  <c r="BB355" i="59"/>
  <c r="AW317" i="59"/>
  <c r="AY354" i="59"/>
  <c r="CH355" i="59"/>
  <c r="BO354" i="59"/>
  <c r="AT356" i="59"/>
  <c r="BS320" i="59"/>
  <c r="CF335" i="59"/>
  <c r="AP354" i="59"/>
  <c r="AJ339" i="59"/>
  <c r="AM356" i="59"/>
  <c r="BC337" i="59"/>
  <c r="CM298" i="59"/>
  <c r="AP299" i="59"/>
  <c r="BU299" i="59"/>
  <c r="AA301" i="59"/>
  <c r="BM301" i="59"/>
  <c r="BQ298" i="59"/>
  <c r="CR301" i="59"/>
  <c r="CB297" i="59"/>
  <c r="BX301" i="59"/>
  <c r="BZ301" i="59"/>
  <c r="BF301" i="59"/>
  <c r="BU301" i="59"/>
  <c r="CM301" i="59"/>
  <c r="AH299" i="59"/>
  <c r="AC299" i="59"/>
  <c r="AW298" i="59"/>
  <c r="CF297" i="59"/>
  <c r="CK297" i="59"/>
  <c r="K301" i="59"/>
  <c r="K299" i="59"/>
  <c r="I298" i="59"/>
  <c r="N298" i="59"/>
  <c r="AD301" i="59"/>
  <c r="CS374" i="59"/>
  <c r="X335" i="59"/>
  <c r="G339" i="59"/>
  <c r="Q354" i="59"/>
  <c r="CT318" i="59"/>
  <c r="CU355" i="59"/>
  <c r="CK336" i="59"/>
  <c r="BH339" i="59"/>
  <c r="AP318" i="59"/>
  <c r="BA316" i="59"/>
  <c r="AQ335" i="59"/>
  <c r="AT316" i="59"/>
  <c r="AC318" i="59"/>
  <c r="BL339" i="59"/>
  <c r="AV354" i="59"/>
  <c r="BM355" i="59"/>
  <c r="AN358" i="59"/>
  <c r="CE320" i="59"/>
  <c r="AN316" i="59"/>
  <c r="BM335" i="59"/>
  <c r="AN337" i="59"/>
  <c r="AS316" i="59"/>
  <c r="CH317" i="59"/>
  <c r="BH317" i="59"/>
  <c r="BP337" i="59"/>
  <c r="AL355" i="59"/>
  <c r="AM335" i="59"/>
  <c r="AO317" i="59"/>
  <c r="AO320" i="59"/>
  <c r="BJ317" i="59"/>
  <c r="BJ335" i="59"/>
  <c r="BJ354" i="59"/>
  <c r="CB317" i="59"/>
  <c r="CH354" i="59"/>
  <c r="BN335" i="59"/>
  <c r="BB336" i="59"/>
  <c r="CA339" i="59"/>
  <c r="BS355" i="59"/>
  <c r="BZ356" i="59"/>
  <c r="CI316" i="59"/>
  <c r="BQ356" i="59"/>
  <c r="BQ337" i="59"/>
  <c r="BB320" i="59"/>
  <c r="BC358" i="59"/>
  <c r="CC339" i="59"/>
  <c r="BW298" i="59"/>
  <c r="X299" i="59"/>
  <c r="BE299" i="59"/>
  <c r="CJ299" i="59"/>
  <c r="AW301" i="59"/>
  <c r="AK298" i="59"/>
  <c r="CB301" i="59"/>
  <c r="CR297" i="59"/>
  <c r="AR301" i="59"/>
  <c r="BJ301" i="59"/>
  <c r="AP301" i="59"/>
  <c r="BE301" i="59"/>
  <c r="CS299" i="59"/>
  <c r="BM298" i="59"/>
  <c r="BH298" i="59"/>
  <c r="BT297" i="59"/>
  <c r="BB301" i="59"/>
  <c r="BZ298" i="59"/>
  <c r="AG301" i="59"/>
  <c r="K298" i="59"/>
  <c r="J297" i="59"/>
  <c r="Y297" i="59"/>
  <c r="AG298" i="59"/>
  <c r="AD297" i="59"/>
  <c r="CP232" i="59"/>
  <c r="CP231" i="59"/>
  <c r="CW110" i="59"/>
  <c r="CU111" i="59"/>
  <c r="CT113" i="59"/>
  <c r="CP28" i="59"/>
  <c r="CJ29" i="59"/>
  <c r="CJ235" i="59"/>
  <c r="CJ233" i="59"/>
  <c r="CN111" i="59"/>
  <c r="CK29" i="59"/>
  <c r="CH235" i="59"/>
  <c r="BQ235" i="59"/>
  <c r="BE377" i="59"/>
  <c r="J320" i="59"/>
  <c r="L335" i="59"/>
  <c r="M335" i="59"/>
  <c r="CO355" i="59"/>
  <c r="CQ318" i="59"/>
  <c r="CW320" i="59"/>
  <c r="BJ356" i="59"/>
  <c r="BF316" i="59"/>
  <c r="CG358" i="59"/>
  <c r="BW317" i="59"/>
  <c r="AN339" i="59"/>
  <c r="BW320" i="59"/>
  <c r="AO356" i="59"/>
  <c r="AB339" i="59"/>
  <c r="CE337" i="59"/>
  <c r="BD316" i="59"/>
  <c r="AZ335" i="59"/>
  <c r="AO339" i="59"/>
  <c r="CD358" i="59"/>
  <c r="BT339" i="59"/>
  <c r="BK339" i="59"/>
  <c r="Q358" i="59"/>
  <c r="BX320" i="59"/>
  <c r="V320" i="59"/>
  <c r="BR320" i="59"/>
  <c r="AM316" i="59"/>
  <c r="BV354" i="59"/>
  <c r="BV337" i="59"/>
  <c r="AS317" i="59"/>
  <c r="AS339" i="59"/>
  <c r="AS356" i="59"/>
  <c r="AV356" i="59"/>
  <c r="AM339" i="59"/>
  <c r="AY358" i="59"/>
  <c r="CH316" i="59"/>
  <c r="AR336" i="59"/>
  <c r="BN337" i="59"/>
  <c r="CD337" i="59"/>
  <c r="AK355" i="59"/>
  <c r="BY339" i="59"/>
  <c r="AL356" i="59"/>
  <c r="AX320" i="59"/>
  <c r="BR335" i="59"/>
  <c r="BC316" i="59"/>
  <c r="BG298" i="59"/>
  <c r="CL298" i="59"/>
  <c r="AO299" i="59"/>
  <c r="BT299" i="59"/>
  <c r="V301" i="59"/>
  <c r="BM297" i="59"/>
  <c r="BL301" i="59"/>
  <c r="CW298" i="59"/>
  <c r="CQ301" i="59"/>
  <c r="AT301" i="59"/>
  <c r="CR299" i="59"/>
  <c r="AO301" i="59"/>
  <c r="AS299" i="59"/>
  <c r="BD297" i="59"/>
  <c r="BP297" i="59"/>
  <c r="BG301" i="59"/>
  <c r="BI299" i="59"/>
  <c r="AP297" i="59"/>
  <c r="G301" i="59"/>
  <c r="AC297" i="59"/>
  <c r="Z297" i="59"/>
  <c r="AH297" i="59"/>
  <c r="M297" i="59"/>
  <c r="BI375" i="59"/>
  <c r="L320" i="59"/>
  <c r="AE317" i="59"/>
  <c r="X316" i="59"/>
  <c r="CK358" i="59"/>
  <c r="CU354" i="59"/>
  <c r="CL356" i="59"/>
  <c r="BM354" i="59"/>
  <c r="CB335" i="59"/>
  <c r="AJ318" i="59"/>
  <c r="AR355" i="59"/>
  <c r="Y336" i="59"/>
  <c r="AN356" i="59"/>
  <c r="BU336" i="59"/>
  <c r="AO316" i="59"/>
  <c r="U318" i="59"/>
  <c r="BF354" i="59"/>
  <c r="CG317" i="59"/>
  <c r="AG356" i="59"/>
  <c r="AZ336" i="59"/>
  <c r="AO358" i="59"/>
  <c r="CD356" i="59"/>
  <c r="AN354" i="59"/>
  <c r="BZ336" i="59"/>
  <c r="BR318" i="59"/>
  <c r="AX318" i="59"/>
  <c r="BF336" i="59"/>
  <c r="BX354" i="59"/>
  <c r="BX356" i="59"/>
  <c r="BM317" i="59"/>
  <c r="BM320" i="59"/>
  <c r="BM336" i="59"/>
  <c r="AT358" i="59"/>
  <c r="AD337" i="59"/>
  <c r="CH339" i="59"/>
  <c r="BO318" i="59"/>
  <c r="BZ335" i="59"/>
  <c r="BC355" i="59"/>
  <c r="BQ358" i="59"/>
  <c r="CI336" i="59"/>
  <c r="AY337" i="59"/>
  <c r="AL336" i="59"/>
  <c r="BC356" i="59"/>
  <c r="CC336" i="59"/>
  <c r="AI339" i="59"/>
  <c r="AQ297" i="59"/>
  <c r="BF298" i="59"/>
  <c r="CK298" i="59"/>
  <c r="AN299" i="59"/>
  <c r="BS299" i="59"/>
  <c r="AJ298" i="59"/>
  <c r="Q301" i="59"/>
  <c r="AW297" i="59"/>
  <c r="BK301" i="59"/>
  <c r="CF299" i="59"/>
  <c r="BL299" i="59"/>
  <c r="CA299" i="59"/>
  <c r="AZ297" i="59"/>
  <c r="CN299" i="59"/>
  <c r="L396" i="59"/>
  <c r="CN355" i="59"/>
  <c r="CK355" i="59"/>
  <c r="V317" i="59"/>
  <c r="AG335" i="59"/>
  <c r="AE354" i="59"/>
  <c r="P354" i="59"/>
  <c r="BM375" i="59"/>
  <c r="V337" i="59"/>
  <c r="BU335" i="59"/>
  <c r="CS358" i="59"/>
  <c r="CW317" i="59"/>
  <c r="CM318" i="59"/>
  <c r="CL316" i="59"/>
  <c r="M337" i="59"/>
  <c r="J356" i="59"/>
  <c r="K356" i="59"/>
  <c r="S354" i="59"/>
  <c r="AW377" i="59"/>
  <c r="BL337" i="59"/>
  <c r="BZ339" i="59"/>
  <c r="CR339" i="59"/>
  <c r="CW354" i="59"/>
  <c r="CV354" i="59"/>
  <c r="CM356" i="59"/>
  <c r="Q318" i="59"/>
  <c r="AF354" i="59"/>
  <c r="H318" i="59"/>
  <c r="O318" i="59"/>
  <c r="BH374" i="59"/>
  <c r="X318" i="59"/>
  <c r="BX337" i="59"/>
  <c r="CS355" i="59"/>
  <c r="CW316" i="59"/>
  <c r="CT354" i="59"/>
  <c r="CQ354" i="59"/>
  <c r="T355" i="59"/>
  <c r="V316" i="59"/>
  <c r="M317" i="59"/>
  <c r="AD335" i="59"/>
  <c r="AT373" i="59"/>
  <c r="CU358" i="59"/>
  <c r="CP355" i="59"/>
  <c r="CW358" i="59"/>
  <c r="CU317" i="59"/>
  <c r="Y318" i="59"/>
  <c r="N335" i="59"/>
  <c r="P355" i="59"/>
  <c r="AH354" i="59"/>
  <c r="U339" i="59"/>
  <c r="AA374" i="59"/>
  <c r="BQ374" i="59"/>
  <c r="CR335" i="59"/>
  <c r="CS354" i="59"/>
  <c r="CS320" i="59"/>
  <c r="Y316" i="59"/>
  <c r="O355" i="59"/>
  <c r="G356" i="59"/>
  <c r="M336" i="59"/>
  <c r="N355" i="59"/>
  <c r="AC377" i="59"/>
  <c r="CG375" i="59"/>
  <c r="CW335" i="59"/>
  <c r="CJ358" i="59"/>
  <c r="CN339" i="59"/>
  <c r="CN336" i="59"/>
  <c r="CQ337" i="59"/>
  <c r="Z320" i="59"/>
  <c r="N320" i="59"/>
  <c r="L355" i="59"/>
  <c r="G318" i="59"/>
  <c r="AI316" i="59"/>
  <c r="CO374" i="59"/>
  <c r="Z22" i="56"/>
  <c r="CJ318" i="59"/>
  <c r="CU356" i="59"/>
  <c r="CO358" i="59"/>
  <c r="CR355" i="59"/>
  <c r="CN337" i="59"/>
  <c r="CM354" i="59"/>
  <c r="P356" i="59"/>
  <c r="H337" i="59"/>
  <c r="J318" i="59"/>
  <c r="W316" i="59"/>
  <c r="S374" i="59"/>
  <c r="AG375" i="59"/>
  <c r="M356" i="59"/>
  <c r="AB355" i="59"/>
  <c r="L316" i="59"/>
  <c r="AG355" i="59"/>
  <c r="AB354" i="59"/>
  <c r="Q337" i="59"/>
  <c r="AA354" i="59"/>
  <c r="P316" i="59"/>
  <c r="AH316" i="59"/>
  <c r="P320" i="59"/>
  <c r="V335" i="59"/>
  <c r="Y339" i="59"/>
  <c r="I355" i="59"/>
  <c r="AI354" i="59"/>
  <c r="R373" i="59"/>
  <c r="R377" i="59"/>
  <c r="S377" i="59"/>
  <c r="CT373" i="59"/>
  <c r="BF374" i="59"/>
  <c r="CC375" i="59"/>
  <c r="CM373" i="59"/>
  <c r="BE393" i="59"/>
  <c r="I316" i="59"/>
  <c r="J316" i="59"/>
  <c r="M316" i="59"/>
  <c r="X339" i="59"/>
  <c r="AC355" i="59"/>
  <c r="J355" i="59"/>
  <c r="R375" i="59"/>
  <c r="M375" i="59"/>
  <c r="P373" i="59"/>
  <c r="AJ373" i="59"/>
  <c r="BW374" i="59"/>
  <c r="BG377" i="59"/>
  <c r="BJ377" i="59"/>
  <c r="AL375" i="59"/>
  <c r="CM393" i="59"/>
  <c r="BI22" i="56"/>
  <c r="O337" i="59"/>
  <c r="O354" i="59"/>
  <c r="AD317" i="59"/>
  <c r="N318" i="59"/>
  <c r="O358" i="59"/>
  <c r="R358" i="59"/>
  <c r="I358" i="59"/>
  <c r="U317" i="59"/>
  <c r="U316" i="59"/>
  <c r="T316" i="59"/>
  <c r="AD358" i="59"/>
  <c r="AD354" i="59"/>
  <c r="AG320" i="59"/>
  <c r="W374" i="59"/>
  <c r="T377" i="59"/>
  <c r="AH374" i="59"/>
  <c r="AL373" i="59"/>
  <c r="AN377" i="59"/>
  <c r="X375" i="59"/>
  <c r="AH375" i="59"/>
  <c r="BH373" i="59"/>
  <c r="CQ393" i="59"/>
  <c r="R336" i="59"/>
  <c r="AF316" i="59"/>
  <c r="Z356" i="59"/>
  <c r="S356" i="59"/>
  <c r="T317" i="59"/>
  <c r="Y377" i="59"/>
  <c r="N375" i="59"/>
  <c r="J374" i="59"/>
  <c r="BE375" i="59"/>
  <c r="AP375" i="59"/>
  <c r="CM377" i="59"/>
  <c r="AX375" i="59"/>
  <c r="BQ377" i="59"/>
  <c r="V394" i="59"/>
  <c r="R318" i="59"/>
  <c r="O336" i="59"/>
  <c r="AE320" i="59"/>
  <c r="N316" i="59"/>
  <c r="M355" i="59"/>
  <c r="N317" i="59"/>
  <c r="L375" i="59"/>
  <c r="V374" i="59"/>
  <c r="AC374" i="59"/>
  <c r="BF375" i="59"/>
  <c r="BZ375" i="59"/>
  <c r="CV373" i="59"/>
  <c r="CD375" i="59"/>
  <c r="BX396" i="59"/>
  <c r="AE396" i="59"/>
  <c r="Z20" i="56"/>
  <c r="AV337" i="59"/>
  <c r="BR354" i="59"/>
  <c r="AS354" i="59"/>
  <c r="AE337" i="59"/>
  <c r="BQ339" i="59"/>
  <c r="BG320" i="59"/>
  <c r="BR356" i="59"/>
  <c r="AS318" i="59"/>
  <c r="BD317" i="59"/>
  <c r="AV355" i="59"/>
  <c r="BI335" i="59"/>
  <c r="BG336" i="59"/>
  <c r="AC337" i="59"/>
  <c r="AA318" i="59"/>
  <c r="AA320" i="59"/>
  <c r="BB337" i="59"/>
  <c r="BK336" i="59"/>
  <c r="AO355" i="59"/>
  <c r="AW318" i="59"/>
  <c r="AR317" i="59"/>
  <c r="Q320" i="59"/>
  <c r="CO316" i="59"/>
  <c r="CL355" i="59"/>
  <c r="CP317" i="59"/>
  <c r="CU320" i="59"/>
  <c r="CW337" i="59"/>
  <c r="CJ336" i="59"/>
  <c r="CO320" i="59"/>
  <c r="CQ320" i="59"/>
  <c r="CO337" i="59"/>
  <c r="CU318" i="59"/>
  <c r="X317" i="59"/>
  <c r="I339" i="59"/>
  <c r="AB316" i="59"/>
  <c r="J358" i="59"/>
  <c r="I336" i="59"/>
  <c r="N354" i="59"/>
  <c r="Z358" i="59"/>
  <c r="AA316" i="59"/>
  <c r="H316" i="59"/>
  <c r="AA336" i="59"/>
  <c r="T336" i="59"/>
  <c r="AF320" i="59"/>
  <c r="Z316" i="59"/>
  <c r="R356" i="59"/>
  <c r="J317" i="59"/>
  <c r="W373" i="59"/>
  <c r="X377" i="59"/>
  <c r="AH373" i="59"/>
  <c r="BG375" i="59"/>
  <c r="AO377" i="59"/>
  <c r="AE375" i="59"/>
  <c r="CA377" i="59"/>
  <c r="BE394" i="59"/>
  <c r="S320" i="59"/>
  <c r="AG337" i="59"/>
  <c r="AU336" i="59"/>
  <c r="BI317" i="59"/>
  <c r="AL320" i="59"/>
  <c r="BZ316" i="59"/>
  <c r="BT354" i="59"/>
  <c r="BA355" i="59"/>
  <c r="AQ317" i="59"/>
  <c r="AL316" i="59"/>
  <c r="BZ358" i="59"/>
  <c r="AN335" i="59"/>
  <c r="BW337" i="59"/>
  <c r="BW339" i="59"/>
  <c r="AA339" i="59"/>
  <c r="BF320" i="59"/>
  <c r="CB316" i="59"/>
  <c r="CB336" i="59"/>
  <c r="V318" i="59"/>
  <c r="BZ320" i="59"/>
  <c r="I337" i="59"/>
  <c r="AU316" i="59"/>
  <c r="AV336" i="59"/>
  <c r="CU316" i="59"/>
  <c r="CN316" i="59"/>
  <c r="CV316" i="59"/>
  <c r="CJ354" i="59"/>
  <c r="CP318" i="59"/>
  <c r="CJ339" i="59"/>
  <c r="CW356" i="59"/>
  <c r="CT337" i="59"/>
  <c r="CU339" i="59"/>
  <c r="CT355" i="59"/>
  <c r="CS336" i="59"/>
  <c r="Q316" i="59"/>
  <c r="M320" i="59"/>
  <c r="AE316" i="59"/>
  <c r="T335" i="59"/>
  <c r="I335" i="59"/>
  <c r="AB317" i="59"/>
  <c r="W317" i="59"/>
  <c r="AD316" i="59"/>
  <c r="R317" i="59"/>
  <c r="AE335" i="59"/>
  <c r="S335" i="59"/>
  <c r="AC339" i="59"/>
  <c r="X336" i="59"/>
  <c r="AE358" i="59"/>
  <c r="L337" i="59"/>
  <c r="Y373" i="59"/>
  <c r="S375" i="59"/>
  <c r="L373" i="59"/>
  <c r="CD373" i="59"/>
  <c r="CI377" i="59"/>
  <c r="BX377" i="59"/>
  <c r="BS373" i="59"/>
  <c r="CA394" i="59"/>
  <c r="BY316" i="59"/>
  <c r="BI320" i="59"/>
  <c r="CR320" i="59"/>
  <c r="CS356" i="59"/>
  <c r="CR354" i="59"/>
  <c r="CL354" i="59"/>
  <c r="CJ337" i="59"/>
  <c r="CL335" i="59"/>
  <c r="CS337" i="59"/>
  <c r="CR356" i="59"/>
  <c r="CS318" i="59"/>
  <c r="CN318" i="59"/>
  <c r="CJ356" i="59"/>
  <c r="H335" i="59"/>
  <c r="Z317" i="59"/>
  <c r="O320" i="59"/>
  <c r="S355" i="59"/>
  <c r="V336" i="59"/>
  <c r="AC320" i="59"/>
  <c r="K318" i="59"/>
  <c r="I320" i="59"/>
  <c r="L317" i="59"/>
  <c r="J335" i="59"/>
  <c r="W337" i="59"/>
  <c r="W338" i="59" s="1"/>
  <c r="J337" i="59"/>
  <c r="AD339" i="59"/>
  <c r="X320" i="59"/>
  <c r="U335" i="59"/>
  <c r="U374" i="59"/>
  <c r="T374" i="59"/>
  <c r="O373" i="59"/>
  <c r="BH375" i="59"/>
  <c r="CP375" i="59"/>
  <c r="CW373" i="59"/>
  <c r="AF374" i="59"/>
  <c r="CC396" i="59"/>
  <c r="CP320" i="59"/>
  <c r="CN354" i="59"/>
  <c r="CV336" i="59"/>
  <c r="CL337" i="59"/>
  <c r="CV337" i="59"/>
  <c r="CP316" i="59"/>
  <c r="CN320" i="59"/>
  <c r="CJ316" i="59"/>
  <c r="CM358" i="59"/>
  <c r="CL339" i="59"/>
  <c r="H354" i="59"/>
  <c r="W318" i="59"/>
  <c r="L318" i="59"/>
  <c r="X354" i="59"/>
  <c r="AD336" i="59"/>
  <c r="O316" i="59"/>
  <c r="AG339" i="59"/>
  <c r="U320" i="59"/>
  <c r="Q317" i="59"/>
  <c r="W339" i="59"/>
  <c r="R355" i="59"/>
  <c r="AC335" i="59"/>
  <c r="R354" i="59"/>
  <c r="K320" i="59"/>
  <c r="AG354" i="59"/>
  <c r="O375" i="59"/>
  <c r="S373" i="59"/>
  <c r="U377" i="59"/>
  <c r="BS377" i="59"/>
  <c r="AO374" i="59"/>
  <c r="AS377" i="59"/>
  <c r="BT373" i="59"/>
  <c r="R393" i="59"/>
  <c r="I394" i="59"/>
  <c r="BW336" i="59"/>
  <c r="CB358" i="59"/>
  <c r="BF355" i="59"/>
  <c r="AP316" i="59"/>
  <c r="BE317" i="59"/>
  <c r="AP336" i="59"/>
  <c r="AP356" i="59"/>
  <c r="AY355" i="59"/>
  <c r="BH320" i="59"/>
  <c r="BD339" i="59"/>
  <c r="BA335" i="59"/>
  <c r="AQ318" i="59"/>
  <c r="CQ316" i="59"/>
  <c r="CL358" i="59"/>
  <c r="CJ320" i="59"/>
  <c r="CT336" i="59"/>
  <c r="CV339" i="59"/>
  <c r="CT317" i="59"/>
  <c r="CK318" i="59"/>
  <c r="CM317" i="59"/>
  <c r="CL336" i="59"/>
  <c r="CQ355" i="59"/>
  <c r="CK339" i="59"/>
  <c r="AD320" i="59"/>
  <c r="Y320" i="59"/>
  <c r="W320" i="59"/>
  <c r="J354" i="59"/>
  <c r="N336" i="59"/>
  <c r="O317" i="59"/>
  <c r="S337" i="59"/>
  <c r="R320" i="59"/>
  <c r="K316" i="59"/>
  <c r="Z337" i="59"/>
  <c r="L354" i="59"/>
  <c r="J339" i="59"/>
  <c r="M354" i="59"/>
  <c r="G320" i="59"/>
  <c r="X358" i="59"/>
  <c r="H375" i="59"/>
  <c r="G377" i="59"/>
  <c r="O377" i="59"/>
  <c r="CR373" i="59"/>
  <c r="AP374" i="59"/>
  <c r="BI377" i="59"/>
  <c r="BO375" i="59"/>
  <c r="AA393" i="59"/>
  <c r="AZ394" i="59"/>
  <c r="AK337" i="59"/>
  <c r="CB339" i="59"/>
  <c r="CU337" i="59"/>
  <c r="CV335" i="59"/>
  <c r="CL317" i="59"/>
  <c r="CR316" i="59"/>
  <c r="CR318" i="59"/>
  <c r="CM336" i="59"/>
  <c r="CV355" i="59"/>
  <c r="CQ335" i="59"/>
  <c r="CK337" i="59"/>
  <c r="CU336" i="59"/>
  <c r="CO317" i="59"/>
  <c r="T339" i="59"/>
  <c r="W335" i="59"/>
  <c r="AB335" i="59"/>
  <c r="U354" i="59"/>
  <c r="H356" i="59"/>
  <c r="AB336" i="59"/>
  <c r="Q336" i="59"/>
  <c r="G335" i="59"/>
  <c r="I317" i="59"/>
  <c r="G336" i="59"/>
  <c r="W356" i="59"/>
  <c r="W357" i="59" s="1"/>
  <c r="P358" i="59"/>
  <c r="S317" i="59"/>
  <c r="AH335" i="59"/>
  <c r="Q356" i="59"/>
  <c r="K375" i="59"/>
  <c r="AE374" i="59"/>
  <c r="Z373" i="59"/>
  <c r="BU374" i="59"/>
  <c r="AR375" i="59"/>
  <c r="BY377" i="59"/>
  <c r="CE375" i="59"/>
  <c r="Z392" i="59"/>
  <c r="CD396" i="59"/>
  <c r="AF336" i="59"/>
  <c r="AO335" i="59"/>
  <c r="AU320" i="59"/>
  <c r="AV339" i="59"/>
  <c r="AQ356" i="59"/>
  <c r="AP320" i="59"/>
  <c r="AD356" i="59"/>
  <c r="BE355" i="59"/>
  <c r="BL336" i="59"/>
  <c r="BE320" i="59"/>
  <c r="BE354" i="59"/>
  <c r="AW316" i="59"/>
  <c r="AV316" i="59"/>
  <c r="AI336" i="59"/>
  <c r="CF355" i="59"/>
  <c r="BV339" i="59"/>
  <c r="CW339" i="59"/>
  <c r="CR337" i="59"/>
  <c r="CV317" i="59"/>
  <c r="CM337" i="59"/>
  <c r="CJ355" i="59"/>
  <c r="CW355" i="59"/>
  <c r="CO336" i="59"/>
  <c r="CU335" i="59"/>
  <c r="CO339" i="59"/>
  <c r="CS339" i="59"/>
  <c r="CT358" i="59"/>
  <c r="AG358" i="59"/>
  <c r="Q335" i="59"/>
  <c r="K335" i="59"/>
  <c r="V355" i="59"/>
  <c r="M358" i="59"/>
  <c r="K336" i="59"/>
  <c r="V354" i="59"/>
  <c r="AA335" i="59"/>
  <c r="R335" i="59"/>
  <c r="I354" i="59"/>
  <c r="Y358" i="59"/>
  <c r="T354" i="59"/>
  <c r="M318" i="59"/>
  <c r="R337" i="59"/>
  <c r="G358" i="59"/>
  <c r="R374" i="59"/>
  <c r="X374" i="59"/>
  <c r="J373" i="59"/>
  <c r="BW375" i="59"/>
  <c r="CL375" i="59"/>
  <c r="CO377" i="59"/>
  <c r="CR377" i="59"/>
  <c r="AJ393" i="59"/>
  <c r="O396" i="59"/>
  <c r="BI24" i="56"/>
  <c r="AE318" i="59"/>
  <c r="CG335" i="59"/>
  <c r="BW318" i="59"/>
  <c r="CB356" i="59"/>
  <c r="AD318" i="59"/>
  <c r="BU318" i="59"/>
  <c r="Y317" i="59"/>
  <c r="BT316" i="59"/>
  <c r="Y355" i="59"/>
  <c r="I318" i="59"/>
  <c r="BY336" i="59"/>
  <c r="BI337" i="59"/>
  <c r="BI338" i="59" s="1"/>
  <c r="AX358" i="59"/>
  <c r="T318" i="59"/>
  <c r="BF317" i="59"/>
  <c r="CQ356" i="59"/>
  <c r="CN335" i="59"/>
  <c r="CT339" i="59"/>
  <c r="CQ339" i="59"/>
  <c r="CK354" i="59"/>
  <c r="CS316" i="59"/>
  <c r="CT335" i="59"/>
  <c r="CS335" i="59"/>
  <c r="CT320" i="59"/>
  <c r="CJ317" i="59"/>
  <c r="CN356" i="59"/>
  <c r="S336" i="59"/>
  <c r="AE339" i="59"/>
  <c r="Z335" i="59"/>
  <c r="G316" i="59"/>
  <c r="X355" i="59"/>
  <c r="Z336" i="59"/>
  <c r="Y354" i="59"/>
  <c r="AE336" i="59"/>
  <c r="N339" i="59"/>
  <c r="L356" i="59"/>
  <c r="K317" i="59"/>
  <c r="Q355" i="59"/>
  <c r="S318" i="59"/>
  <c r="N337" i="59"/>
  <c r="K358" i="59"/>
  <c r="P374" i="59"/>
  <c r="N374" i="59"/>
  <c r="AF373" i="59"/>
  <c r="AT374" i="59"/>
  <c r="CM374" i="59"/>
  <c r="H374" i="59"/>
  <c r="AJ375" i="59"/>
  <c r="BR392" i="59"/>
  <c r="M396" i="59"/>
  <c r="Y396" i="59"/>
  <c r="U355" i="59"/>
  <c r="Z354" i="59"/>
  <c r="AG316" i="59"/>
  <c r="P318" i="59"/>
  <c r="P319" i="59" s="1"/>
  <c r="AE377" i="59"/>
  <c r="AG373" i="59"/>
  <c r="X373" i="59"/>
  <c r="W377" i="59"/>
  <c r="AC375" i="59"/>
  <c r="AC376" i="59" s="1"/>
  <c r="BO373" i="59"/>
  <c r="BA373" i="59"/>
  <c r="CT375" i="59"/>
  <c r="CV377" i="59"/>
  <c r="CO393" i="59"/>
  <c r="P337" i="59"/>
  <c r="P338" i="59" s="1"/>
  <c r="AC354" i="59"/>
  <c r="T320" i="59"/>
  <c r="S316" i="59"/>
  <c r="Y335" i="59"/>
  <c r="G374" i="59"/>
  <c r="T373" i="59"/>
  <c r="Q375" i="59"/>
  <c r="Z377" i="59"/>
  <c r="AL377" i="59"/>
  <c r="BZ374" i="59"/>
  <c r="CR375" i="59"/>
  <c r="AM373" i="59"/>
  <c r="BI21" i="56"/>
  <c r="Z25" i="56"/>
  <c r="O394" i="59"/>
  <c r="Z374" i="59"/>
  <c r="AK373" i="59"/>
  <c r="CF373" i="59"/>
  <c r="CO375" i="59"/>
  <c r="BY375" i="59"/>
  <c r="BN373" i="59"/>
  <c r="CK377" i="59"/>
  <c r="BR377" i="59"/>
  <c r="CG373" i="59"/>
  <c r="CA375" i="59"/>
  <c r="AT377" i="59"/>
  <c r="BK377" i="59"/>
  <c r="BD373" i="59"/>
  <c r="CB377" i="59"/>
  <c r="V377" i="59"/>
  <c r="BQ375" i="59"/>
  <c r="I375" i="59"/>
  <c r="BS374" i="59"/>
  <c r="AN374" i="59"/>
  <c r="G396" i="59"/>
  <c r="M393" i="59"/>
  <c r="L393" i="59"/>
  <c r="Y393" i="59"/>
  <c r="BP393" i="59"/>
  <c r="AZ392" i="59"/>
  <c r="BB393" i="59"/>
  <c r="AK393" i="59"/>
  <c r="AP393" i="59"/>
  <c r="AR393" i="59"/>
  <c r="AT393" i="59"/>
  <c r="AV393" i="59"/>
  <c r="AL396" i="59"/>
  <c r="CJ394" i="59"/>
  <c r="CN394" i="59"/>
  <c r="BJ394" i="59"/>
  <c r="AU396" i="59"/>
  <c r="CS394" i="59"/>
  <c r="BO396" i="59"/>
  <c r="CI396" i="59"/>
  <c r="CV396" i="59"/>
  <c r="AD394" i="59"/>
  <c r="M394" i="59"/>
  <c r="CI374" i="59"/>
  <c r="BD374" i="59"/>
  <c r="N392" i="59"/>
  <c r="AD392" i="59"/>
  <c r="H392" i="59"/>
  <c r="AN393" i="59"/>
  <c r="AY393" i="59"/>
  <c r="CW392" i="59"/>
  <c r="CH393" i="59"/>
  <c r="H393" i="59"/>
  <c r="BF393" i="59"/>
  <c r="BH393" i="59"/>
  <c r="BJ393" i="59"/>
  <c r="BL393" i="59"/>
  <c r="AA396" i="59"/>
  <c r="BU396" i="59"/>
  <c r="AS396" i="59"/>
  <c r="BZ394" i="59"/>
  <c r="CB396" i="59"/>
  <c r="CH396" i="59"/>
  <c r="AY394" i="59"/>
  <c r="CI394" i="59"/>
  <c r="BP394" i="59"/>
  <c r="J396" i="59"/>
  <c r="AG396" i="59"/>
  <c r="H373" i="59"/>
  <c r="K374" i="59"/>
  <c r="AG377" i="59"/>
  <c r="Q373" i="59"/>
  <c r="M377" i="59"/>
  <c r="AD377" i="59"/>
  <c r="AS374" i="59"/>
  <c r="CP373" i="59"/>
  <c r="BK373" i="59"/>
  <c r="CH377" i="59"/>
  <c r="BY374" i="59"/>
  <c r="BF377" i="59"/>
  <c r="AQ374" i="59"/>
  <c r="AV374" i="59"/>
  <c r="H377" i="59"/>
  <c r="BZ377" i="59"/>
  <c r="CQ377" i="59"/>
  <c r="CJ373" i="59"/>
  <c r="AO373" i="59"/>
  <c r="BM377" i="59"/>
  <c r="CW375" i="59"/>
  <c r="BB375" i="59"/>
  <c r="T375" i="59"/>
  <c r="BT374" i="59"/>
  <c r="AH392" i="59"/>
  <c r="N393" i="59"/>
  <c r="S393" i="59"/>
  <c r="K393" i="59"/>
  <c r="AN392" i="59"/>
  <c r="AZ393" i="59"/>
  <c r="CF393" i="59"/>
  <c r="BE392" i="59"/>
  <c r="CM392" i="59"/>
  <c r="BV393" i="59"/>
  <c r="BX393" i="59"/>
  <c r="BZ393" i="59"/>
  <c r="CB393" i="59"/>
  <c r="Q396" i="59"/>
  <c r="BF396" i="59"/>
  <c r="BI396" i="59"/>
  <c r="CP394" i="59"/>
  <c r="CR396" i="59"/>
  <c r="AH396" i="59"/>
  <c r="BO394" i="59"/>
  <c r="BD394" i="59"/>
  <c r="BA396" i="59"/>
  <c r="N394" i="59"/>
  <c r="Z394" i="59"/>
  <c r="AA373" i="59"/>
  <c r="Q374" i="59"/>
  <c r="G375" i="59"/>
  <c r="CC373" i="59"/>
  <c r="BI374" i="59"/>
  <c r="CS373" i="59"/>
  <c r="CB373" i="59"/>
  <c r="AQ375" i="59"/>
  <c r="AV373" i="59"/>
  <c r="CK374" i="59"/>
  <c r="BL374" i="59"/>
  <c r="BB373" i="59"/>
  <c r="CP377" i="59"/>
  <c r="AU374" i="59"/>
  <c r="AI374" i="59"/>
  <c r="BE373" i="59"/>
  <c r="CC377" i="59"/>
  <c r="AA377" i="59"/>
  <c r="BR375" i="59"/>
  <c r="AM375" i="59"/>
  <c r="CJ374" i="59"/>
  <c r="J393" i="59"/>
  <c r="U392" i="59"/>
  <c r="P392" i="59"/>
  <c r="X392" i="59"/>
  <c r="AO392" i="59"/>
  <c r="BA393" i="59"/>
  <c r="BA392" i="59"/>
  <c r="BU392" i="59"/>
  <c r="BU393" i="59"/>
  <c r="CL393" i="59"/>
  <c r="CN393" i="59"/>
  <c r="CP393" i="59"/>
  <c r="CR393" i="59"/>
  <c r="AK394" i="59"/>
  <c r="AP394" i="59"/>
  <c r="BY396" i="59"/>
  <c r="AA394" i="59"/>
  <c r="AV394" i="59"/>
  <c r="AO394" i="59"/>
  <c r="CE394" i="59"/>
  <c r="BE396" i="59"/>
  <c r="BQ396" i="59"/>
  <c r="J394" i="59"/>
  <c r="Y394" i="59"/>
  <c r="G373" i="59"/>
  <c r="BJ375" i="59"/>
  <c r="AA375" i="59"/>
  <c r="BV374" i="59"/>
  <c r="BE374" i="59"/>
  <c r="CK375" i="59"/>
  <c r="BP373" i="59"/>
  <c r="BZ373" i="59"/>
  <c r="CB374" i="59"/>
  <c r="BR373" i="59"/>
  <c r="CQ374" i="59"/>
  <c r="CA374" i="59"/>
  <c r="AY374" i="59"/>
  <c r="BU373" i="59"/>
  <c r="CS377" i="59"/>
  <c r="AX377" i="59"/>
  <c r="CH375" i="59"/>
  <c r="BC375" i="59"/>
  <c r="U375" i="59"/>
  <c r="T393" i="59"/>
  <c r="Y392" i="59"/>
  <c r="AC393" i="59"/>
  <c r="S392" i="59"/>
  <c r="AP392" i="59"/>
  <c r="BM393" i="59"/>
  <c r="AF393" i="59"/>
  <c r="CK392" i="59"/>
  <c r="CK393" i="59"/>
  <c r="AR392" i="59"/>
  <c r="AU392" i="59"/>
  <c r="AW392" i="59"/>
  <c r="AI396" i="59"/>
  <c r="AO396" i="59"/>
  <c r="BG396" i="59"/>
  <c r="CO396" i="59"/>
  <c r="AN396" i="59"/>
  <c r="BL394" i="59"/>
  <c r="CL394" i="59"/>
  <c r="CU394" i="59"/>
  <c r="BU394" i="59"/>
  <c r="CG396" i="59"/>
  <c r="P396" i="59"/>
  <c r="N396" i="59"/>
  <c r="R339" i="59"/>
  <c r="AA355" i="59"/>
  <c r="Y356" i="59"/>
  <c r="Y357" i="59" s="1"/>
  <c r="AG317" i="59"/>
  <c r="AF335" i="59"/>
  <c r="Z318" i="59"/>
  <c r="Y337" i="59"/>
  <c r="K337" i="59"/>
  <c r="Y375" i="59"/>
  <c r="AD374" i="59"/>
  <c r="AB373" i="59"/>
  <c r="K377" i="59"/>
  <c r="I374" i="59"/>
  <c r="I373" i="59"/>
  <c r="AY373" i="59"/>
  <c r="BT377" i="59"/>
  <c r="AD375" i="59"/>
  <c r="V375" i="59"/>
  <c r="AP377" i="59"/>
  <c r="AS375" i="59"/>
  <c r="AR374" i="59"/>
  <c r="CR374" i="59"/>
  <c r="CH373" i="59"/>
  <c r="BH377" i="59"/>
  <c r="AU375" i="59"/>
  <c r="BO374" i="59"/>
  <c r="CK373" i="59"/>
  <c r="AP373" i="59"/>
  <c r="BN377" i="59"/>
  <c r="AB377" i="59"/>
  <c r="BS375" i="59"/>
  <c r="AN375" i="59"/>
  <c r="P393" i="59"/>
  <c r="AB393" i="59"/>
  <c r="T392" i="59"/>
  <c r="H394" i="59"/>
  <c r="AQ392" i="59"/>
  <c r="CE392" i="59"/>
  <c r="CG393" i="59"/>
  <c r="AL393" i="59"/>
  <c r="BD392" i="59"/>
  <c r="BI392" i="59"/>
  <c r="BK392" i="59"/>
  <c r="BM392" i="59"/>
  <c r="S396" i="59"/>
  <c r="X394" i="59"/>
  <c r="AQ394" i="59"/>
  <c r="AS394" i="59"/>
  <c r="BF394" i="59"/>
  <c r="CB394" i="59"/>
  <c r="AW396" i="59"/>
  <c r="BS394" i="59"/>
  <c r="CL396" i="59"/>
  <c r="CW396" i="59"/>
  <c r="AB394" i="59"/>
  <c r="W394" i="59"/>
  <c r="AC336" i="59"/>
  <c r="AG336" i="59"/>
  <c r="K354" i="59"/>
  <c r="AE355" i="59"/>
  <c r="Z355" i="59"/>
  <c r="P339" i="59"/>
  <c r="N358" i="59"/>
  <c r="M339" i="59"/>
  <c r="P335" i="59"/>
  <c r="O335" i="59"/>
  <c r="P375" i="59"/>
  <c r="J377" i="59"/>
  <c r="AE373" i="59"/>
  <c r="AD373" i="59"/>
  <c r="L374" i="59"/>
  <c r="M374" i="59"/>
  <c r="BU375" i="59"/>
  <c r="BU376" i="59" s="1"/>
  <c r="AZ373" i="59"/>
  <c r="BX375" i="59"/>
  <c r="AX373" i="59"/>
  <c r="CJ377" i="59"/>
  <c r="CM375" i="59"/>
  <c r="CL374" i="59"/>
  <c r="CL376" i="59" s="1"/>
  <c r="AF375" i="59"/>
  <c r="Y374" i="59"/>
  <c r="BC373" i="59"/>
  <c r="BK375" i="59"/>
  <c r="CE374" i="59"/>
  <c r="AJ374" i="59"/>
  <c r="BF373" i="59"/>
  <c r="CD377" i="59"/>
  <c r="AY377" i="59"/>
  <c r="CI375" i="59"/>
  <c r="CI376" i="59" s="1"/>
  <c r="BD375" i="59"/>
  <c r="Q392" i="59"/>
  <c r="O392" i="59"/>
  <c r="Z393" i="59"/>
  <c r="K392" i="59"/>
  <c r="AS392" i="59"/>
  <c r="BO393" i="59"/>
  <c r="BB392" i="59"/>
  <c r="BC393" i="59"/>
  <c r="CJ392" i="59"/>
  <c r="BY392" i="59"/>
  <c r="CA392" i="59"/>
  <c r="CC392" i="59"/>
  <c r="AJ396" i="59"/>
  <c r="AF396" i="59"/>
  <c r="BG394" i="59"/>
  <c r="BI394" i="59"/>
  <c r="BK396" i="59"/>
  <c r="CR394" i="59"/>
  <c r="CT396" i="59"/>
  <c r="CK396" i="59"/>
  <c r="AQ396" i="59"/>
  <c r="BA394" i="59"/>
  <c r="AC396" i="59"/>
  <c r="N377" i="59"/>
  <c r="O374" i="59"/>
  <c r="N373" i="59"/>
  <c r="AB375" i="59"/>
  <c r="CQ373" i="59"/>
  <c r="AM377" i="59"/>
  <c r="BM373" i="59"/>
  <c r="CA373" i="59"/>
  <c r="BB377" i="59"/>
  <c r="AT375" i="59"/>
  <c r="AV375" i="59"/>
  <c r="AW374" i="59"/>
  <c r="AX374" i="59"/>
  <c r="AX376" i="59" s="1"/>
  <c r="CQ375" i="59"/>
  <c r="CU374" i="59"/>
  <c r="AZ374" i="59"/>
  <c r="BV373" i="59"/>
  <c r="CT377" i="59"/>
  <c r="BO377" i="59"/>
  <c r="AH377" i="59"/>
  <c r="BT375" i="59"/>
  <c r="U393" i="59"/>
  <c r="AE392" i="59"/>
  <c r="AD393" i="59"/>
  <c r="AF392" i="59"/>
  <c r="BP392" i="59"/>
  <c r="CH392" i="59"/>
  <c r="AI393" i="59"/>
  <c r="BS393" i="59"/>
  <c r="BR393" i="59"/>
  <c r="CO392" i="59"/>
  <c r="CQ392" i="59"/>
  <c r="CS392" i="59"/>
  <c r="R396" i="59"/>
  <c r="AM396" i="59"/>
  <c r="BW394" i="59"/>
  <c r="BY394" i="59"/>
  <c r="CA396" i="59"/>
  <c r="BR394" i="59"/>
  <c r="AX394" i="59"/>
  <c r="BV394" i="59"/>
  <c r="BJ396" i="59"/>
  <c r="BQ394" i="59"/>
  <c r="T396" i="59"/>
  <c r="I396" i="59"/>
  <c r="BI23" i="56"/>
  <c r="AC373" i="59"/>
  <c r="BV375" i="59"/>
  <c r="BJ374" i="59"/>
  <c r="BW377" i="59"/>
  <c r="CU373" i="59"/>
  <c r="CP374" i="59"/>
  <c r="CL377" i="59"/>
  <c r="CN375" i="59"/>
  <c r="BL375" i="59"/>
  <c r="BM374" i="59"/>
  <c r="BM376" i="59" s="1"/>
  <c r="CD374" i="59"/>
  <c r="AR377" i="59"/>
  <c r="AI375" i="59"/>
  <c r="BP374" i="59"/>
  <c r="CL373" i="59"/>
  <c r="AQ373" i="59"/>
  <c r="CE377" i="59"/>
  <c r="AZ377" i="59"/>
  <c r="CJ375" i="59"/>
  <c r="AH393" i="59"/>
  <c r="AB392" i="59"/>
  <c r="O393" i="59"/>
  <c r="AE393" i="59"/>
  <c r="CV393" i="59"/>
  <c r="BQ393" i="59"/>
  <c r="CS393" i="59"/>
  <c r="CI393" i="59"/>
  <c r="BG392" i="59"/>
  <c r="AQ393" i="59"/>
  <c r="AS393" i="59"/>
  <c r="AU393" i="59"/>
  <c r="V396" i="59"/>
  <c r="AK396" i="59"/>
  <c r="CM394" i="59"/>
  <c r="CM395" i="59" s="1"/>
  <c r="CO394" i="59"/>
  <c r="CQ396" i="59"/>
  <c r="AH394" i="59"/>
  <c r="BN394" i="59"/>
  <c r="BL396" i="59"/>
  <c r="AV396" i="59"/>
  <c r="CG394" i="59"/>
  <c r="K394" i="59"/>
  <c r="AC394" i="59"/>
  <c r="Z19" i="56"/>
  <c r="AB374" i="59"/>
  <c r="P377" i="59"/>
  <c r="W375" i="59"/>
  <c r="L377" i="59"/>
  <c r="BU377" i="59"/>
  <c r="BJ373" i="59"/>
  <c r="CN374" i="59"/>
  <c r="BX374" i="59"/>
  <c r="CE373" i="59"/>
  <c r="BD377" i="59"/>
  <c r="BC377" i="59"/>
  <c r="CB375" i="59"/>
  <c r="CC374" i="59"/>
  <c r="CT374" i="59"/>
  <c r="CN377" i="59"/>
  <c r="AY375" i="59"/>
  <c r="CF374" i="59"/>
  <c r="AK374" i="59"/>
  <c r="BG373" i="59"/>
  <c r="CU377" i="59"/>
  <c r="BP377" i="59"/>
  <c r="AK377" i="59"/>
  <c r="AG393" i="59"/>
  <c r="I392" i="59"/>
  <c r="G392" i="59"/>
  <c r="AI392" i="59"/>
  <c r="BQ392" i="59"/>
  <c r="CI392" i="59"/>
  <c r="BC392" i="59"/>
  <c r="BF392" i="59"/>
  <c r="BW392" i="59"/>
  <c r="BG393" i="59"/>
  <c r="BI393" i="59"/>
  <c r="BK393" i="59"/>
  <c r="AI394" i="59"/>
  <c r="AM394" i="59"/>
  <c r="AR396" i="59"/>
  <c r="BB394" i="59"/>
  <c r="AU394" i="59"/>
  <c r="AP396" i="59"/>
  <c r="CD394" i="59"/>
  <c r="AY396" i="59"/>
  <c r="BM396" i="59"/>
  <c r="CW394" i="59"/>
  <c r="AG394" i="59"/>
  <c r="K396" i="59"/>
  <c r="BI19" i="56"/>
  <c r="CV374" i="59"/>
  <c r="BA374" i="59"/>
  <c r="BW373" i="59"/>
  <c r="AR373" i="59"/>
  <c r="CF377" i="59"/>
  <c r="BA377" i="59"/>
  <c r="J392" i="59"/>
  <c r="G394" i="59"/>
  <c r="W393" i="59"/>
  <c r="AJ392" i="59"/>
  <c r="CW393" i="59"/>
  <c r="CC393" i="59"/>
  <c r="AW393" i="59"/>
  <c r="BV392" i="59"/>
  <c r="AO393" i="59"/>
  <c r="BW393" i="59"/>
  <c r="BY393" i="59"/>
  <c r="CA393" i="59"/>
  <c r="U394" i="59"/>
  <c r="AN394" i="59"/>
  <c r="BH396" i="59"/>
  <c r="CJ396" i="59"/>
  <c r="BK394" i="59"/>
  <c r="AT396" i="59"/>
  <c r="CT394" i="59"/>
  <c r="CT395" i="59" s="1"/>
  <c r="AZ396" i="59"/>
  <c r="BN396" i="59"/>
  <c r="L394" i="59"/>
  <c r="R394" i="59"/>
  <c r="P394" i="59"/>
  <c r="AW375" i="59"/>
  <c r="BN375" i="59"/>
  <c r="CI373" i="59"/>
  <c r="CU375" i="59"/>
  <c r="AZ375" i="59"/>
  <c r="CG374" i="59"/>
  <c r="CG376" i="59" s="1"/>
  <c r="AL374" i="59"/>
  <c r="BX373" i="59"/>
  <c r="AS373" i="59"/>
  <c r="CG377" i="59"/>
  <c r="AC392" i="59"/>
  <c r="V392" i="59"/>
  <c r="Q393" i="59"/>
  <c r="V393" i="59"/>
  <c r="BS392" i="59"/>
  <c r="CD393" i="59"/>
  <c r="BO392" i="59"/>
  <c r="AM393" i="59"/>
  <c r="H396" i="59"/>
  <c r="AT392" i="59"/>
  <c r="AV392" i="59"/>
  <c r="AX392" i="59"/>
  <c r="AL394" i="59"/>
  <c r="BR396" i="59"/>
  <c r="CN396" i="59"/>
  <c r="CM396" i="59"/>
  <c r="CQ394" i="59"/>
  <c r="CQ395" i="59" s="1"/>
  <c r="CS396" i="59"/>
  <c r="BT396" i="59"/>
  <c r="CF394" i="59"/>
  <c r="CE396" i="59"/>
  <c r="S394" i="59"/>
  <c r="AF394" i="59"/>
  <c r="U396" i="59"/>
  <c r="Q377" i="59"/>
  <c r="BP375" i="59"/>
  <c r="CW374" i="59"/>
  <c r="CW376" i="59" s="1"/>
  <c r="BB374" i="59"/>
  <c r="BB376" i="59" s="1"/>
  <c r="CN373" i="59"/>
  <c r="BI373" i="59"/>
  <c r="CW377" i="59"/>
  <c r="L392" i="59"/>
  <c r="AG392" i="59"/>
  <c r="G393" i="59"/>
  <c r="AK392" i="59"/>
  <c r="BN393" i="59"/>
  <c r="AY392" i="59"/>
  <c r="AX393" i="59"/>
  <c r="BD393" i="59"/>
  <c r="BH392" i="59"/>
  <c r="BJ392" i="59"/>
  <c r="BL392" i="59"/>
  <c r="BN392" i="59"/>
  <c r="AJ394" i="59"/>
  <c r="BC396" i="59"/>
  <c r="AR394" i="59"/>
  <c r="BZ396" i="59"/>
  <c r="BS396" i="59"/>
  <c r="AW394" i="59"/>
  <c r="CK394" i="59"/>
  <c r="CV394" i="59"/>
  <c r="CU396" i="59"/>
  <c r="Q394" i="59"/>
  <c r="AE394" i="59"/>
  <c r="T394" i="59"/>
  <c r="BN374" i="59"/>
  <c r="AV377" i="59"/>
  <c r="CF375" i="59"/>
  <c r="AK375" i="59"/>
  <c r="AK376" i="59" s="1"/>
  <c r="BR374" i="59"/>
  <c r="BR376" i="59" s="1"/>
  <c r="AM374" i="59"/>
  <c r="BY373" i="59"/>
  <c r="R392" i="59"/>
  <c r="M392" i="59"/>
  <c r="W392" i="59"/>
  <c r="AL392" i="59"/>
  <c r="CF392" i="59"/>
  <c r="CV392" i="59"/>
  <c r="CU393" i="59"/>
  <c r="BT393" i="59"/>
  <c r="BX392" i="59"/>
  <c r="BZ392" i="59"/>
  <c r="CB392" i="59"/>
  <c r="CD392" i="59"/>
  <c r="AB396" i="59"/>
  <c r="BC394" i="59"/>
  <c r="BH394" i="59"/>
  <c r="CP396" i="59"/>
  <c r="BT394" i="59"/>
  <c r="BM394" i="59"/>
  <c r="BW396" i="59"/>
  <c r="BB396" i="59"/>
  <c r="BP396" i="59"/>
  <c r="AD396" i="59"/>
  <c r="W396" i="59"/>
  <c r="BI20" i="56"/>
  <c r="AF377" i="59"/>
  <c r="V373" i="59"/>
  <c r="AG374" i="59"/>
  <c r="AG376" i="59" s="1"/>
  <c r="U373" i="59"/>
  <c r="I377" i="59"/>
  <c r="AJ377" i="59"/>
  <c r="BG374" i="59"/>
  <c r="BG376" i="59" s="1"/>
  <c r="BV377" i="59"/>
  <c r="AO375" i="59"/>
  <c r="AO376" i="59" s="1"/>
  <c r="AU373" i="59"/>
  <c r="AQ377" i="59"/>
  <c r="AW373" i="59"/>
  <c r="BQ373" i="59"/>
  <c r="BK374" i="59"/>
  <c r="CS375" i="59"/>
  <c r="CS376" i="59" s="1"/>
  <c r="AU377" i="59"/>
  <c r="AN373" i="59"/>
  <c r="BL377" i="59"/>
  <c r="CV375" i="59"/>
  <c r="BA375" i="59"/>
  <c r="CH374" i="59"/>
  <c r="BC374" i="59"/>
  <c r="CO373" i="59"/>
  <c r="I393" i="59"/>
  <c r="AA392" i="59"/>
  <c r="X393" i="59"/>
  <c r="AM392" i="59"/>
  <c r="CG392" i="59"/>
  <c r="CE393" i="59"/>
  <c r="BT392" i="59"/>
  <c r="CJ393" i="59"/>
  <c r="CN392" i="59"/>
  <c r="CP392" i="59"/>
  <c r="CR392" i="59"/>
  <c r="CT392" i="59"/>
  <c r="Z396" i="59"/>
  <c r="BD396" i="59"/>
  <c r="BX394" i="59"/>
  <c r="AT394" i="59"/>
  <c r="BV396" i="59"/>
  <c r="CC394" i="59"/>
  <c r="AX396" i="59"/>
  <c r="CH394" i="59"/>
  <c r="CF396" i="59"/>
  <c r="X396" i="59"/>
  <c r="Z18" i="56"/>
  <c r="H15" i="70"/>
  <c r="I15" i="70"/>
  <c r="H11" i="70"/>
  <c r="F18" i="70"/>
  <c r="H18" i="70" s="1"/>
  <c r="I11" i="70"/>
  <c r="BH357" i="59"/>
  <c r="AX387" i="59"/>
  <c r="AW385" i="59"/>
  <c r="BC383" i="59"/>
  <c r="BN384" i="59"/>
  <c r="BX387" i="59"/>
  <c r="BJ383" i="59"/>
  <c r="BR387" i="59"/>
  <c r="BZ385" i="59"/>
  <c r="CM383" i="59"/>
  <c r="AB383" i="59"/>
  <c r="Z383" i="59"/>
  <c r="AJ383" i="59"/>
  <c r="BO384" i="59"/>
  <c r="AO383" i="59"/>
  <c r="BP385" i="59"/>
  <c r="CM384" i="59"/>
  <c r="G384" i="59"/>
  <c r="CI385" i="59"/>
  <c r="CO384" i="59"/>
  <c r="AU387" i="59"/>
  <c r="P387" i="59"/>
  <c r="AL385" i="59"/>
  <c r="BU387" i="59"/>
  <c r="BW387" i="59"/>
  <c r="BV387" i="59"/>
  <c r="AW387" i="59"/>
  <c r="AW383" i="59"/>
  <c r="BL387" i="59"/>
  <c r="BB383" i="59"/>
  <c r="BR384" i="59"/>
  <c r="BV385" i="59"/>
  <c r="CR383" i="59"/>
  <c r="AD384" i="59"/>
  <c r="AB384" i="59"/>
  <c r="L384" i="59"/>
  <c r="AO385" i="59"/>
  <c r="Q384" i="59"/>
  <c r="AL387" i="59"/>
  <c r="O385" i="59"/>
  <c r="AK384" i="59"/>
  <c r="L387" i="59"/>
  <c r="Q385" i="59"/>
  <c r="CE387" i="59"/>
  <c r="AF387" i="59"/>
  <c r="BI385" i="59"/>
  <c r="BO387" i="59"/>
  <c r="BZ384" i="59"/>
  <c r="CA383" i="59"/>
  <c r="BT385" i="59"/>
  <c r="BQ384" i="59"/>
  <c r="CN387" i="59"/>
  <c r="CO385" i="59"/>
  <c r="Z385" i="59"/>
  <c r="AN387" i="59"/>
  <c r="X385" i="59"/>
  <c r="I383" i="59"/>
  <c r="AG384" i="59"/>
  <c r="V387" i="59"/>
  <c r="W383" i="59"/>
  <c r="AQ384" i="59"/>
  <c r="P383" i="59"/>
  <c r="AE385" i="59"/>
  <c r="P385" i="59"/>
  <c r="S384" i="59"/>
  <c r="AR387" i="59"/>
  <c r="AG385" i="59"/>
  <c r="CR384" i="59"/>
  <c r="AY387" i="59"/>
  <c r="CQ385" i="59"/>
  <c r="BW383" i="59"/>
  <c r="BF383" i="59"/>
  <c r="AZ387" i="59"/>
  <c r="BS383" i="59"/>
  <c r="BB385" i="59"/>
  <c r="BH385" i="59"/>
  <c r="BY385" i="59"/>
  <c r="CN383" i="59"/>
  <c r="CD385" i="59"/>
  <c r="J385" i="59"/>
  <c r="H383" i="59"/>
  <c r="BM387" i="59"/>
  <c r="BI387" i="59"/>
  <c r="AD383" i="59"/>
  <c r="BM384" i="59"/>
  <c r="CR387" i="59"/>
  <c r="N383" i="59"/>
  <c r="CI384" i="59"/>
  <c r="CQ383" i="59"/>
  <c r="AY385" i="59"/>
  <c r="AB387" i="59"/>
  <c r="AE383" i="59"/>
  <c r="BA384" i="59"/>
  <c r="CC387" i="59"/>
  <c r="BA385" i="59"/>
  <c r="S385" i="59"/>
  <c r="CH387" i="59"/>
  <c r="R387" i="59"/>
  <c r="CB384" i="59"/>
  <c r="BZ383" i="59"/>
  <c r="BH383" i="59"/>
  <c r="BG383" i="59"/>
  <c r="BE383" i="59"/>
  <c r="BY383" i="59"/>
  <c r="CA387" i="59"/>
  <c r="CV383" i="59"/>
  <c r="K384" i="59"/>
  <c r="AN385" i="59"/>
  <c r="AN383" i="59"/>
  <c r="BL385" i="59"/>
  <c r="AI384" i="59"/>
  <c r="CG385" i="59"/>
  <c r="R384" i="59"/>
  <c r="N385" i="59"/>
  <c r="CW387" i="59"/>
  <c r="CJ385" i="59"/>
  <c r="AI385" i="59"/>
  <c r="CT384" i="59"/>
  <c r="AH387" i="59"/>
  <c r="BM383" i="59"/>
  <c r="BI383" i="59"/>
  <c r="BU383" i="59"/>
  <c r="BJ385" i="59"/>
  <c r="BT383" i="59"/>
  <c r="AX384" i="59"/>
  <c r="Z384" i="59"/>
  <c r="AF384" i="59"/>
  <c r="U387" i="59"/>
  <c r="L383" i="59"/>
  <c r="P384" i="59"/>
  <c r="AK387" i="59"/>
  <c r="CL384" i="59"/>
  <c r="K387" i="59"/>
  <c r="AZ384" i="59"/>
  <c r="CC385" i="59"/>
  <c r="M387" i="59"/>
  <c r="BE385" i="59"/>
  <c r="U385" i="59"/>
  <c r="BB387" i="59"/>
  <c r="BD383" i="59"/>
  <c r="CG383" i="59"/>
  <c r="BC385" i="59"/>
  <c r="BN385" i="59"/>
  <c r="CA385" i="59"/>
  <c r="BH387" i="59"/>
  <c r="CF384" i="59"/>
  <c r="AY383" i="59"/>
  <c r="BY387" i="59"/>
  <c r="CD383" i="59"/>
  <c r="CP384" i="59"/>
  <c r="X383" i="59"/>
  <c r="CT385" i="59"/>
  <c r="H387" i="59"/>
  <c r="K385" i="59"/>
  <c r="H384" i="59"/>
  <c r="BJ384" i="59"/>
  <c r="CQ387" i="59"/>
  <c r="M383" i="59"/>
  <c r="AP384" i="59"/>
  <c r="O383" i="59"/>
  <c r="AV385" i="59"/>
  <c r="AA387" i="59"/>
  <c r="M385" i="59"/>
  <c r="Z387" i="59"/>
  <c r="AC387" i="59"/>
  <c r="CL385" i="59"/>
  <c r="AK385" i="59"/>
  <c r="CJ387" i="59"/>
  <c r="AT383" i="59"/>
  <c r="BT387" i="59"/>
  <c r="BV383" i="59"/>
  <c r="BS384" i="59"/>
  <c r="AX383" i="59"/>
  <c r="CK384" i="59"/>
  <c r="CP383" i="59"/>
  <c r="AS383" i="59"/>
  <c r="AC383" i="59"/>
  <c r="BF387" i="59"/>
  <c r="AC384" i="59"/>
  <c r="AB385" i="59"/>
  <c r="AM383" i="59"/>
  <c r="CE384" i="59"/>
  <c r="Y384" i="59"/>
  <c r="BA383" i="59"/>
  <c r="J387" i="59"/>
  <c r="AQ387" i="59"/>
  <c r="AC385" i="59"/>
  <c r="BP387" i="59"/>
  <c r="AS387" i="59"/>
  <c r="O387" i="59"/>
  <c r="BG385" i="59"/>
  <c r="CV384" i="59"/>
  <c r="CE383" i="59"/>
  <c r="BQ387" i="59"/>
  <c r="AT385" i="59"/>
  <c r="BG384" i="59"/>
  <c r="BE387" i="59"/>
  <c r="CK383" i="59"/>
  <c r="CG387" i="59"/>
  <c r="AV384" i="59"/>
  <c r="J384" i="59"/>
  <c r="Y385" i="59"/>
  <c r="T387" i="59"/>
  <c r="AT384" i="59"/>
  <c r="O384" i="59"/>
  <c r="AR385" i="59"/>
  <c r="V383" i="59"/>
  <c r="AH384" i="59"/>
  <c r="AP387" i="59"/>
  <c r="BZ387" i="59"/>
  <c r="AS385" i="59"/>
  <c r="R383" i="59"/>
  <c r="CD387" i="59"/>
  <c r="AE387" i="59"/>
  <c r="CP385" i="59"/>
  <c r="W385" i="59"/>
  <c r="BQ383" i="59"/>
  <c r="BP383" i="59"/>
  <c r="AZ383" i="59"/>
  <c r="BS387" i="59"/>
  <c r="BU385" i="59"/>
  <c r="BX383" i="59"/>
  <c r="CI383" i="59"/>
  <c r="BX385" i="59"/>
  <c r="AE384" i="59"/>
  <c r="CU385" i="59"/>
  <c r="CP387" i="59"/>
  <c r="AL383" i="59"/>
  <c r="AO384" i="59"/>
  <c r="AJ387" i="59"/>
  <c r="AQ383" i="59"/>
  <c r="CB385" i="59"/>
  <c r="CU387" i="59"/>
  <c r="G383" i="59"/>
  <c r="CV387" i="59"/>
  <c r="Y387" i="59"/>
  <c r="AH383" i="59"/>
  <c r="G385" i="59"/>
  <c r="CQ384" i="59"/>
  <c r="AV387" i="59"/>
  <c r="Q387" i="59"/>
  <c r="AM385" i="59"/>
  <c r="BM385" i="59"/>
  <c r="BI384" i="59"/>
  <c r="BU384" i="59"/>
  <c r="BK383" i="59"/>
  <c r="AY384" i="59"/>
  <c r="CB387" i="59"/>
  <c r="CN385" i="59"/>
  <c r="AA383" i="59"/>
  <c r="BH384" i="59"/>
  <c r="Y383" i="59"/>
  <c r="N384" i="59"/>
  <c r="CD384" i="59"/>
  <c r="X384" i="59"/>
  <c r="AO387" i="59"/>
  <c r="Q383" i="59"/>
  <c r="CJ384" i="59"/>
  <c r="BN387" i="59"/>
  <c r="CT383" i="59"/>
  <c r="S383" i="59"/>
  <c r="R385" i="59"/>
  <c r="CF387" i="59"/>
  <c r="AG387" i="59"/>
  <c r="BK385" i="59"/>
  <c r="BD387" i="59"/>
  <c r="BO385" i="59"/>
  <c r="BS385" i="59"/>
  <c r="CH385" i="59"/>
  <c r="AU383" i="59"/>
  <c r="AX385" i="59"/>
  <c r="CL387" i="59"/>
  <c r="CW383" i="59"/>
  <c r="AA385" i="59"/>
  <c r="AA384" i="59"/>
  <c r="AR383" i="59"/>
  <c r="AN384" i="59"/>
  <c r="AQ385" i="59"/>
  <c r="U383" i="59"/>
  <c r="AS384" i="59"/>
  <c r="CT387" i="59"/>
  <c r="AG383" i="59"/>
  <c r="I387" i="59"/>
  <c r="U384" i="59"/>
  <c r="AI383" i="59"/>
  <c r="AH385" i="59"/>
  <c r="CS384" i="59"/>
  <c r="BA387" i="59"/>
  <c r="CR385" i="59"/>
  <c r="BT384" i="59"/>
  <c r="AT387" i="59"/>
  <c r="AU385" i="59"/>
  <c r="BW384" i="59"/>
  <c r="BK384" i="59"/>
  <c r="BL383" i="59"/>
  <c r="BY384" i="59"/>
  <c r="CL383" i="59"/>
  <c r="G387" i="59"/>
  <c r="BE384" i="59"/>
  <c r="CW385" i="59"/>
  <c r="L385" i="59"/>
  <c r="H385" i="59"/>
  <c r="K383" i="59"/>
  <c r="CC384" i="59"/>
  <c r="X387" i="59"/>
  <c r="AP383" i="59"/>
  <c r="I385" i="59"/>
  <c r="CS383" i="59"/>
  <c r="BC384" i="59"/>
  <c r="CU383" i="59"/>
  <c r="BD385" i="59"/>
  <c r="T385" i="59"/>
  <c r="CI387" i="59"/>
  <c r="S387" i="59"/>
  <c r="AU384" i="59"/>
  <c r="BV384" i="59"/>
  <c r="BK387" i="59"/>
  <c r="CA384" i="59"/>
  <c r="CJ383" i="59"/>
  <c r="AV383" i="59"/>
  <c r="BJ387" i="59"/>
  <c r="CM387" i="59"/>
  <c r="BG387" i="59"/>
  <c r="I384" i="59"/>
  <c r="AK383" i="59"/>
  <c r="AP385" i="59"/>
  <c r="W384" i="59"/>
  <c r="BQ385" i="59"/>
  <c r="T384" i="59"/>
  <c r="CN384" i="59"/>
  <c r="V384" i="59"/>
  <c r="CK385" i="59"/>
  <c r="AJ385" i="59"/>
  <c r="BL384" i="59"/>
  <c r="AI387" i="59"/>
  <c r="BO383" i="59"/>
  <c r="CF383" i="59"/>
  <c r="CE385" i="59"/>
  <c r="CH383" i="59"/>
  <c r="BX384" i="59"/>
  <c r="CO387" i="59"/>
  <c r="CH384" i="59"/>
  <c r="AW384" i="59"/>
  <c r="BF384" i="59"/>
  <c r="BW385" i="59"/>
  <c r="M384" i="59"/>
  <c r="W387" i="59"/>
  <c r="AR384" i="59"/>
  <c r="AM387" i="59"/>
  <c r="AJ384" i="59"/>
  <c r="AF383" i="59"/>
  <c r="AF385" i="59"/>
  <c r="AL384" i="59"/>
  <c r="N387" i="59"/>
  <c r="BF385" i="59"/>
  <c r="CU384" i="59"/>
  <c r="BC387" i="59"/>
  <c r="CB383" i="59"/>
  <c r="BP384" i="59"/>
  <c r="BN383" i="59"/>
  <c r="BR385" i="59"/>
  <c r="BR383" i="59"/>
  <c r="CF385" i="59"/>
  <c r="CG384" i="59"/>
  <c r="CC383" i="59"/>
  <c r="CO383" i="59"/>
  <c r="CS385" i="59"/>
  <c r="CV385" i="59"/>
  <c r="J383" i="59"/>
  <c r="AM384" i="59"/>
  <c r="CS387" i="59"/>
  <c r="T383" i="59"/>
  <c r="CW384" i="59"/>
  <c r="BB384" i="59"/>
  <c r="AD385" i="59"/>
  <c r="AZ385" i="59"/>
  <c r="BD384" i="59"/>
  <c r="AD387" i="59"/>
  <c r="CM385" i="59"/>
  <c r="V385" i="59"/>
  <c r="CK387" i="59"/>
  <c r="CX235" i="59"/>
  <c r="CX233" i="59"/>
  <c r="CX232" i="59"/>
  <c r="CX231" i="59"/>
  <c r="CX301" i="59"/>
  <c r="CX299" i="59"/>
  <c r="CX298" i="59"/>
  <c r="CX297" i="59"/>
  <c r="AH376" i="59"/>
  <c r="AO319" i="59"/>
  <c r="AG112" i="59"/>
  <c r="U112" i="59"/>
  <c r="BW357" i="59"/>
  <c r="AW319" i="59"/>
  <c r="BX319" i="59"/>
  <c r="BB338" i="59"/>
  <c r="BJ357" i="59"/>
  <c r="BT338" i="59"/>
  <c r="AU319" i="59"/>
  <c r="BU319" i="59"/>
  <c r="BF338" i="59"/>
  <c r="CH338" i="59"/>
  <c r="AQ319" i="59"/>
  <c r="CE338" i="59"/>
  <c r="BX338" i="59"/>
  <c r="J357" i="59"/>
  <c r="BJ364" i="59"/>
  <c r="BW365" i="59"/>
  <c r="BM365" i="59"/>
  <c r="AW364" i="59"/>
  <c r="BE368" i="59"/>
  <c r="BZ368" i="59"/>
  <c r="AF365" i="59"/>
  <c r="AE368" i="59"/>
  <c r="CB366" i="59"/>
  <c r="CO364" i="59"/>
  <c r="R366" i="59"/>
  <c r="BC365" i="59"/>
  <c r="CW368" i="59"/>
  <c r="AK365" i="59"/>
  <c r="AQ364" i="59"/>
  <c r="AV366" i="59"/>
  <c r="V368" i="59"/>
  <c r="CN368" i="59"/>
  <c r="BB364" i="59"/>
  <c r="CG364" i="59"/>
  <c r="BG365" i="59"/>
  <c r="CF366" i="59"/>
  <c r="BC366" i="59"/>
  <c r="BX368" i="59"/>
  <c r="CH364" i="59"/>
  <c r="BP365" i="59"/>
  <c r="AY364" i="59"/>
  <c r="Z365" i="59"/>
  <c r="BF365" i="59"/>
  <c r="CQ368" i="59"/>
  <c r="AR364" i="59"/>
  <c r="CQ364" i="59"/>
  <c r="H365" i="59"/>
  <c r="T365" i="59"/>
  <c r="AQ366" i="59"/>
  <c r="I364" i="59"/>
  <c r="CJ365" i="59"/>
  <c r="CU364" i="59"/>
  <c r="BS366" i="59"/>
  <c r="AL368" i="59"/>
  <c r="CH368" i="59"/>
  <c r="BU365" i="59"/>
  <c r="BK365" i="59"/>
  <c r="BS365" i="59"/>
  <c r="BS364" i="59"/>
  <c r="CK364" i="59"/>
  <c r="AP365" i="59"/>
  <c r="BN368" i="59"/>
  <c r="S364" i="59"/>
  <c r="CV365" i="59"/>
  <c r="AH366" i="59"/>
  <c r="M365" i="59"/>
  <c r="AE364" i="59"/>
  <c r="CA366" i="59"/>
  <c r="CC364" i="59"/>
  <c r="H366" i="59"/>
  <c r="Z366" i="59"/>
  <c r="AH368" i="59"/>
  <c r="AO364" i="59"/>
  <c r="K366" i="59"/>
  <c r="V365" i="59"/>
  <c r="M366" i="59"/>
  <c r="CK366" i="59"/>
  <c r="BI368" i="59"/>
  <c r="BX365" i="59"/>
  <c r="BH366" i="59"/>
  <c r="AU365" i="59"/>
  <c r="J368" i="59"/>
  <c r="AM364" i="59"/>
  <c r="R365" i="59"/>
  <c r="BD366" i="59"/>
  <c r="AI364" i="59"/>
  <c r="N365" i="59"/>
  <c r="AI366" i="59"/>
  <c r="CD365" i="59"/>
  <c r="AM365" i="59"/>
  <c r="AD364" i="59"/>
  <c r="AG368" i="59"/>
  <c r="CS364" i="59"/>
  <c r="AA366" i="59"/>
  <c r="AL365" i="59"/>
  <c r="AC366" i="59"/>
  <c r="U368" i="59"/>
  <c r="CM368" i="59"/>
  <c r="BL365" i="59"/>
  <c r="AT368" i="59"/>
  <c r="BZ364" i="59"/>
  <c r="BO364" i="59"/>
  <c r="BL368" i="59"/>
  <c r="BK368" i="59"/>
  <c r="W366" i="59"/>
  <c r="P364" i="59"/>
  <c r="J365" i="59"/>
  <c r="CQ366" i="59"/>
  <c r="BL366" i="59"/>
  <c r="O365" i="59"/>
  <c r="CQ365" i="59"/>
  <c r="CU368" i="59"/>
  <c r="BR365" i="59"/>
  <c r="CL364" i="59"/>
  <c r="AJ365" i="59"/>
  <c r="BO366" i="59"/>
  <c r="BD365" i="59"/>
  <c r="AS366" i="59"/>
  <c r="AK368" i="59"/>
  <c r="CP365" i="59"/>
  <c r="BD364" i="59"/>
  <c r="BW364" i="59"/>
  <c r="BI364" i="59"/>
  <c r="AW366" i="59"/>
  <c r="CA365" i="59"/>
  <c r="AW368" i="59"/>
  <c r="M364" i="59"/>
  <c r="AF364" i="59"/>
  <c r="CV364" i="59"/>
  <c r="R364" i="59"/>
  <c r="AD365" i="59"/>
  <c r="AC368" i="59"/>
  <c r="AQ365" i="59"/>
  <c r="CT366" i="59"/>
  <c r="K365" i="59"/>
  <c r="AA365" i="59"/>
  <c r="BG366" i="59"/>
  <c r="Q365" i="59"/>
  <c r="CI365" i="59"/>
  <c r="CH366" i="59"/>
  <c r="CK365" i="59"/>
  <c r="BQ366" i="59"/>
  <c r="BG368" i="59"/>
  <c r="Q366" i="59"/>
  <c r="BB366" i="59"/>
  <c r="BG364" i="59"/>
  <c r="BR364" i="59"/>
  <c r="BT364" i="59"/>
  <c r="AY365" i="59"/>
  <c r="CE365" i="59"/>
  <c r="O368" i="59"/>
  <c r="AL364" i="59"/>
  <c r="AZ365" i="59"/>
  <c r="X366" i="59"/>
  <c r="CD368" i="59"/>
  <c r="U364" i="59"/>
  <c r="AG365" i="59"/>
  <c r="W365" i="59"/>
  <c r="BP368" i="59"/>
  <c r="AO368" i="59"/>
  <c r="AO365" i="59"/>
  <c r="J366" i="59"/>
  <c r="R368" i="59"/>
  <c r="L366" i="59"/>
  <c r="CJ366" i="59"/>
  <c r="CL368" i="59"/>
  <c r="BJ365" i="59"/>
  <c r="AG366" i="59"/>
  <c r="AZ364" i="59"/>
  <c r="BQ368" i="59"/>
  <c r="AU364" i="59"/>
  <c r="CF365" i="59"/>
  <c r="CF364" i="59"/>
  <c r="BW368" i="59"/>
  <c r="BT365" i="59"/>
  <c r="CG368" i="59"/>
  <c r="BZ366" i="59"/>
  <c r="CV368" i="59"/>
  <c r="I365" i="59"/>
  <c r="CT365" i="59"/>
  <c r="M368" i="59"/>
  <c r="V366" i="59"/>
  <c r="AV364" i="59"/>
  <c r="AP376" i="59"/>
  <c r="BQ365" i="59"/>
  <c r="AS368" i="59"/>
  <c r="CR368" i="59"/>
  <c r="CC365" i="59"/>
  <c r="AI365" i="59"/>
  <c r="X364" i="59"/>
  <c r="AP366" i="59"/>
  <c r="BB368" i="59"/>
  <c r="AB366" i="59"/>
  <c r="T368" i="59"/>
  <c r="CO365" i="59"/>
  <c r="BA366" i="59"/>
  <c r="BX364" i="59"/>
  <c r="BR368" i="59"/>
  <c r="BS368" i="59"/>
  <c r="BV365" i="59"/>
  <c r="CM365" i="59"/>
  <c r="AC365" i="59"/>
  <c r="AM366" i="59"/>
  <c r="AT365" i="59"/>
  <c r="L364" i="59"/>
  <c r="CW365" i="59"/>
  <c r="AV368" i="59"/>
  <c r="BZ376" i="59"/>
  <c r="AB364" i="59"/>
  <c r="T364" i="59"/>
  <c r="AC364" i="59"/>
  <c r="U366" i="59"/>
  <c r="AO366" i="59"/>
  <c r="S365" i="59"/>
  <c r="AN364" i="59"/>
  <c r="CG366" i="59"/>
  <c r="CI368" i="59"/>
  <c r="AR366" i="59"/>
  <c r="AJ368" i="59"/>
  <c r="P366" i="59"/>
  <c r="BW366" i="59"/>
  <c r="AT364" i="59"/>
  <c r="BH364" i="59"/>
  <c r="BF364" i="59"/>
  <c r="BP364" i="59"/>
  <c r="AJ364" i="59"/>
  <c r="AG364" i="59"/>
  <c r="Q364" i="59"/>
  <c r="AX365" i="59"/>
  <c r="CO366" i="59"/>
  <c r="AV365" i="59"/>
  <c r="BW376" i="59"/>
  <c r="BE366" i="59"/>
  <c r="N368" i="59"/>
  <c r="CM364" i="59"/>
  <c r="S366" i="59"/>
  <c r="G364" i="59"/>
  <c r="CD364" i="59"/>
  <c r="BK366" i="59"/>
  <c r="AF368" i="59"/>
  <c r="Y366" i="59"/>
  <c r="CR364" i="59"/>
  <c r="CW366" i="59"/>
  <c r="BP366" i="59"/>
  <c r="BF368" i="59"/>
  <c r="AF366" i="59"/>
  <c r="CN366" i="59"/>
  <c r="BD368" i="59"/>
  <c r="BN364" i="59"/>
  <c r="BI365" i="59"/>
  <c r="BM364" i="59"/>
  <c r="J376" i="59"/>
  <c r="BK364" i="59"/>
  <c r="CB364" i="59"/>
  <c r="BY364" i="59"/>
  <c r="CG365" i="59"/>
  <c r="AK364" i="59"/>
  <c r="CS365" i="59"/>
  <c r="AA368" i="59"/>
  <c r="AE365" i="59"/>
  <c r="BY366" i="59"/>
  <c r="CR366" i="59"/>
  <c r="AJ366" i="59"/>
  <c r="G366" i="59"/>
  <c r="X365" i="59"/>
  <c r="L365" i="59"/>
  <c r="P365" i="59"/>
  <c r="I368" i="59"/>
  <c r="CE368" i="59"/>
  <c r="BA365" i="59"/>
  <c r="Q368" i="59"/>
  <c r="CI366" i="59"/>
  <c r="CK368" i="59"/>
  <c r="CN365" i="59"/>
  <c r="AZ366" i="59"/>
  <c r="X368" i="59"/>
  <c r="BV364" i="59"/>
  <c r="BJ366" i="59"/>
  <c r="BR366" i="59"/>
  <c r="BT368" i="59"/>
  <c r="CA364" i="59"/>
  <c r="BT366" i="59"/>
  <c r="AX364" i="59"/>
  <c r="BY368" i="59"/>
  <c r="AB365" i="59"/>
  <c r="AU368" i="59"/>
  <c r="CW364" i="59"/>
  <c r="AL366" i="59"/>
  <c r="CB368" i="59"/>
  <c r="CU365" i="59"/>
  <c r="CL365" i="59"/>
  <c r="AD368" i="59"/>
  <c r="BE365" i="59"/>
  <c r="K368" i="59"/>
  <c r="AN365" i="59"/>
  <c r="L368" i="59"/>
  <c r="H364" i="59"/>
  <c r="BY365" i="59"/>
  <c r="AQ368" i="59"/>
  <c r="Y364" i="59"/>
  <c r="I366" i="59"/>
  <c r="CF368" i="59"/>
  <c r="S368" i="59"/>
  <c r="O366" i="59"/>
  <c r="BV366" i="59"/>
  <c r="AN368" i="59"/>
  <c r="CE364" i="59"/>
  <c r="BU364" i="59"/>
  <c r="BO365" i="59"/>
  <c r="BC364" i="59"/>
  <c r="BU368" i="59"/>
  <c r="AZ368" i="59"/>
  <c r="AT366" i="59"/>
  <c r="BE364" i="59"/>
  <c r="CC366" i="59"/>
  <c r="AW365" i="59"/>
  <c r="CD366" i="59"/>
  <c r="AN366" i="59"/>
  <c r="O364" i="59"/>
  <c r="CP368" i="59"/>
  <c r="V364" i="59"/>
  <c r="AR365" i="59"/>
  <c r="CU366" i="59"/>
  <c r="CO376" i="59"/>
  <c r="BH365" i="59"/>
  <c r="T366" i="59"/>
  <c r="CT368" i="59"/>
  <c r="BB365" i="59"/>
  <c r="BM366" i="59"/>
  <c r="J364" i="59"/>
  <c r="AI368" i="59"/>
  <c r="AE366" i="59"/>
  <c r="CM366" i="59"/>
  <c r="BM368" i="59"/>
  <c r="AU366" i="59"/>
  <c r="BV368" i="59"/>
  <c r="CP364" i="59"/>
  <c r="CR365" i="59"/>
  <c r="Z368" i="59"/>
  <c r="CP366" i="59"/>
  <c r="W364" i="59"/>
  <c r="N364" i="59"/>
  <c r="G368" i="59"/>
  <c r="AH364" i="59"/>
  <c r="G365" i="59"/>
  <c r="BI366" i="59"/>
  <c r="H368" i="59"/>
  <c r="BN366" i="59"/>
  <c r="CE366" i="59"/>
  <c r="Z364" i="59"/>
  <c r="BN376" i="59"/>
  <c r="BC368" i="59"/>
  <c r="BQ376" i="59"/>
  <c r="AY366" i="59"/>
  <c r="W368" i="59"/>
  <c r="CO368" i="59"/>
  <c r="BH368" i="59"/>
  <c r="BQ364" i="59"/>
  <c r="AX368" i="59"/>
  <c r="CB365" i="59"/>
  <c r="CI364" i="59"/>
  <c r="AS365" i="59"/>
  <c r="AK366" i="59"/>
  <c r="CA368" i="59"/>
  <c r="AB368" i="59"/>
  <c r="BH376" i="59"/>
  <c r="AR368" i="59"/>
  <c r="BF366" i="59"/>
  <c r="CP376" i="59"/>
  <c r="Y365" i="59"/>
  <c r="BA364" i="59"/>
  <c r="AP368" i="59"/>
  <c r="CH365" i="59"/>
  <c r="BA368" i="59"/>
  <c r="P368" i="59"/>
  <c r="CT364" i="59"/>
  <c r="K364" i="59"/>
  <c r="CJ368" i="59"/>
  <c r="N366" i="59"/>
  <c r="BU366" i="59"/>
  <c r="AM368" i="59"/>
  <c r="BN365" i="59"/>
  <c r="BZ365" i="59"/>
  <c r="BO368" i="59"/>
  <c r="BL364" i="59"/>
  <c r="AX366" i="59"/>
  <c r="CJ364" i="59"/>
  <c r="Y368" i="59"/>
  <c r="CC368" i="59"/>
  <c r="AS364" i="59"/>
  <c r="CN364" i="59"/>
  <c r="CS366" i="59"/>
  <c r="BX366" i="59"/>
  <c r="BF376" i="59"/>
  <c r="AH365" i="59"/>
  <c r="CS368" i="59"/>
  <c r="CV366" i="59"/>
  <c r="AP364" i="59"/>
  <c r="AY368" i="59"/>
  <c r="U365" i="59"/>
  <c r="AA364" i="59"/>
  <c r="AD366" i="59"/>
  <c r="CL366" i="59"/>
  <c r="J338" i="59"/>
  <c r="N357" i="59"/>
  <c r="S357" i="59"/>
  <c r="CC338" i="59"/>
  <c r="AA300" i="59"/>
  <c r="CM357" i="59"/>
  <c r="CW319" i="59"/>
  <c r="AS319" i="59"/>
  <c r="CJ357" i="59"/>
  <c r="BL357" i="59"/>
  <c r="T300" i="59"/>
  <c r="AV319" i="59"/>
  <c r="BK357" i="59"/>
  <c r="CQ338" i="59"/>
  <c r="CP338" i="59"/>
  <c r="CB319" i="59"/>
  <c r="BZ319" i="59"/>
  <c r="V300" i="59"/>
  <c r="CQ319" i="59"/>
  <c r="CD300" i="59"/>
  <c r="AY338" i="59"/>
  <c r="BY357" i="59"/>
  <c r="BV357" i="59"/>
  <c r="CS319" i="59"/>
  <c r="CI357" i="59"/>
  <c r="R357" i="59"/>
  <c r="BM338" i="59"/>
  <c r="CH319" i="59"/>
  <c r="AQ338" i="59"/>
  <c r="BT357" i="59"/>
  <c r="U300" i="59"/>
  <c r="AX338" i="59"/>
  <c r="BM319" i="59"/>
  <c r="AK357" i="59"/>
  <c r="BL338" i="59"/>
  <c r="CO338" i="59"/>
  <c r="H300" i="59"/>
  <c r="X300" i="59"/>
  <c r="BR357" i="59"/>
  <c r="CC300" i="59"/>
  <c r="AM357" i="59"/>
  <c r="BT319" i="59"/>
  <c r="CP319" i="59"/>
  <c r="AL338" i="59"/>
  <c r="BW338" i="59"/>
  <c r="CT338" i="59"/>
  <c r="CW357" i="59"/>
  <c r="BB357" i="59"/>
  <c r="AJ357" i="59"/>
  <c r="CA357" i="59"/>
  <c r="CD338" i="59"/>
  <c r="CN357" i="59"/>
  <c r="BQ357" i="59"/>
  <c r="BH319" i="59"/>
  <c r="BG357" i="59"/>
  <c r="CR357" i="59"/>
  <c r="AT338" i="59"/>
  <c r="BL319" i="59"/>
  <c r="BP357" i="59"/>
  <c r="CN319" i="59"/>
  <c r="CD319" i="59"/>
  <c r="CS357" i="59"/>
  <c r="CR319" i="59"/>
  <c r="CL357" i="59"/>
  <c r="CJ338" i="59"/>
  <c r="AD300" i="59"/>
  <c r="AF357" i="59"/>
  <c r="BA357" i="59"/>
  <c r="AB234" i="59"/>
  <c r="AQ357" i="59"/>
  <c r="AF300" i="59"/>
  <c r="CT319" i="59"/>
  <c r="CM319" i="59"/>
  <c r="AR338" i="59"/>
  <c r="H234" i="59"/>
  <c r="BJ319" i="59"/>
  <c r="I300" i="59"/>
  <c r="CH357" i="59"/>
  <c r="CA338" i="59"/>
  <c r="AB300" i="59"/>
  <c r="CT300" i="59"/>
  <c r="CO300" i="59"/>
  <c r="CB357" i="59"/>
  <c r="BD357" i="59"/>
  <c r="BY319" i="59"/>
  <c r="CU319" i="59"/>
  <c r="AM319" i="59"/>
  <c r="BA338" i="59"/>
  <c r="BH338" i="59"/>
  <c r="AN338" i="59"/>
  <c r="BI357" i="59"/>
  <c r="CW338" i="59"/>
  <c r="CN338" i="59"/>
  <c r="BG338" i="59"/>
  <c r="AC234" i="59"/>
  <c r="BR319" i="59"/>
  <c r="AZ357" i="59"/>
  <c r="AS357" i="59"/>
  <c r="BG319" i="59"/>
  <c r="BV319" i="59"/>
  <c r="BZ357" i="59"/>
  <c r="BJ338" i="59"/>
  <c r="AE300" i="59"/>
  <c r="AV234" i="59"/>
  <c r="CN300" i="59"/>
  <c r="AW357" i="59"/>
  <c r="AX319" i="59"/>
  <c r="CV357" i="59"/>
  <c r="AE112" i="59"/>
  <c r="AE234" i="59"/>
  <c r="AD234" i="59"/>
  <c r="O357" i="59"/>
  <c r="S338" i="59"/>
  <c r="P357" i="59"/>
  <c r="M319" i="59"/>
  <c r="O319" i="59"/>
  <c r="K357" i="59"/>
  <c r="CT99" i="59"/>
  <c r="BT327" i="59"/>
  <c r="AX309" i="59"/>
  <c r="BP307" i="59"/>
  <c r="BV327" i="59"/>
  <c r="BO311" i="59"/>
  <c r="AZ307" i="59"/>
  <c r="BV311" i="59"/>
  <c r="BT311" i="59"/>
  <c r="BE349" i="59"/>
  <c r="AX347" i="59"/>
  <c r="BU311" i="59"/>
  <c r="BZ326" i="59"/>
  <c r="BD349" i="59"/>
  <c r="BI308" i="59"/>
  <c r="CS309" i="59"/>
  <c r="CK307" i="59"/>
  <c r="CU327" i="59"/>
  <c r="CW307" i="59"/>
  <c r="CU311" i="59"/>
  <c r="CM308" i="59"/>
  <c r="CV349" i="59"/>
  <c r="CO328" i="59"/>
  <c r="CN346" i="59"/>
  <c r="CN311" i="59"/>
  <c r="CW327" i="59"/>
  <c r="M349" i="59"/>
  <c r="J345" i="59"/>
  <c r="L308" i="59"/>
  <c r="AJ309" i="59"/>
  <c r="AO308" i="59"/>
  <c r="AG326" i="59"/>
  <c r="BL308" i="59"/>
  <c r="P309" i="59"/>
  <c r="AQ327" i="59"/>
  <c r="X308" i="59"/>
  <c r="I330" i="59"/>
  <c r="BF311" i="59"/>
  <c r="I308" i="59"/>
  <c r="BM349" i="59"/>
  <c r="BG311" i="59"/>
  <c r="BJ311" i="59"/>
  <c r="CH327" i="59"/>
  <c r="AF330" i="59"/>
  <c r="AO327" i="59"/>
  <c r="AG349" i="59"/>
  <c r="P347" i="59"/>
  <c r="R330" i="59"/>
  <c r="AH308" i="59"/>
  <c r="Q307" i="59"/>
  <c r="CF330" i="59"/>
  <c r="BA346" i="59"/>
  <c r="BJ330" i="59"/>
  <c r="BY308" i="59"/>
  <c r="V349" i="59"/>
  <c r="AJ328" i="59"/>
  <c r="Q347" i="59"/>
  <c r="AO328" i="59"/>
  <c r="AV327" i="59"/>
  <c r="G346" i="59"/>
  <c r="AT308" i="59"/>
  <c r="W308" i="59"/>
  <c r="L330" i="59"/>
  <c r="AM349" i="59"/>
  <c r="P308" i="59"/>
  <c r="G330" i="59"/>
  <c r="BW308" i="59"/>
  <c r="BQ326" i="59"/>
  <c r="BD307" i="59"/>
  <c r="BQ330" i="59"/>
  <c r="BD311" i="59"/>
  <c r="BT307" i="59"/>
  <c r="BX349" i="59"/>
  <c r="BK346" i="59"/>
  <c r="BR307" i="59"/>
  <c r="BO349" i="59"/>
  <c r="BK349" i="59"/>
  <c r="AW349" i="59"/>
  <c r="CA326" i="59"/>
  <c r="BM327" i="59"/>
  <c r="CU346" i="59"/>
  <c r="CQ327" i="59"/>
  <c r="CW311" i="59"/>
  <c r="CJ330" i="59"/>
  <c r="CT347" i="59"/>
  <c r="CR308" i="59"/>
  <c r="CV326" i="59"/>
  <c r="CR307" i="59"/>
  <c r="BZ349" i="59"/>
  <c r="Z308" i="59"/>
  <c r="AB309" i="59"/>
  <c r="T311" i="59"/>
  <c r="G347" i="59"/>
  <c r="AV308" i="59"/>
  <c r="AD330" i="59"/>
  <c r="Y311" i="59"/>
  <c r="AN307" i="59"/>
  <c r="AF308" i="59"/>
  <c r="X347" i="59"/>
  <c r="X309" i="59"/>
  <c r="AD346" i="59"/>
  <c r="Y346" i="59"/>
  <c r="BI328" i="59"/>
  <c r="K311" i="59"/>
  <c r="AC311" i="59"/>
  <c r="BU328" i="59"/>
  <c r="AV326" i="59"/>
  <c r="AD326" i="59"/>
  <c r="BZ330" i="59"/>
  <c r="G311" i="59"/>
  <c r="AR347" i="59"/>
  <c r="P349" i="59"/>
  <c r="CD328" i="59"/>
  <c r="AM328" i="59"/>
  <c r="AD345" i="59"/>
  <c r="U311" i="59"/>
  <c r="BR346" i="59"/>
  <c r="AX327" i="59"/>
  <c r="N326" i="59"/>
  <c r="AE311" i="59"/>
  <c r="W328" i="59"/>
  <c r="BS328" i="59"/>
  <c r="V327" i="59"/>
  <c r="CI328" i="59"/>
  <c r="CF349" i="59"/>
  <c r="BF309" i="59"/>
  <c r="AC345" i="59"/>
  <c r="AL349" i="59"/>
  <c r="AG308" i="59"/>
  <c r="H347" i="59"/>
  <c r="CB307" i="59"/>
  <c r="BW307" i="59"/>
  <c r="BV307" i="59"/>
  <c r="BH311" i="59"/>
  <c r="CH345" i="59"/>
  <c r="AZ330" i="59"/>
  <c r="AX349" i="59"/>
  <c r="BS327" i="59"/>
  <c r="BS329" i="59" s="1"/>
  <c r="BX330" i="59"/>
  <c r="CA307" i="59"/>
  <c r="AW330" i="59"/>
  <c r="BU345" i="59"/>
  <c r="BC326" i="59"/>
  <c r="CB327" i="59"/>
  <c r="AY326" i="59"/>
  <c r="CQ347" i="59"/>
  <c r="CW330" i="59"/>
  <c r="CJ309" i="59"/>
  <c r="CM328" i="59"/>
  <c r="CN328" i="59"/>
  <c r="CL345" i="59"/>
  <c r="CM307" i="59"/>
  <c r="CT328" i="59"/>
  <c r="CV311" i="59"/>
  <c r="CU328" i="59"/>
  <c r="AP309" i="59"/>
  <c r="AR307" i="59"/>
  <c r="H307" i="59"/>
  <c r="CD307" i="59"/>
  <c r="AH346" i="59"/>
  <c r="BY349" i="59"/>
  <c r="CC347" i="59"/>
  <c r="AO345" i="59"/>
  <c r="K345" i="59"/>
  <c r="BD327" i="59"/>
  <c r="BD347" i="59"/>
  <c r="BE328" i="59"/>
  <c r="AA307" i="59"/>
  <c r="BI347" i="59"/>
  <c r="K309" i="59"/>
  <c r="AC307" i="59"/>
  <c r="BI330" i="59"/>
  <c r="K326" i="59"/>
  <c r="AC347" i="59"/>
  <c r="R308" i="59"/>
  <c r="AH307" i="59"/>
  <c r="Q349" i="59"/>
  <c r="BY309" i="59"/>
  <c r="AI349" i="59"/>
  <c r="BE309" i="59"/>
  <c r="W347" i="59"/>
  <c r="G308" i="59"/>
  <c r="AN309" i="59"/>
  <c r="BH346" i="59"/>
  <c r="CE347" i="59"/>
  <c r="CD311" i="59"/>
  <c r="AM327" i="59"/>
  <c r="BQ309" i="59"/>
  <c r="AK347" i="59"/>
  <c r="S330" i="59"/>
  <c r="J326" i="59"/>
  <c r="AM311" i="59"/>
  <c r="AV346" i="59"/>
  <c r="N309" i="59"/>
  <c r="CH346" i="59"/>
  <c r="AL327" i="59"/>
  <c r="AM330" i="59"/>
  <c r="N308" i="59"/>
  <c r="CH309" i="59"/>
  <c r="AG345" i="59"/>
  <c r="H346" i="59"/>
  <c r="BB307" i="59"/>
  <c r="BB309" i="59"/>
  <c r="BO346" i="59"/>
  <c r="BP326" i="59"/>
  <c r="BM346" i="59"/>
  <c r="BJ328" i="59"/>
  <c r="CF347" i="59"/>
  <c r="BR326" i="59"/>
  <c r="BM345" i="59"/>
  <c r="BC309" i="59"/>
  <c r="BJ326" i="59"/>
  <c r="AU328" i="59"/>
  <c r="BN326" i="59"/>
  <c r="BR311" i="59"/>
  <c r="BZ327" i="59"/>
  <c r="AT326" i="59"/>
  <c r="AX326" i="59"/>
  <c r="BI326" i="59"/>
  <c r="CM349" i="59"/>
  <c r="CN330" i="59"/>
  <c r="CL309" i="59"/>
  <c r="CP326" i="59"/>
  <c r="CL330" i="59"/>
  <c r="CL308" i="59"/>
  <c r="CV307" i="59"/>
  <c r="CU307" i="59"/>
  <c r="CM326" i="59"/>
  <c r="CT307" i="59"/>
  <c r="CN307" i="59"/>
  <c r="X326" i="59"/>
  <c r="U327" i="59"/>
  <c r="W311" i="59"/>
  <c r="AD308" i="59"/>
  <c r="M307" i="59"/>
  <c r="J330" i="59"/>
  <c r="L327" i="59"/>
  <c r="AF307" i="59"/>
  <c r="AE308" i="59"/>
  <c r="AA330" i="59"/>
  <c r="BJ349" i="59"/>
  <c r="CC330" i="59"/>
  <c r="BM347" i="59"/>
  <c r="BG309" i="59"/>
  <c r="O328" i="59"/>
  <c r="AS349" i="59"/>
  <c r="AA346" i="59"/>
  <c r="AQ347" i="59"/>
  <c r="AD309" i="59"/>
  <c r="AX346" i="59"/>
  <c r="L347" i="59"/>
  <c r="AJ349" i="59"/>
  <c r="CE328" i="59"/>
  <c r="BL346" i="59"/>
  <c r="BC330" i="59"/>
  <c r="H311" i="59"/>
  <c r="O327" i="59"/>
  <c r="T347" i="59"/>
  <c r="W330" i="59"/>
  <c r="CE346" i="59"/>
  <c r="R328" i="59"/>
  <c r="BW330" i="59"/>
  <c r="BS349" i="59"/>
  <c r="CF346" i="59"/>
  <c r="BR328" i="59"/>
  <c r="CF327" i="59"/>
  <c r="AW326" i="59"/>
  <c r="BE330" i="59"/>
  <c r="BR349" i="59"/>
  <c r="BX308" i="59"/>
  <c r="BT326" i="59"/>
  <c r="BH328" i="59"/>
  <c r="BM326" i="59"/>
  <c r="CF345" i="59"/>
  <c r="AU309" i="59"/>
  <c r="BX311" i="59"/>
  <c r="CF307" i="59"/>
  <c r="CH307" i="59"/>
  <c r="BX327" i="59"/>
  <c r="CR345" i="59"/>
  <c r="CP328" i="59"/>
  <c r="CO327" i="59"/>
  <c r="CS308" i="59"/>
  <c r="CS347" i="59"/>
  <c r="CQ328" i="59"/>
  <c r="CV308" i="59"/>
  <c r="CV346" i="59"/>
  <c r="CK347" i="59"/>
  <c r="CK330" i="59"/>
  <c r="CP327" i="59"/>
  <c r="AN330" i="59"/>
  <c r="AK327" i="59"/>
  <c r="V311" i="59"/>
  <c r="BC308" i="59"/>
  <c r="BY311" i="59"/>
  <c r="AI347" i="59"/>
  <c r="CA347" i="59"/>
  <c r="Z307" i="59"/>
  <c r="AB328" i="59"/>
  <c r="K347" i="59"/>
  <c r="AQ330" i="59"/>
  <c r="AF311" i="59"/>
  <c r="M328" i="59"/>
  <c r="J311" i="59"/>
  <c r="L309" i="59"/>
  <c r="AD311" i="59"/>
  <c r="Y307" i="59"/>
  <c r="BM330" i="59"/>
  <c r="BG349" i="59"/>
  <c r="O326" i="59"/>
  <c r="AS345" i="59"/>
  <c r="BM311" i="59"/>
  <c r="BG328" i="59"/>
  <c r="O330" i="59"/>
  <c r="AS328" i="59"/>
  <c r="BY328" i="59"/>
  <c r="AY330" i="59"/>
  <c r="AI309" i="59"/>
  <c r="BZ328" i="59"/>
  <c r="Z328" i="59"/>
  <c r="AB330" i="59"/>
  <c r="AZ308" i="59"/>
  <c r="T330" i="59"/>
  <c r="BN311" i="59"/>
  <c r="CI345" i="59"/>
  <c r="AW327" i="59"/>
  <c r="BP347" i="59"/>
  <c r="H328" i="59"/>
  <c r="AL330" i="59"/>
  <c r="CC307" i="59"/>
  <c r="R309" i="59"/>
  <c r="AS326" i="59"/>
  <c r="Y330" i="59"/>
  <c r="N311" i="59"/>
  <c r="CH308" i="59"/>
  <c r="BV326" i="59"/>
  <c r="BF345" i="59"/>
  <c r="BS326" i="59"/>
  <c r="AU326" i="59"/>
  <c r="BU349" i="59"/>
  <c r="BE326" i="59"/>
  <c r="BB328" i="59"/>
  <c r="BL326" i="59"/>
  <c r="CH349" i="59"/>
  <c r="BT346" i="59"/>
  <c r="BH330" i="59"/>
  <c r="BR309" i="59"/>
  <c r="BT330" i="59"/>
  <c r="BD345" i="59"/>
  <c r="AW309" i="59"/>
  <c r="CF328" i="59"/>
  <c r="AT307" i="59"/>
  <c r="CO311" i="59"/>
  <c r="CS307" i="59"/>
  <c r="CK328" i="59"/>
  <c r="CU347" i="59"/>
  <c r="CK327" i="59"/>
  <c r="CT349" i="59"/>
  <c r="CW347" i="59"/>
  <c r="CM347" i="59"/>
  <c r="CR346" i="59"/>
  <c r="CR311" i="59"/>
  <c r="CJ349" i="59"/>
  <c r="CO347" i="59"/>
  <c r="BQ347" i="59"/>
  <c r="BB308" i="59"/>
  <c r="M327" i="59"/>
  <c r="M329" i="59" s="1"/>
  <c r="J327" i="59"/>
  <c r="L349" i="59"/>
  <c r="AJ347" i="59"/>
  <c r="I347" i="59"/>
  <c r="AP330" i="59"/>
  <c r="BH327" i="59"/>
  <c r="BK347" i="59"/>
  <c r="AE307" i="59"/>
  <c r="AA308" i="59"/>
  <c r="Y326" i="59"/>
  <c r="K330" i="59"/>
  <c r="CB309" i="59"/>
  <c r="AP345" i="59"/>
  <c r="AR328" i="59"/>
  <c r="BE327" i="59"/>
  <c r="AV347" i="59"/>
  <c r="AO349" i="59"/>
  <c r="AO347" i="59"/>
  <c r="AG311" i="59"/>
  <c r="CC326" i="59"/>
  <c r="AJ346" i="59"/>
  <c r="CE311" i="59"/>
  <c r="AP307" i="59"/>
  <c r="AR349" i="59"/>
  <c r="AB326" i="59"/>
  <c r="AI345" i="59"/>
  <c r="G309" i="59"/>
  <c r="N345" i="59"/>
  <c r="G327" i="59"/>
  <c r="BA349" i="59"/>
  <c r="BN328" i="59"/>
  <c r="U308" i="59"/>
  <c r="V346" i="59"/>
  <c r="AJ311" i="59"/>
  <c r="AE328" i="59"/>
  <c r="W346" i="59"/>
  <c r="BO347" i="59"/>
  <c r="AX328" i="59"/>
  <c r="BU327" i="59"/>
  <c r="BU326" i="59"/>
  <c r="AY346" i="59"/>
  <c r="BL330" i="59"/>
  <c r="BF307" i="59"/>
  <c r="BQ307" i="59"/>
  <c r="AZ326" i="59"/>
  <c r="AW311" i="59"/>
  <c r="CA308" i="59"/>
  <c r="BK345" i="59"/>
  <c r="AU347" i="59"/>
  <c r="AX307" i="59"/>
  <c r="CS345" i="59"/>
  <c r="CK346" i="59"/>
  <c r="CU326" i="59"/>
  <c r="CW309" i="59"/>
  <c r="CV347" i="59"/>
  <c r="CT346" i="59"/>
  <c r="CW346" i="59"/>
  <c r="CU330" i="59"/>
  <c r="CQ309" i="59"/>
  <c r="CP308" i="59"/>
  <c r="AF346" i="59"/>
  <c r="BZ311" i="59"/>
  <c r="Z330" i="59"/>
  <c r="AB349" i="59"/>
  <c r="T327" i="59"/>
  <c r="X345" i="59"/>
  <c r="BY345" i="59"/>
  <c r="CC346" i="59"/>
  <c r="AQ311" i="59"/>
  <c r="AO330" i="59"/>
  <c r="AE349" i="59"/>
  <c r="AA349" i="59"/>
  <c r="I307" i="59"/>
  <c r="BF346" i="59"/>
  <c r="AU349" i="59"/>
  <c r="CC349" i="59"/>
  <c r="R327" i="59"/>
  <c r="AH326" i="59"/>
  <c r="Q327" i="59"/>
  <c r="BE346" i="59"/>
  <c r="AV330" i="59"/>
  <c r="BE308" i="59"/>
  <c r="BZ309" i="59"/>
  <c r="Z326" i="59"/>
  <c r="AB308" i="59"/>
  <c r="AZ309" i="59"/>
  <c r="T309" i="59"/>
  <c r="X346" i="59"/>
  <c r="BV328" i="59"/>
  <c r="U326" i="59"/>
  <c r="AG327" i="59"/>
  <c r="AR311" i="59"/>
  <c r="AI330" i="59"/>
  <c r="AM308" i="59"/>
  <c r="BQ328" i="59"/>
  <c r="AF327" i="59"/>
  <c r="BR327" i="59"/>
  <c r="J347" i="59"/>
  <c r="AM326" i="59"/>
  <c r="BC327" i="59"/>
  <c r="AJ326" i="59"/>
  <c r="Q309" i="59"/>
  <c r="CD330" i="59"/>
  <c r="R346" i="59"/>
  <c r="AS347" i="59"/>
  <c r="BN349" i="59"/>
  <c r="BS347" i="59"/>
  <c r="AJ345" i="59"/>
  <c r="Q328" i="59"/>
  <c r="Q308" i="59"/>
  <c r="BI327" i="59"/>
  <c r="BD326" i="59"/>
  <c r="BD330" i="59"/>
  <c r="BW346" i="59"/>
  <c r="AY345" i="59"/>
  <c r="BO308" i="59"/>
  <c r="AT309" i="59"/>
  <c r="BG327" i="59"/>
  <c r="AZ349" i="59"/>
  <c r="BM307" i="59"/>
  <c r="BU308" i="59"/>
  <c r="BR345" i="59"/>
  <c r="BP308" i="59"/>
  <c r="BP345" i="59"/>
  <c r="BU346" i="59"/>
  <c r="BT347" i="59"/>
  <c r="CF309" i="59"/>
  <c r="BG346" i="59"/>
  <c r="BZ345" i="59"/>
  <c r="CQ326" i="59"/>
  <c r="CW328" i="59"/>
  <c r="CJ308" i="59"/>
  <c r="CM327" i="59"/>
  <c r="CN326" i="59"/>
  <c r="CR309" i="59"/>
  <c r="CM330" i="59"/>
  <c r="CT308" i="59"/>
  <c r="CO330" i="59"/>
  <c r="CN347" i="59"/>
  <c r="CJ311" i="59"/>
  <c r="CO346" i="59"/>
  <c r="I349" i="59"/>
  <c r="AP311" i="59"/>
  <c r="AR309" i="59"/>
  <c r="AN311" i="59"/>
  <c r="M309" i="59"/>
  <c r="J308" i="59"/>
  <c r="L307" i="59"/>
  <c r="Y328" i="59"/>
  <c r="AQ309" i="59"/>
  <c r="X307" i="59"/>
  <c r="M347" i="59"/>
  <c r="J309" i="59"/>
  <c r="L326" i="59"/>
  <c r="AD307" i="59"/>
  <c r="CD347" i="59"/>
  <c r="R326" i="59"/>
  <c r="AH347" i="59"/>
  <c r="Q326" i="59"/>
  <c r="R345" i="59"/>
  <c r="AH345" i="59"/>
  <c r="CB330" i="59"/>
  <c r="AP346" i="59"/>
  <c r="AR330" i="59"/>
  <c r="AN308" i="59"/>
  <c r="AK308" i="59"/>
  <c r="V309" i="59"/>
  <c r="CD345" i="59"/>
  <c r="X328" i="59"/>
  <c r="T345" i="59"/>
  <c r="BK328" i="59"/>
  <c r="AK346" i="59"/>
  <c r="K327" i="59"/>
  <c r="AH349" i="59"/>
  <c r="CI308" i="59"/>
  <c r="BQ311" i="59"/>
  <c r="BW327" i="59"/>
  <c r="BW326" i="59"/>
  <c r="BR330" i="59"/>
  <c r="BW349" i="59"/>
  <c r="BH326" i="59"/>
  <c r="CA345" i="59"/>
  <c r="BN346" i="59"/>
  <c r="BG307" i="59"/>
  <c r="BK330" i="59"/>
  <c r="BS330" i="59"/>
  <c r="BN308" i="59"/>
  <c r="BX307" i="59"/>
  <c r="BT345" i="59"/>
  <c r="BR347" i="59"/>
  <c r="BP346" i="59"/>
  <c r="BZ308" i="59"/>
  <c r="CB308" i="59"/>
  <c r="BV330" i="59"/>
  <c r="CM311" i="59"/>
  <c r="CN327" i="59"/>
  <c r="CL346" i="59"/>
  <c r="CP309" i="59"/>
  <c r="CL327" i="59"/>
  <c r="CQ349" i="59"/>
  <c r="CK308" i="59"/>
  <c r="CR327" i="59"/>
  <c r="AE326" i="59"/>
  <c r="AA347" i="59"/>
  <c r="AC326" i="59"/>
  <c r="X327" i="59"/>
  <c r="U328" i="59"/>
  <c r="CA328" i="59"/>
  <c r="Z349" i="59"/>
  <c r="AB346" i="59"/>
  <c r="AO309" i="59"/>
  <c r="Y308" i="59"/>
  <c r="BD308" i="59"/>
  <c r="CB349" i="59"/>
  <c r="AP349" i="59"/>
  <c r="AR308" i="59"/>
  <c r="BY347" i="59"/>
  <c r="AY349" i="59"/>
  <c r="AI346" i="59"/>
  <c r="AD327" i="59"/>
  <c r="CD326" i="59"/>
  <c r="AD328" i="59"/>
  <c r="X349" i="59"/>
  <c r="BV309" i="59"/>
  <c r="U349" i="59"/>
  <c r="BQ308" i="59"/>
  <c r="BB349" i="59"/>
  <c r="AC309" i="59"/>
  <c r="AL326" i="59"/>
  <c r="O346" i="59"/>
  <c r="H330" i="59"/>
  <c r="O311" i="59"/>
  <c r="CD309" i="59"/>
  <c r="BX328" i="59"/>
  <c r="CE349" i="59"/>
  <c r="R349" i="59"/>
  <c r="CG347" i="59"/>
  <c r="CC345" i="59"/>
  <c r="N307" i="59"/>
  <c r="CH347" i="59"/>
  <c r="AK309" i="59"/>
  <c r="S327" i="59"/>
  <c r="AL347" i="59"/>
  <c r="AJ308" i="59"/>
  <c r="Q346" i="59"/>
  <c r="S311" i="59"/>
  <c r="BA326" i="59"/>
  <c r="S326" i="59"/>
  <c r="CG345" i="59"/>
  <c r="BI345" i="59"/>
  <c r="BN345" i="59"/>
  <c r="CE326" i="59"/>
  <c r="BI346" i="59"/>
  <c r="AW347" i="59"/>
  <c r="AY307" i="59"/>
  <c r="CF326" i="59"/>
  <c r="BO326" i="59"/>
  <c r="AU346" i="59"/>
  <c r="BW345" i="59"/>
  <c r="BT349" i="59"/>
  <c r="BH347" i="59"/>
  <c r="BN327" i="59"/>
  <c r="CN349" i="59"/>
  <c r="CL328" i="59"/>
  <c r="CP345" i="59"/>
  <c r="CR328" i="59"/>
  <c r="CJ346" i="59"/>
  <c r="CT330" i="59"/>
  <c r="CW308" i="59"/>
  <c r="CV328" i="59"/>
  <c r="CW326" i="59"/>
  <c r="AQ328" i="59"/>
  <c r="N347" i="59"/>
  <c r="AN326" i="59"/>
  <c r="AK328" i="59"/>
  <c r="AL346" i="59"/>
  <c r="AF309" i="59"/>
  <c r="I327" i="59"/>
  <c r="BF349" i="59"/>
  <c r="BH308" i="59"/>
  <c r="BK309" i="59"/>
  <c r="AO307" i="59"/>
  <c r="BJ346" i="59"/>
  <c r="I346" i="59"/>
  <c r="BF330" i="59"/>
  <c r="AU330" i="59"/>
  <c r="CC311" i="59"/>
  <c r="CE308" i="59"/>
  <c r="BO309" i="59"/>
  <c r="BY327" i="59"/>
  <c r="AY311" i="59"/>
  <c r="AI328" i="59"/>
  <c r="BY346" i="59"/>
  <c r="AY347" i="59"/>
  <c r="AI311" i="59"/>
  <c r="AN345" i="59"/>
  <c r="AK307" i="59"/>
  <c r="V345" i="59"/>
  <c r="AF349" i="59"/>
  <c r="N328" i="59"/>
  <c r="BN330" i="59"/>
  <c r="G349" i="59"/>
  <c r="AW346" i="59"/>
  <c r="AL307" i="59"/>
  <c r="O345" i="59"/>
  <c r="T307" i="59"/>
  <c r="BG345" i="59"/>
  <c r="BH309" i="59"/>
  <c r="AU345" i="59"/>
  <c r="BK308" i="59"/>
  <c r="AX311" i="59"/>
  <c r="AX330" i="59"/>
  <c r="AW345" i="59"/>
  <c r="BO345" i="59"/>
  <c r="BV345" i="59"/>
  <c r="CA327" i="59"/>
  <c r="AT347" i="59"/>
  <c r="CH326" i="59"/>
  <c r="BH345" i="59"/>
  <c r="CB346" i="59"/>
  <c r="BZ346" i="59"/>
  <c r="BO327" i="59"/>
  <c r="BG308" i="59"/>
  <c r="BX346" i="59"/>
  <c r="BT328" i="59"/>
  <c r="CP347" i="59"/>
  <c r="CO307" i="59"/>
  <c r="CS346" i="59"/>
  <c r="CK311" i="59"/>
  <c r="CU349" i="59"/>
  <c r="CS311" i="59"/>
  <c r="CM346" i="59"/>
  <c r="CR330" i="59"/>
  <c r="CP349" i="59"/>
  <c r="CR326" i="59"/>
  <c r="CJ328" i="59"/>
  <c r="Y347" i="59"/>
  <c r="BW328" i="59"/>
  <c r="O308" i="59"/>
  <c r="AT346" i="59"/>
  <c r="BQ327" i="59"/>
  <c r="BB330" i="59"/>
  <c r="X330" i="59"/>
  <c r="BY307" i="59"/>
  <c r="CC309" i="59"/>
  <c r="AN349" i="59"/>
  <c r="M346" i="59"/>
  <c r="J328" i="59"/>
  <c r="AB347" i="59"/>
  <c r="AZ346" i="59"/>
  <c r="AU311" i="59"/>
  <c r="CC328" i="59"/>
  <c r="CE309" i="59"/>
  <c r="CC308" i="59"/>
  <c r="CE327" i="59"/>
  <c r="BA308" i="59"/>
  <c r="BB346" i="59"/>
  <c r="AG328" i="59"/>
  <c r="AI307" i="59"/>
  <c r="S309" i="59"/>
  <c r="BN309" i="59"/>
  <c r="BS309" i="59"/>
  <c r="AF347" i="59"/>
  <c r="BP349" i="59"/>
  <c r="R311" i="59"/>
  <c r="AS346" i="59"/>
  <c r="CD349" i="59"/>
  <c r="G328" i="59"/>
  <c r="H309" i="59"/>
  <c r="AK311" i="59"/>
  <c r="S328" i="59"/>
  <c r="AC346" i="59"/>
  <c r="BX345" i="59"/>
  <c r="BJ347" i="59"/>
  <c r="BJ345" i="59"/>
  <c r="BS311" i="59"/>
  <c r="BC345" i="59"/>
  <c r="BS308" i="59"/>
  <c r="AT330" i="59"/>
  <c r="BS346" i="59"/>
  <c r="BV308" i="59"/>
  <c r="BG326" i="59"/>
  <c r="AZ345" i="59"/>
  <c r="AW307" i="59"/>
  <c r="BT309" i="59"/>
  <c r="BW311" i="59"/>
  <c r="BC328" i="59"/>
  <c r="BL311" i="59"/>
  <c r="CS328" i="59"/>
  <c r="CK349" i="59"/>
  <c r="CU309" i="59"/>
  <c r="CW345" i="59"/>
  <c r="CV327" i="59"/>
  <c r="CK326" i="59"/>
  <c r="CV309" i="59"/>
  <c r="CO349" i="59"/>
  <c r="CL307" i="59"/>
  <c r="CK309" i="59"/>
  <c r="AO326" i="59"/>
  <c r="AG309" i="59"/>
  <c r="P328" i="59"/>
  <c r="AF328" i="59"/>
  <c r="AE309" i="59"/>
  <c r="AA326" i="59"/>
  <c r="AN328" i="59"/>
  <c r="M308" i="59"/>
  <c r="J307" i="59"/>
  <c r="L311" i="59"/>
  <c r="BI349" i="59"/>
  <c r="K349" i="59"/>
  <c r="BD328" i="59"/>
  <c r="CB328" i="59"/>
  <c r="AP328" i="59"/>
  <c r="AR346" i="59"/>
  <c r="BP330" i="59"/>
  <c r="M326" i="59"/>
  <c r="Z347" i="59"/>
  <c r="AB345" i="59"/>
  <c r="AZ327" i="59"/>
  <c r="T346" i="59"/>
  <c r="BZ347" i="59"/>
  <c r="Z345" i="59"/>
  <c r="AB327" i="59"/>
  <c r="AZ328" i="59"/>
  <c r="T349" i="59"/>
  <c r="AF345" i="59"/>
  <c r="AE346" i="59"/>
  <c r="K307" i="59"/>
  <c r="AC328" i="59"/>
  <c r="CD346" i="59"/>
  <c r="AS309" i="59"/>
  <c r="BA347" i="59"/>
  <c r="AR345" i="59"/>
  <c r="AI308" i="59"/>
  <c r="AV345" i="59"/>
  <c r="U309" i="59"/>
  <c r="AD349" i="59"/>
  <c r="BB327" i="59"/>
  <c r="V330" i="59"/>
  <c r="W326" i="59"/>
  <c r="CI349" i="59"/>
  <c r="CG328" i="59"/>
  <c r="BA307" i="59"/>
  <c r="Y349" i="59"/>
  <c r="W309" i="59"/>
  <c r="BN347" i="59"/>
  <c r="AJ307" i="59"/>
  <c r="BL349" i="59"/>
  <c r="AT349" i="59"/>
  <c r="CG307" i="59"/>
  <c r="AT345" i="59"/>
  <c r="AW328" i="59"/>
  <c r="BF326" i="59"/>
  <c r="AX345" i="59"/>
  <c r="BT308" i="59"/>
  <c r="BZ307" i="59"/>
  <c r="BK326" i="59"/>
  <c r="BU307" i="59"/>
  <c r="BI307" i="59"/>
  <c r="BX326" i="59"/>
  <c r="CU345" i="59"/>
  <c r="CQ345" i="59"/>
  <c r="CW349" i="59"/>
  <c r="CJ347" i="59"/>
  <c r="CT345" i="59"/>
  <c r="CR347" i="59"/>
  <c r="CM309" i="59"/>
  <c r="CT309" i="59"/>
  <c r="CO326" i="59"/>
  <c r="CR349" i="59"/>
  <c r="CQ308" i="59"/>
  <c r="CL326" i="59"/>
  <c r="CV330" i="59"/>
  <c r="CQ330" i="59"/>
  <c r="AV311" i="59"/>
  <c r="AQ346" i="59"/>
  <c r="BY326" i="59"/>
  <c r="CA330" i="59"/>
  <c r="Z311" i="59"/>
  <c r="AB307" i="59"/>
  <c r="AE327" i="59"/>
  <c r="AA311" i="59"/>
  <c r="BJ327" i="59"/>
  <c r="I345" i="59"/>
  <c r="BF327" i="59"/>
  <c r="U346" i="59"/>
  <c r="CB311" i="59"/>
  <c r="AP326" i="59"/>
  <c r="AR326" i="59"/>
  <c r="BP309" i="59"/>
  <c r="CB347" i="59"/>
  <c r="AP308" i="59"/>
  <c r="AR327" i="59"/>
  <c r="BP311" i="59"/>
  <c r="AQ326" i="59"/>
  <c r="N346" i="59"/>
  <c r="P326" i="59"/>
  <c r="AL345" i="59"/>
  <c r="W327" i="59"/>
  <c r="T328" i="59"/>
  <c r="CD308" i="59"/>
  <c r="CI346" i="59"/>
  <c r="BA328" i="59"/>
  <c r="BX309" i="59"/>
  <c r="CE330" i="59"/>
  <c r="U330" i="59"/>
  <c r="K308" i="59"/>
  <c r="K310" i="59" s="1"/>
  <c r="N349" i="59"/>
  <c r="BR308" i="59"/>
  <c r="H308" i="59"/>
  <c r="AJ327" i="59"/>
  <c r="Q311" i="59"/>
  <c r="Z327" i="59"/>
  <c r="Z329" i="59" s="1"/>
  <c r="AM346" i="59"/>
  <c r="AM307" i="59"/>
  <c r="H345" i="59"/>
  <c r="AP327" i="59"/>
  <c r="BL328" i="59"/>
  <c r="BC346" i="59"/>
  <c r="BA330" i="59"/>
  <c r="S349" i="59"/>
  <c r="BB345" i="59"/>
  <c r="BL345" i="59"/>
  <c r="BC347" i="59"/>
  <c r="AY327" i="59"/>
  <c r="BN307" i="59"/>
  <c r="BP327" i="59"/>
  <c r="BJ309" i="59"/>
  <c r="AU327" i="59"/>
  <c r="BS345" i="59"/>
  <c r="CB326" i="59"/>
  <c r="AT311" i="59"/>
  <c r="AY308" i="59"/>
  <c r="BE345" i="59"/>
  <c r="BQ345" i="59"/>
  <c r="CE345" i="59"/>
  <c r="G345" i="59"/>
  <c r="CJ327" i="59"/>
  <c r="CM345" i="59"/>
  <c r="CN308" i="59"/>
  <c r="CL311" i="59"/>
  <c r="CN309" i="59"/>
  <c r="CT326" i="59"/>
  <c r="CS330" i="59"/>
  <c r="CQ311" i="59"/>
  <c r="CS326" i="59"/>
  <c r="CQ346" i="59"/>
  <c r="CQ348" i="59" s="1"/>
  <c r="CP311" i="59"/>
  <c r="CJ345" i="59"/>
  <c r="CD327" i="59"/>
  <c r="AH330" i="59"/>
  <c r="Q345" i="59"/>
  <c r="AE347" i="59"/>
  <c r="AA345" i="59"/>
  <c r="AC308" i="59"/>
  <c r="Y345" i="59"/>
  <c r="AF326" i="59"/>
  <c r="M311" i="59"/>
  <c r="J349" i="59"/>
  <c r="I311" i="59"/>
  <c r="BF328" i="59"/>
  <c r="BX347" i="59"/>
  <c r="CC327" i="59"/>
  <c r="BG347" i="59"/>
  <c r="AN327" i="59"/>
  <c r="AN329" i="59" s="1"/>
  <c r="AK349" i="59"/>
  <c r="V347" i="59"/>
  <c r="I328" i="59"/>
  <c r="BF308" i="59"/>
  <c r="U347" i="59"/>
  <c r="I309" i="59"/>
  <c r="BV347" i="59"/>
  <c r="U345" i="59"/>
  <c r="BI311" i="59"/>
  <c r="K328" i="59"/>
  <c r="AC327" i="59"/>
  <c r="BM309" i="59"/>
  <c r="BW347" i="59"/>
  <c r="O347" i="59"/>
  <c r="AT327" i="59"/>
  <c r="AZ347" i="59"/>
  <c r="CI330" i="59"/>
  <c r="T326" i="59"/>
  <c r="BQ346" i="59"/>
  <c r="BL327" i="59"/>
  <c r="S347" i="59"/>
  <c r="AX308" i="59"/>
  <c r="Q330" i="59"/>
  <c r="AQ349" i="59"/>
  <c r="AH309" i="59"/>
  <c r="CI311" i="59"/>
  <c r="AJ330" i="59"/>
  <c r="W345" i="59"/>
  <c r="BW309" i="59"/>
  <c r="AH327" i="59"/>
  <c r="CI309" i="59"/>
  <c r="BB347" i="59"/>
  <c r="BB348" i="59" s="1"/>
  <c r="AT328" i="59"/>
  <c r="BB326" i="59"/>
  <c r="CH330" i="59"/>
  <c r="BO307" i="59"/>
  <c r="BS307" i="59"/>
  <c r="BK307" i="59"/>
  <c r="BE307" i="59"/>
  <c r="BK311" i="59"/>
  <c r="BV349" i="59"/>
  <c r="BQ349" i="59"/>
  <c r="CA346" i="59"/>
  <c r="CF308" i="59"/>
  <c r="AU307" i="59"/>
  <c r="BM308" i="59"/>
  <c r="BH349" i="59"/>
  <c r="G307" i="59"/>
  <c r="CV345" i="59"/>
  <c r="CN345" i="59"/>
  <c r="CL347" i="59"/>
  <c r="CP307" i="59"/>
  <c r="CP330" i="59"/>
  <c r="CT311" i="59"/>
  <c r="CO345" i="59"/>
  <c r="CJ326" i="59"/>
  <c r="AD347" i="59"/>
  <c r="AQ308" i="59"/>
  <c r="N327" i="59"/>
  <c r="AO346" i="59"/>
  <c r="CA309" i="59"/>
  <c r="Z309" i="59"/>
  <c r="X311" i="59"/>
  <c r="M330" i="59"/>
  <c r="J346" i="59"/>
  <c r="M345" i="59"/>
  <c r="Y309" i="59"/>
  <c r="BI309" i="59"/>
  <c r="K346" i="59"/>
  <c r="BD309" i="59"/>
  <c r="BA327" i="59"/>
  <c r="AL308" i="59"/>
  <c r="AN347" i="59"/>
  <c r="AK330" i="59"/>
  <c r="V326" i="59"/>
  <c r="AN346" i="59"/>
  <c r="AK326" i="59"/>
  <c r="V307" i="59"/>
  <c r="AQ345" i="59"/>
  <c r="AO311" i="59"/>
  <c r="AG347" i="59"/>
  <c r="P311" i="59"/>
  <c r="AS308" i="59"/>
  <c r="BU347" i="59"/>
  <c r="AW308" i="59"/>
  <c r="S345" i="59"/>
  <c r="R347" i="59"/>
  <c r="P330" i="59"/>
  <c r="AK345" i="59"/>
  <c r="S308" i="59"/>
  <c r="L345" i="59"/>
  <c r="AI327" i="59"/>
  <c r="AP347" i="59"/>
  <c r="BL347" i="59"/>
  <c r="AM309" i="59"/>
  <c r="L328" i="59"/>
  <c r="AS330" i="59"/>
  <c r="AV309" i="59"/>
  <c r="BL307" i="59"/>
  <c r="AU308" i="59"/>
  <c r="BJ307" i="59"/>
  <c r="BU330" i="59"/>
  <c r="BE311" i="59"/>
  <c r="AZ311" i="59"/>
  <c r="BH307" i="59"/>
  <c r="BC307" i="59"/>
  <c r="CG326" i="59"/>
  <c r="CB345" i="59"/>
  <c r="CH311" i="59"/>
  <c r="CE307" i="59"/>
  <c r="BV346" i="59"/>
  <c r="BO330" i="59"/>
  <c r="BK327" i="59"/>
  <c r="G326" i="59"/>
  <c r="CP346" i="59"/>
  <c r="CO309" i="59"/>
  <c r="CS349" i="59"/>
  <c r="CK345" i="59"/>
  <c r="CU308" i="59"/>
  <c r="CQ307" i="59"/>
  <c r="CT327" i="59"/>
  <c r="CS327" i="59"/>
  <c r="CL349" i="59"/>
  <c r="CO308" i="59"/>
  <c r="CJ307" i="59"/>
  <c r="BY330" i="59"/>
  <c r="AI326" i="59"/>
  <c r="S346" i="59"/>
  <c r="Y327" i="59"/>
  <c r="O307" i="59"/>
  <c r="AE345" i="59"/>
  <c r="AA327" i="59"/>
  <c r="I326" i="59"/>
  <c r="BF347" i="59"/>
  <c r="BD346" i="59"/>
  <c r="CA311" i="59"/>
  <c r="Z346" i="59"/>
  <c r="CA349" i="59"/>
  <c r="BE347" i="59"/>
  <c r="AE330" i="59"/>
  <c r="AA309" i="59"/>
  <c r="BJ308" i="59"/>
  <c r="CH328" i="59"/>
  <c r="BA309" i="59"/>
  <c r="AL311" i="59"/>
  <c r="BA311" i="59"/>
  <c r="AL328" i="59"/>
  <c r="BM328" i="59"/>
  <c r="BG330" i="59"/>
  <c r="O309" i="59"/>
  <c r="AS307" i="59"/>
  <c r="BU309" i="59"/>
  <c r="AV349" i="59"/>
  <c r="BA345" i="59"/>
  <c r="BO328" i="59"/>
  <c r="T308" i="59"/>
  <c r="AM345" i="59"/>
  <c r="U307" i="59"/>
  <c r="O349" i="59"/>
  <c r="BB311" i="59"/>
  <c r="BP328" i="59"/>
  <c r="CI326" i="59"/>
  <c r="CG308" i="59"/>
  <c r="BC349" i="59"/>
  <c r="P327" i="59"/>
  <c r="AQ307" i="59"/>
  <c r="AH328" i="59"/>
  <c r="CI307" i="59"/>
  <c r="BC311" i="59"/>
  <c r="CP300" i="59"/>
  <c r="H327" i="59"/>
  <c r="N330" i="59"/>
  <c r="AG307" i="59"/>
  <c r="AL309" i="59"/>
  <c r="H326" i="59"/>
  <c r="AC330" i="59"/>
  <c r="L346" i="59"/>
  <c r="CG327" i="59"/>
  <c r="AS311" i="59"/>
  <c r="P307" i="59"/>
  <c r="AH311" i="59"/>
  <c r="CG311" i="59"/>
  <c r="AS327" i="59"/>
  <c r="AS329" i="59" s="1"/>
  <c r="CI347" i="59"/>
  <c r="CG330" i="59"/>
  <c r="AV307" i="59"/>
  <c r="AG346" i="59"/>
  <c r="AB311" i="59"/>
  <c r="BL309" i="59"/>
  <c r="CG346" i="59"/>
  <c r="CG349" i="59"/>
  <c r="AX357" i="59"/>
  <c r="P345" i="59"/>
  <c r="S307" i="59"/>
  <c r="AC349" i="59"/>
  <c r="W307" i="59"/>
  <c r="BB319" i="59"/>
  <c r="BO319" i="59"/>
  <c r="V308" i="59"/>
  <c r="P346" i="59"/>
  <c r="AV328" i="59"/>
  <c r="AY309" i="59"/>
  <c r="CG309" i="59"/>
  <c r="AM347" i="59"/>
  <c r="CI327" i="59"/>
  <c r="AY328" i="59"/>
  <c r="CF311" i="59"/>
  <c r="W349" i="59"/>
  <c r="AA328" i="59"/>
  <c r="H349" i="59"/>
  <c r="R307" i="59"/>
  <c r="AH300" i="59"/>
  <c r="AG330" i="59"/>
  <c r="V328" i="59"/>
  <c r="AT357" i="59"/>
  <c r="CC357" i="59"/>
  <c r="BX357" i="59"/>
  <c r="BW319" i="59"/>
  <c r="BK338" i="59"/>
  <c r="AV338" i="59"/>
  <c r="CV319" i="59"/>
  <c r="CP357" i="59"/>
  <c r="CS338" i="59"/>
  <c r="I338" i="59"/>
  <c r="AE319" i="59"/>
  <c r="T338" i="59"/>
  <c r="BY338" i="59"/>
  <c r="BN357" i="59"/>
  <c r="AH319" i="59"/>
  <c r="BO357" i="59"/>
  <c r="AP357" i="59"/>
  <c r="BR338" i="59"/>
  <c r="CR338" i="59"/>
  <c r="CT357" i="59"/>
  <c r="V338" i="59"/>
  <c r="G319" i="59"/>
  <c r="T319" i="59"/>
  <c r="AL319" i="59"/>
  <c r="CE357" i="59"/>
  <c r="AZ338" i="59"/>
  <c r="AN357" i="59"/>
  <c r="AD338" i="59"/>
  <c r="I319" i="59"/>
  <c r="AA319" i="59"/>
  <c r="K319" i="59"/>
  <c r="X338" i="59"/>
  <c r="N319" i="59"/>
  <c r="CI338" i="59"/>
  <c r="AM338" i="59"/>
  <c r="BQ319" i="59"/>
  <c r="AT319" i="59"/>
  <c r="AZ319" i="59"/>
  <c r="AK338" i="59"/>
  <c r="AC319" i="59"/>
  <c r="G338" i="59"/>
  <c r="BC319" i="59"/>
  <c r="AI319" i="59"/>
  <c r="BZ338" i="59"/>
  <c r="BV338" i="59"/>
  <c r="CE319" i="59"/>
  <c r="AI357" i="59"/>
  <c r="AY319" i="59"/>
  <c r="BE319" i="59"/>
  <c r="AP338" i="59"/>
  <c r="CB338" i="59"/>
  <c r="AH357" i="59"/>
  <c r="AD357" i="59"/>
  <c r="AC357" i="59"/>
  <c r="AL357" i="59"/>
  <c r="AN319" i="59"/>
  <c r="T357" i="59"/>
  <c r="AB338" i="59"/>
  <c r="H319" i="59"/>
  <c r="U319" i="59"/>
  <c r="J319" i="59"/>
  <c r="BO338" i="59"/>
  <c r="BC357" i="59"/>
  <c r="BN319" i="59"/>
  <c r="BE357" i="59"/>
  <c r="BP338" i="59"/>
  <c r="CO357" i="59"/>
  <c r="CQ357" i="59"/>
  <c r="CI319" i="59"/>
  <c r="CL338" i="59"/>
  <c r="AA357" i="59"/>
  <c r="AG319" i="59"/>
  <c r="M357" i="59"/>
  <c r="AK319" i="59"/>
  <c r="BS338" i="59"/>
  <c r="AR357" i="59"/>
  <c r="AD319" i="59"/>
  <c r="H357" i="59"/>
  <c r="W319" i="59"/>
  <c r="AE357" i="59"/>
  <c r="U357" i="59"/>
  <c r="I357" i="59"/>
  <c r="Q357" i="59"/>
  <c r="BC338" i="59"/>
  <c r="AF338" i="59"/>
  <c r="BM357" i="59"/>
  <c r="CU338" i="59"/>
  <c r="U338" i="59"/>
  <c r="BS357" i="59"/>
  <c r="BA319" i="59"/>
  <c r="CF319" i="59"/>
  <c r="AF319" i="59"/>
  <c r="BF319" i="59"/>
  <c r="CO319" i="59"/>
  <c r="X357" i="59"/>
  <c r="AB319" i="59"/>
  <c r="AC338" i="59"/>
  <c r="AE338" i="59"/>
  <c r="Y338" i="59"/>
  <c r="CG319" i="59"/>
  <c r="AO338" i="59"/>
  <c r="AR319" i="59"/>
  <c r="V319" i="59"/>
  <c r="AB357" i="59"/>
  <c r="M338" i="59"/>
  <c r="G357" i="59"/>
  <c r="BI319" i="59"/>
  <c r="AV357" i="59"/>
  <c r="BU338" i="59"/>
  <c r="BF357" i="59"/>
  <c r="AO357" i="59"/>
  <c r="AJ319" i="59"/>
  <c r="CF357" i="59"/>
  <c r="CK338" i="59"/>
  <c r="X319" i="59"/>
  <c r="V357" i="59"/>
  <c r="R319" i="59"/>
  <c r="AH338" i="59"/>
  <c r="AS338" i="59"/>
  <c r="AW338" i="59"/>
  <c r="CD357" i="59"/>
  <c r="BQ338" i="59"/>
  <c r="BE338" i="59"/>
  <c r="BD338" i="59"/>
  <c r="BU357" i="59"/>
  <c r="CK319" i="59"/>
  <c r="CU357" i="59"/>
  <c r="CK357" i="59"/>
  <c r="H338" i="59"/>
  <c r="L319" i="59"/>
  <c r="AA338" i="59"/>
  <c r="BN338" i="59"/>
  <c r="AJ338" i="59"/>
  <c r="AU338" i="59"/>
  <c r="BD319" i="59"/>
  <c r="AP319" i="59"/>
  <c r="AI338" i="59"/>
  <c r="AY357" i="59"/>
  <c r="CL319" i="59"/>
  <c r="CJ319" i="59"/>
  <c r="Y319" i="59"/>
  <c r="AG357" i="59"/>
  <c r="Q338" i="59"/>
  <c r="AG338" i="59"/>
  <c r="Q319" i="59"/>
  <c r="O338" i="59"/>
  <c r="BL234" i="59"/>
  <c r="AC300" i="59"/>
  <c r="AI112" i="59"/>
  <c r="BE300" i="59"/>
  <c r="AR300" i="59"/>
  <c r="BV300" i="59"/>
  <c r="AS300" i="59"/>
  <c r="BA300" i="59"/>
  <c r="CR300" i="59"/>
  <c r="AW300" i="59"/>
  <c r="AL300" i="59"/>
  <c r="CE300" i="59"/>
  <c r="CS31" i="59"/>
  <c r="BY300" i="59"/>
  <c r="BB300" i="59"/>
  <c r="BR300" i="59"/>
  <c r="CA300" i="59"/>
  <c r="CF300" i="59"/>
  <c r="CS300" i="59"/>
  <c r="CJ300" i="59"/>
  <c r="AG300" i="59"/>
  <c r="AU300" i="59"/>
  <c r="AV300" i="59"/>
  <c r="AA234" i="59"/>
  <c r="CQ300" i="59"/>
  <c r="CB300" i="59"/>
  <c r="CV300" i="59"/>
  <c r="AT300" i="59"/>
  <c r="BZ300" i="59"/>
  <c r="AK300" i="59"/>
  <c r="CM300" i="59"/>
  <c r="AZ300" i="59"/>
  <c r="J300" i="59"/>
  <c r="P300" i="59"/>
  <c r="Z300" i="59"/>
  <c r="M300" i="59"/>
  <c r="O300" i="59"/>
  <c r="S300" i="59"/>
  <c r="N300" i="59"/>
  <c r="BW292" i="59"/>
  <c r="AZ292" i="59"/>
  <c r="BL292" i="59"/>
  <c r="BZ289" i="59"/>
  <c r="AT290" i="59"/>
  <c r="CM288" i="59"/>
  <c r="AF288" i="59"/>
  <c r="G288" i="59"/>
  <c r="AN289" i="59"/>
  <c r="CM290" i="59"/>
  <c r="T290" i="59"/>
  <c r="BA290" i="59"/>
  <c r="AP288" i="59"/>
  <c r="BC289" i="59"/>
  <c r="AI289" i="59"/>
  <c r="X290" i="59"/>
  <c r="V292" i="59"/>
  <c r="CH300" i="59"/>
  <c r="M288" i="59"/>
  <c r="W289" i="59"/>
  <c r="BM292" i="59"/>
  <c r="CF290" i="59"/>
  <c r="CB288" i="59"/>
  <c r="BH292" i="59"/>
  <c r="AT292" i="59"/>
  <c r="V288" i="59"/>
  <c r="W288" i="59"/>
  <c r="Q289" i="59"/>
  <c r="CN288" i="59"/>
  <c r="AG288" i="59"/>
  <c r="AH289" i="59"/>
  <c r="M289" i="59"/>
  <c r="BI290" i="59"/>
  <c r="AH290" i="59"/>
  <c r="CW289" i="59"/>
  <c r="Q288" i="59"/>
  <c r="AG292" i="59"/>
  <c r="L289" i="59"/>
  <c r="AV292" i="59"/>
  <c r="AK292" i="59"/>
  <c r="G290" i="59"/>
  <c r="CU290" i="59"/>
  <c r="CW300" i="59"/>
  <c r="AL292" i="59"/>
  <c r="AS288" i="59"/>
  <c r="AM289" i="59"/>
  <c r="CO292" i="59"/>
  <c r="BU300" i="59"/>
  <c r="CL300" i="59"/>
  <c r="BS288" i="59"/>
  <c r="BG289" i="59"/>
  <c r="W300" i="59"/>
  <c r="CF288" i="59"/>
  <c r="R300" i="59"/>
  <c r="BT288" i="59"/>
  <c r="BX292" i="59"/>
  <c r="AE290" i="59"/>
  <c r="AF290" i="59"/>
  <c r="AQ289" i="59"/>
  <c r="R289" i="59"/>
  <c r="CO288" i="59"/>
  <c r="BG290" i="59"/>
  <c r="CL290" i="59"/>
  <c r="AR292" i="59"/>
  <c r="CQ288" i="59"/>
  <c r="AP292" i="59"/>
  <c r="H289" i="59"/>
  <c r="CF292" i="59"/>
  <c r="AG289" i="59"/>
  <c r="CD292" i="59"/>
  <c r="CG300" i="59"/>
  <c r="BK290" i="59"/>
  <c r="AJ292" i="59"/>
  <c r="N288" i="59"/>
  <c r="BI292" i="59"/>
  <c r="BO300" i="59"/>
  <c r="U289" i="59"/>
  <c r="BE289" i="59"/>
  <c r="AM300" i="59"/>
  <c r="AQ300" i="59"/>
  <c r="CA289" i="59"/>
  <c r="AX288" i="59"/>
  <c r="BQ292" i="59"/>
  <c r="BP289" i="59"/>
  <c r="BO289" i="59"/>
  <c r="CA288" i="59"/>
  <c r="Q300" i="59"/>
  <c r="AO292" i="59"/>
  <c r="CU292" i="59"/>
  <c r="CD289" i="59"/>
  <c r="AR289" i="59"/>
  <c r="X289" i="59"/>
  <c r="X288" i="59"/>
  <c r="N289" i="59"/>
  <c r="CT292" i="59"/>
  <c r="BY289" i="59"/>
  <c r="CK288" i="59"/>
  <c r="J288" i="59"/>
  <c r="AK288" i="59"/>
  <c r="AC289" i="59"/>
  <c r="T288" i="59"/>
  <c r="BL289" i="59"/>
  <c r="CV292" i="59"/>
  <c r="CT290" i="59"/>
  <c r="CK292" i="59"/>
  <c r="AD288" i="59"/>
  <c r="CM292" i="59"/>
  <c r="CU300" i="59"/>
  <c r="CJ289" i="59"/>
  <c r="CL289" i="59"/>
  <c r="BC300" i="59"/>
  <c r="AP300" i="59"/>
  <c r="BG300" i="59"/>
  <c r="BJ290" i="59"/>
  <c r="BN288" i="59"/>
  <c r="BS289" i="59"/>
  <c r="CH288" i="59"/>
  <c r="BI289" i="59"/>
  <c r="N290" i="59"/>
  <c r="CE289" i="59"/>
  <c r="AS289" i="59"/>
  <c r="Y288" i="59"/>
  <c r="L290" i="59"/>
  <c r="CL288" i="59"/>
  <c r="M290" i="59"/>
  <c r="CS288" i="59"/>
  <c r="AL288" i="59"/>
  <c r="AO289" i="59"/>
  <c r="AY290" i="59"/>
  <c r="AO288" i="59"/>
  <c r="CU289" i="59"/>
  <c r="AI292" i="59"/>
  <c r="AV288" i="59"/>
  <c r="Y290" i="59"/>
  <c r="K290" i="59"/>
  <c r="BS300" i="59"/>
  <c r="BN292" i="59"/>
  <c r="BF300" i="59"/>
  <c r="BW300" i="59"/>
  <c r="BO288" i="59"/>
  <c r="AW292" i="59"/>
  <c r="AU288" i="59"/>
  <c r="BU292" i="59"/>
  <c r="BE292" i="59"/>
  <c r="CH292" i="59"/>
  <c r="BC288" i="59"/>
  <c r="BR289" i="59"/>
  <c r="AG290" i="59"/>
  <c r="AI290" i="59"/>
  <c r="O290" i="59"/>
  <c r="CG289" i="59"/>
  <c r="Y289" i="59"/>
  <c r="R292" i="59"/>
  <c r="H288" i="59"/>
  <c r="AV289" i="59"/>
  <c r="AI288" i="59"/>
  <c r="AZ289" i="59"/>
  <c r="R288" i="59"/>
  <c r="AQ292" i="59"/>
  <c r="AM288" i="59"/>
  <c r="K289" i="59"/>
  <c r="AD290" i="59"/>
  <c r="CW288" i="59"/>
  <c r="BM290" i="59"/>
  <c r="AA290" i="59"/>
  <c r="CI300" i="59"/>
  <c r="CP292" i="59"/>
  <c r="BB288" i="59"/>
  <c r="BR292" i="59"/>
  <c r="BD288" i="59"/>
  <c r="P292" i="59"/>
  <c r="CW292" i="59"/>
  <c r="BQ290" i="59"/>
  <c r="AJ290" i="59"/>
  <c r="P290" i="59"/>
  <c r="AT289" i="59"/>
  <c r="CN289" i="59"/>
  <c r="AW289" i="59"/>
  <c r="AH288" i="59"/>
  <c r="CP289" i="59"/>
  <c r="AB289" i="59"/>
  <c r="BF289" i="59"/>
  <c r="AZ290" i="59"/>
  <c r="I289" i="59"/>
  <c r="BJ289" i="59"/>
  <c r="BE290" i="59"/>
  <c r="AC288" i="59"/>
  <c r="V289" i="59"/>
  <c r="CV290" i="59"/>
  <c r="AQ290" i="59"/>
  <c r="AN300" i="59"/>
  <c r="CB289" i="59"/>
  <c r="BX288" i="59"/>
  <c r="AZ288" i="59"/>
  <c r="BT290" i="59"/>
  <c r="CG292" i="59"/>
  <c r="CO290" i="59"/>
  <c r="BS290" i="59"/>
  <c r="AK290" i="59"/>
  <c r="CM289" i="59"/>
  <c r="R290" i="59"/>
  <c r="CO289" i="59"/>
  <c r="CR288" i="59"/>
  <c r="U290" i="59"/>
  <c r="CQ289" i="59"/>
  <c r="J289" i="59"/>
  <c r="AE289" i="59"/>
  <c r="CC289" i="59"/>
  <c r="AD289" i="59"/>
  <c r="CT289" i="59"/>
  <c r="CJ290" i="59"/>
  <c r="BA289" i="59"/>
  <c r="AY300" i="59"/>
  <c r="CV288" i="59"/>
  <c r="AL289" i="59"/>
  <c r="AR288" i="59"/>
  <c r="BG292" i="59"/>
  <c r="BO290" i="59"/>
  <c r="AW288" i="59"/>
  <c r="BK289" i="59"/>
  <c r="BN289" i="59"/>
  <c r="BU288" i="59"/>
  <c r="BZ288" i="59"/>
  <c r="O289" i="59"/>
  <c r="AP289" i="59"/>
  <c r="X292" i="59"/>
  <c r="CP290" i="59"/>
  <c r="BU290" i="59"/>
  <c r="Q290" i="59"/>
  <c r="AR290" i="59"/>
  <c r="S290" i="59"/>
  <c r="AV290" i="59"/>
  <c r="BZ290" i="59"/>
  <c r="CR289" i="59"/>
  <c r="L292" i="59"/>
  <c r="CB290" i="59"/>
  <c r="CN290" i="59"/>
  <c r="V290" i="59"/>
  <c r="AC290" i="59"/>
  <c r="N292" i="59"/>
  <c r="BC292" i="59"/>
  <c r="AK289" i="59"/>
  <c r="BD289" i="59"/>
  <c r="T289" i="59"/>
  <c r="CH290" i="59"/>
  <c r="BP292" i="59"/>
  <c r="BM288" i="59"/>
  <c r="AX290" i="59"/>
  <c r="BB290" i="59"/>
  <c r="BV288" i="59"/>
  <c r="AY288" i="59"/>
  <c r="BW288" i="59"/>
  <c r="BY288" i="59"/>
  <c r="Q292" i="59"/>
  <c r="BP290" i="59"/>
  <c r="AS292" i="59"/>
  <c r="Y292" i="59"/>
  <c r="CQ290" i="59"/>
  <c r="AL290" i="59"/>
  <c r="BW290" i="59"/>
  <c r="AS290" i="59"/>
  <c r="BY290" i="59"/>
  <c r="J292" i="59"/>
  <c r="AF292" i="59"/>
  <c r="AF289" i="59"/>
  <c r="CP288" i="59"/>
  <c r="CA290" i="59"/>
  <c r="BD290" i="59"/>
  <c r="AN292" i="59"/>
  <c r="K288" i="59"/>
  <c r="I290" i="59"/>
  <c r="CK289" i="59"/>
  <c r="AQ288" i="59"/>
  <c r="BB289" i="59"/>
  <c r="G292" i="59"/>
  <c r="CQ292" i="59"/>
  <c r="AW290" i="59"/>
  <c r="BT289" i="59"/>
  <c r="BL288" i="59"/>
  <c r="BC290" i="59"/>
  <c r="BR288" i="59"/>
  <c r="AU292" i="59"/>
  <c r="Z292" i="59"/>
  <c r="BV290" i="59"/>
  <c r="CS290" i="59"/>
  <c r="BX290" i="59"/>
  <c r="I292" i="59"/>
  <c r="AE292" i="59"/>
  <c r="CE292" i="59"/>
  <c r="BM300" i="59"/>
  <c r="CI290" i="59"/>
  <c r="I288" i="59"/>
  <c r="K292" i="59"/>
  <c r="M292" i="59"/>
  <c r="CS292" i="59"/>
  <c r="AB288" i="59"/>
  <c r="AM290" i="59"/>
  <c r="AO290" i="59"/>
  <c r="J290" i="59"/>
  <c r="S289" i="59"/>
  <c r="H290" i="59"/>
  <c r="W292" i="59"/>
  <c r="BO292" i="59"/>
  <c r="BF288" i="59"/>
  <c r="BR290" i="59"/>
  <c r="AX292" i="59"/>
  <c r="BD292" i="59"/>
  <c r="BM289" i="59"/>
  <c r="BY292" i="59"/>
  <c r="P289" i="59"/>
  <c r="Y300" i="59"/>
  <c r="AY292" i="59"/>
  <c r="CR290" i="59"/>
  <c r="AB292" i="59"/>
  <c r="H292" i="59"/>
  <c r="AD292" i="59"/>
  <c r="CC292" i="59"/>
  <c r="Z289" i="59"/>
  <c r="S288" i="59"/>
  <c r="AH292" i="59"/>
  <c r="BL290" i="59"/>
  <c r="CE290" i="59"/>
  <c r="Z290" i="59"/>
  <c r="CH289" i="59"/>
  <c r="CD290" i="59"/>
  <c r="BQ300" i="59"/>
  <c r="AM292" i="59"/>
  <c r="CF289" i="59"/>
  <c r="BP288" i="59"/>
  <c r="BS292" i="59"/>
  <c r="L300" i="59"/>
  <c r="AU290" i="59"/>
  <c r="BK288" i="59"/>
  <c r="AA292" i="59"/>
  <c r="BB292" i="59"/>
  <c r="AC292" i="59"/>
  <c r="CB292" i="59"/>
  <c r="BJ300" i="59"/>
  <c r="AJ288" i="59"/>
  <c r="AN288" i="59"/>
  <c r="CI292" i="59"/>
  <c r="U292" i="59"/>
  <c r="AP290" i="59"/>
  <c r="W290" i="59"/>
  <c r="T292" i="59"/>
  <c r="O288" i="59"/>
  <c r="BJ292" i="59"/>
  <c r="BD300" i="59"/>
  <c r="BZ292" i="59"/>
  <c r="AU289" i="59"/>
  <c r="BX289" i="59"/>
  <c r="CE288" i="59"/>
  <c r="BW289" i="59"/>
  <c r="K300" i="59"/>
  <c r="AT288" i="59"/>
  <c r="CC288" i="59"/>
  <c r="BA292" i="59"/>
  <c r="CA292" i="59"/>
  <c r="BI300" i="59"/>
  <c r="AA289" i="59"/>
  <c r="BH289" i="59"/>
  <c r="BN300" i="59"/>
  <c r="BX300" i="59"/>
  <c r="BP300" i="59"/>
  <c r="L288" i="59"/>
  <c r="CU288" i="59"/>
  <c r="CL292" i="59"/>
  <c r="BN290" i="59"/>
  <c r="CC290" i="59"/>
  <c r="BF292" i="59"/>
  <c r="AE288" i="59"/>
  <c r="CN292" i="59"/>
  <c r="BT300" i="59"/>
  <c r="CK300" i="59"/>
  <c r="CR292" i="59"/>
  <c r="BV289" i="59"/>
  <c r="BG288" i="59"/>
  <c r="BU289" i="59"/>
  <c r="BH290" i="59"/>
  <c r="BH288" i="59"/>
  <c r="CI288" i="59"/>
  <c r="BF290" i="59"/>
  <c r="BH300" i="59"/>
  <c r="BQ289" i="59"/>
  <c r="CV289" i="59"/>
  <c r="P288" i="59"/>
  <c r="CS289" i="59"/>
  <c r="BK300" i="59"/>
  <c r="AN290" i="59"/>
  <c r="AA288" i="59"/>
  <c r="AJ289" i="59"/>
  <c r="CG290" i="59"/>
  <c r="S292" i="59"/>
  <c r="BA288" i="59"/>
  <c r="BJ288" i="59"/>
  <c r="BK292" i="59"/>
  <c r="BV292" i="59"/>
  <c r="BT292" i="59"/>
  <c r="AY289" i="59"/>
  <c r="BQ288" i="59"/>
  <c r="BE288" i="59"/>
  <c r="CG288" i="59"/>
  <c r="BI288" i="59"/>
  <c r="CJ288" i="59"/>
  <c r="CK290" i="59"/>
  <c r="Z288" i="59"/>
  <c r="AX300" i="59"/>
  <c r="CD288" i="59"/>
  <c r="O292" i="59"/>
  <c r="AX289" i="59"/>
  <c r="AB290" i="59"/>
  <c r="U288" i="59"/>
  <c r="BL300" i="59"/>
  <c r="CT288" i="59"/>
  <c r="CI289" i="59"/>
  <c r="CW290" i="59"/>
  <c r="CJ292" i="59"/>
  <c r="AJ300" i="59"/>
  <c r="G289" i="59"/>
  <c r="AO300" i="59"/>
  <c r="G300" i="59"/>
  <c r="CU31" i="59"/>
  <c r="CM234" i="59"/>
  <c r="CL31" i="59"/>
  <c r="CQ234" i="59"/>
  <c r="CP223" i="59"/>
  <c r="CW31" i="59"/>
  <c r="CP226" i="59"/>
  <c r="CP224" i="59"/>
  <c r="CS222" i="59"/>
  <c r="CP222" i="59"/>
  <c r="CP234" i="59"/>
  <c r="CU222" i="59"/>
  <c r="CT223" i="59"/>
  <c r="CU224" i="59"/>
  <c r="CQ223" i="59"/>
  <c r="CT226" i="59"/>
  <c r="CQ224" i="59"/>
  <c r="CU234" i="59"/>
  <c r="CQ226" i="59"/>
  <c r="CT222" i="59"/>
  <c r="CU226" i="59"/>
  <c r="CR224" i="59"/>
  <c r="CV222" i="59"/>
  <c r="CQ222" i="59"/>
  <c r="CR234" i="59"/>
  <c r="CV224" i="59"/>
  <c r="CR223" i="59"/>
  <c r="CV234" i="59"/>
  <c r="CR226" i="59"/>
  <c r="CV226" i="59"/>
  <c r="CS224" i="59"/>
  <c r="CS234" i="59"/>
  <c r="CR222" i="59"/>
  <c r="CW222" i="59"/>
  <c r="CV223" i="59"/>
  <c r="CW223" i="59"/>
  <c r="CU223" i="59"/>
  <c r="CW224" i="59"/>
  <c r="CS223" i="59"/>
  <c r="CW226" i="59"/>
  <c r="CT224" i="59"/>
  <c r="CW234" i="59"/>
  <c r="CS226" i="59"/>
  <c r="CT234" i="59"/>
  <c r="CM31" i="59"/>
  <c r="CW112" i="59"/>
  <c r="CR31" i="59"/>
  <c r="CO31" i="59"/>
  <c r="CQ19" i="59"/>
  <c r="CU100" i="59"/>
  <c r="CR21" i="59"/>
  <c r="CP100" i="59"/>
  <c r="CW100" i="59"/>
  <c r="CS103" i="59"/>
  <c r="CT20" i="59"/>
  <c r="CQ103" i="59"/>
  <c r="CU21" i="59"/>
  <c r="CQ101" i="59"/>
  <c r="CT112" i="59"/>
  <c r="CP21" i="59"/>
  <c r="CX32" i="59"/>
  <c r="CW23" i="59"/>
  <c r="CS100" i="59"/>
  <c r="CQ112" i="59"/>
  <c r="CL112" i="59"/>
  <c r="CN31" i="59"/>
  <c r="CR103" i="59"/>
  <c r="CT31" i="59"/>
  <c r="CT21" i="59"/>
  <c r="CP23" i="59"/>
  <c r="CU99" i="59"/>
  <c r="CR101" i="59"/>
  <c r="CQ99" i="59"/>
  <c r="CW19" i="59"/>
  <c r="CS19" i="59"/>
  <c r="CS21" i="59"/>
  <c r="CP101" i="59"/>
  <c r="CT19" i="59"/>
  <c r="CS101" i="59"/>
  <c r="CV99" i="59"/>
  <c r="CR112" i="59"/>
  <c r="CX29" i="59"/>
  <c r="CR100" i="59"/>
  <c r="CR19" i="59"/>
  <c r="CW21" i="59"/>
  <c r="CP112" i="59"/>
  <c r="CQ100" i="59"/>
  <c r="CP19" i="59"/>
  <c r="CU101" i="59"/>
  <c r="CW101" i="59"/>
  <c r="CS112" i="59"/>
  <c r="CX28" i="59"/>
  <c r="CU103" i="59"/>
  <c r="CV23" i="59"/>
  <c r="CV19" i="59"/>
  <c r="CP31" i="59"/>
  <c r="CX30" i="59"/>
  <c r="CN112" i="59"/>
  <c r="CP99" i="59"/>
  <c r="CS20" i="59"/>
  <c r="CV103" i="59"/>
  <c r="CR99" i="59"/>
  <c r="CU112" i="59"/>
  <c r="CV21" i="59"/>
  <c r="CU20" i="59"/>
  <c r="CU22" i="59" s="1"/>
  <c r="CQ20" i="59"/>
  <c r="CQ21" i="59"/>
  <c r="CR23" i="59"/>
  <c r="CT100" i="59"/>
  <c r="CT101" i="59"/>
  <c r="CU19" i="59"/>
  <c r="CW20" i="59"/>
  <c r="CT103" i="59"/>
  <c r="CP103" i="59"/>
  <c r="CV101" i="59"/>
  <c r="CW103" i="59"/>
  <c r="CQ31" i="59"/>
  <c r="CV20" i="59"/>
  <c r="CR20" i="59"/>
  <c r="CW99" i="59"/>
  <c r="CS99" i="59"/>
  <c r="CO234" i="59"/>
  <c r="CT23" i="59"/>
  <c r="CV31" i="59"/>
  <c r="CS23" i="59"/>
  <c r="CU23" i="59"/>
  <c r="CV100" i="59"/>
  <c r="CV112" i="59"/>
  <c r="CI234" i="59"/>
  <c r="CP20" i="59"/>
  <c r="CQ23" i="59"/>
  <c r="CK23" i="59"/>
  <c r="CU14" i="59"/>
  <c r="CP14" i="59"/>
  <c r="CV12" i="59"/>
  <c r="CQ10" i="59"/>
  <c r="CW10" i="59"/>
  <c r="CQ14" i="59"/>
  <c r="CR14" i="59"/>
  <c r="CW11" i="59"/>
  <c r="CS14" i="59"/>
  <c r="CQ11" i="59"/>
  <c r="CU10" i="59"/>
  <c r="CU12" i="59"/>
  <c r="CQ12" i="59"/>
  <c r="CW12" i="59"/>
  <c r="CP11" i="59"/>
  <c r="CS12" i="59"/>
  <c r="CU11" i="59"/>
  <c r="CV11" i="59"/>
  <c r="CP10" i="59"/>
  <c r="CP12" i="59"/>
  <c r="CV14" i="59"/>
  <c r="CT11" i="59"/>
  <c r="CT12" i="59"/>
  <c r="CR11" i="59"/>
  <c r="CS11" i="59"/>
  <c r="CR10" i="59"/>
  <c r="CR12" i="59"/>
  <c r="CT10" i="59"/>
  <c r="CV10" i="59"/>
  <c r="CT14" i="59"/>
  <c r="CW14" i="59"/>
  <c r="CS10" i="59"/>
  <c r="CX110" i="59"/>
  <c r="CX111" i="59"/>
  <c r="CX113" i="59"/>
  <c r="CX109" i="59"/>
  <c r="CK31" i="59"/>
  <c r="CI226" i="59"/>
  <c r="CN224" i="59"/>
  <c r="CO226" i="59"/>
  <c r="CO99" i="59"/>
  <c r="CI21" i="59"/>
  <c r="CK101" i="59"/>
  <c r="CJ100" i="59"/>
  <c r="CM224" i="59"/>
  <c r="CO112" i="59"/>
  <c r="CL99" i="59"/>
  <c r="CN222" i="59"/>
  <c r="CK226" i="59"/>
  <c r="CL223" i="59"/>
  <c r="CI100" i="59"/>
  <c r="CK20" i="59"/>
  <c r="CO23" i="59"/>
  <c r="CM21" i="59"/>
  <c r="CL21" i="59"/>
  <c r="CM19" i="59"/>
  <c r="CK223" i="59"/>
  <c r="CK224" i="59"/>
  <c r="CK234" i="59"/>
  <c r="CA23" i="59"/>
  <c r="CO11" i="59"/>
  <c r="CM11" i="59"/>
  <c r="CL11" i="59"/>
  <c r="CM14" i="59"/>
  <c r="CL14" i="59"/>
  <c r="CL10" i="59"/>
  <c r="CK10" i="59"/>
  <c r="CN11" i="59"/>
  <c r="CN14" i="59"/>
  <c r="CK11" i="59"/>
  <c r="CJ11" i="59"/>
  <c r="CO14" i="59"/>
  <c r="CL12" i="59"/>
  <c r="CK14" i="59"/>
  <c r="CI11" i="59"/>
  <c r="CJ14" i="59"/>
  <c r="CO10" i="59"/>
  <c r="CI14" i="59"/>
  <c r="CN10" i="59"/>
  <c r="CO12" i="59"/>
  <c r="CM10" i="59"/>
  <c r="CN12" i="59"/>
  <c r="CM12" i="59"/>
  <c r="CJ10" i="59"/>
  <c r="CI10" i="59"/>
  <c r="CK12" i="59"/>
  <c r="CJ12" i="59"/>
  <c r="CI12" i="59"/>
  <c r="CJ31" i="59"/>
  <c r="CI112" i="59"/>
  <c r="CK100" i="59"/>
  <c r="CO21" i="59"/>
  <c r="CM226" i="59"/>
  <c r="CJ103" i="59"/>
  <c r="CJ20" i="59"/>
  <c r="CI19" i="59"/>
  <c r="CL101" i="59"/>
  <c r="CM100" i="59"/>
  <c r="CM103" i="59"/>
  <c r="CN100" i="59"/>
  <c r="CJ21" i="59"/>
  <c r="CL103" i="59"/>
  <c r="CI223" i="59"/>
  <c r="CK112" i="59"/>
  <c r="CO224" i="59"/>
  <c r="CM222" i="59"/>
  <c r="CO223" i="59"/>
  <c r="CN234" i="59"/>
  <c r="CN19" i="59"/>
  <c r="CL234" i="59"/>
  <c r="CO100" i="59"/>
  <c r="CL20" i="59"/>
  <c r="CI99" i="59"/>
  <c r="CK19" i="59"/>
  <c r="CJ223" i="59"/>
  <c r="CO20" i="59"/>
  <c r="CO19" i="59"/>
  <c r="CI101" i="59"/>
  <c r="CL23" i="59"/>
  <c r="CI222" i="59"/>
  <c r="CJ226" i="59"/>
  <c r="CM23" i="59"/>
  <c r="CL100" i="59"/>
  <c r="CL226" i="59"/>
  <c r="CK222" i="59"/>
  <c r="CN226" i="59"/>
  <c r="CM112" i="59"/>
  <c r="CI31" i="59"/>
  <c r="CJ99" i="59"/>
  <c r="CN103" i="59"/>
  <c r="CI23" i="59"/>
  <c r="CK99" i="59"/>
  <c r="CJ222" i="59"/>
  <c r="CN23" i="59"/>
  <c r="CK21" i="59"/>
  <c r="CN223" i="59"/>
  <c r="CN20" i="59"/>
  <c r="CM101" i="59"/>
  <c r="CN101" i="59"/>
  <c r="CO222" i="59"/>
  <c r="CM20" i="59"/>
  <c r="CM99" i="59"/>
  <c r="CI20" i="59"/>
  <c r="CJ112" i="59"/>
  <c r="CN99" i="59"/>
  <c r="CL19" i="59"/>
  <c r="CO101" i="59"/>
  <c r="CJ101" i="59"/>
  <c r="CI224" i="59"/>
  <c r="CN21" i="59"/>
  <c r="CJ224" i="59"/>
  <c r="CJ19" i="59"/>
  <c r="CL222" i="59"/>
  <c r="CJ234" i="59"/>
  <c r="CO103" i="59"/>
  <c r="CK103" i="59"/>
  <c r="CM223" i="59"/>
  <c r="CM225" i="59" s="1"/>
  <c r="CI103" i="59"/>
  <c r="CL224" i="59"/>
  <c r="CJ23" i="59"/>
  <c r="BM112" i="59"/>
  <c r="BD28" i="56"/>
  <c r="BK112" i="59"/>
  <c r="AW112" i="59"/>
  <c r="CB234" i="59"/>
  <c r="I234" i="59"/>
  <c r="AA112" i="59"/>
  <c r="X234" i="59"/>
  <c r="AB112" i="59"/>
  <c r="AD112" i="59"/>
  <c r="AH112" i="59"/>
  <c r="BY112" i="59"/>
  <c r="CC112" i="59"/>
  <c r="BI112" i="59"/>
  <c r="AV112" i="59"/>
  <c r="BL112" i="59"/>
  <c r="BO112" i="59"/>
  <c r="BZ112" i="59"/>
  <c r="AS112" i="59"/>
  <c r="T234" i="59"/>
  <c r="AC112" i="59"/>
  <c r="BJ112" i="59"/>
  <c r="CG234" i="59"/>
  <c r="AU112" i="59"/>
  <c r="BN112" i="59"/>
  <c r="CA112" i="59"/>
  <c r="BB31" i="59"/>
  <c r="X112" i="59"/>
  <c r="AF112" i="59"/>
  <c r="Z31" i="59"/>
  <c r="CE234" i="59"/>
  <c r="Y234" i="59"/>
  <c r="BA234" i="59"/>
  <c r="BG112" i="59"/>
  <c r="BE31" i="59"/>
  <c r="CH234" i="59"/>
  <c r="BD234" i="59"/>
  <c r="AY234" i="59"/>
  <c r="BB234" i="59"/>
  <c r="BE234" i="59"/>
  <c r="BR234" i="59"/>
  <c r="AG234" i="59"/>
  <c r="AH234" i="59"/>
  <c r="U234" i="59"/>
  <c r="CB112" i="59"/>
  <c r="AJ234" i="59"/>
  <c r="AL112" i="59"/>
  <c r="BP234" i="59"/>
  <c r="BG234" i="59"/>
  <c r="AL234" i="59"/>
  <c r="BL226" i="59"/>
  <c r="CB222" i="59"/>
  <c r="AY226" i="59"/>
  <c r="BK226" i="59"/>
  <c r="CE222" i="59"/>
  <c r="BX223" i="59"/>
  <c r="BE222" i="59"/>
  <c r="AC224" i="59"/>
  <c r="AS224" i="59"/>
  <c r="AM223" i="59"/>
  <c r="I224" i="59"/>
  <c r="Y223" i="59"/>
  <c r="AA223" i="59"/>
  <c r="AC223" i="59"/>
  <c r="AK223" i="59"/>
  <c r="AP222" i="59"/>
  <c r="BV224" i="59"/>
  <c r="BS234" i="59"/>
  <c r="N223" i="59"/>
  <c r="BT224" i="59"/>
  <c r="AR222" i="59"/>
  <c r="M222" i="59"/>
  <c r="O226" i="59"/>
  <c r="AQ234" i="59"/>
  <c r="BC226" i="59"/>
  <c r="AP224" i="59"/>
  <c r="AT234" i="59"/>
  <c r="AK226" i="59"/>
  <c r="CF222" i="59"/>
  <c r="AY222" i="59"/>
  <c r="BW226" i="59"/>
  <c r="AX224" i="59"/>
  <c r="K234" i="59"/>
  <c r="BU226" i="59"/>
  <c r="BV222" i="59"/>
  <c r="AZ222" i="59"/>
  <c r="BZ226" i="59"/>
  <c r="BT222" i="59"/>
  <c r="CC234" i="59"/>
  <c r="AM226" i="59"/>
  <c r="BB223" i="59"/>
  <c r="BD223" i="59"/>
  <c r="BF223" i="59"/>
  <c r="BJ223" i="59"/>
  <c r="AX234" i="59"/>
  <c r="AF223" i="59"/>
  <c r="L226" i="59"/>
  <c r="AT223" i="59"/>
  <c r="Z226" i="59"/>
  <c r="R223" i="59"/>
  <c r="AC222" i="59"/>
  <c r="AE226" i="59"/>
  <c r="BL224" i="59"/>
  <c r="BJ234" i="59"/>
  <c r="BI226" i="59"/>
  <c r="BK222" i="59"/>
  <c r="BR222" i="59"/>
  <c r="BR226" i="59"/>
  <c r="AW222" i="59"/>
  <c r="AT226" i="59"/>
  <c r="BE226" i="59"/>
  <c r="L223" i="59"/>
  <c r="N222" i="59"/>
  <c r="H223" i="59"/>
  <c r="AJ222" i="59"/>
  <c r="M224" i="59"/>
  <c r="O224" i="59"/>
  <c r="W224" i="59"/>
  <c r="Y224" i="59"/>
  <c r="CD234" i="59"/>
  <c r="BY223" i="59"/>
  <c r="AB226" i="59"/>
  <c r="P224" i="59"/>
  <c r="CA226" i="59"/>
  <c r="AY223" i="59"/>
  <c r="AS222" i="59"/>
  <c r="AN234" i="59"/>
  <c r="AV226" i="59"/>
  <c r="BI224" i="59"/>
  <c r="BW234" i="59"/>
  <c r="CC224" i="59"/>
  <c r="BZ234" i="59"/>
  <c r="AX222" i="59"/>
  <c r="AZ226" i="59"/>
  <c r="V234" i="59"/>
  <c r="AT222" i="59"/>
  <c r="BT226" i="59"/>
  <c r="CE223" i="59"/>
  <c r="V223" i="59"/>
  <c r="AF222" i="59"/>
  <c r="AR223" i="59"/>
  <c r="BP224" i="59"/>
  <c r="CF224" i="59"/>
  <c r="CH224" i="59"/>
  <c r="W226" i="59"/>
  <c r="AO222" i="59"/>
  <c r="BC224" i="59"/>
  <c r="AR226" i="59"/>
  <c r="X226" i="59"/>
  <c r="AZ224" i="59"/>
  <c r="CC223" i="59"/>
  <c r="S223" i="59"/>
  <c r="CF226" i="59"/>
  <c r="BZ224" i="59"/>
  <c r="S226" i="59"/>
  <c r="BH222" i="59"/>
  <c r="CA223" i="59"/>
  <c r="BR224" i="59"/>
  <c r="BX222" i="59"/>
  <c r="AU222" i="59"/>
  <c r="BM226" i="59"/>
  <c r="J224" i="59"/>
  <c r="AN223" i="59"/>
  <c r="AV224" i="59"/>
  <c r="AW234" i="59"/>
  <c r="BM234" i="59"/>
  <c r="AE223" i="59"/>
  <c r="K226" i="59"/>
  <c r="CC226" i="59"/>
  <c r="Y226" i="59"/>
  <c r="AZ234" i="59"/>
  <c r="T224" i="59"/>
  <c r="AI223" i="59"/>
  <c r="BT234" i="59"/>
  <c r="P226" i="59"/>
  <c r="AI226" i="59"/>
  <c r="BZ222" i="59"/>
  <c r="BD222" i="59"/>
  <c r="BC222" i="59"/>
  <c r="G224" i="59"/>
  <c r="AD224" i="59"/>
  <c r="BS223" i="59"/>
  <c r="AA226" i="59"/>
  <c r="X222" i="59"/>
  <c r="BY226" i="59"/>
  <c r="CF234" i="59"/>
  <c r="AJ224" i="59"/>
  <c r="AZ223" i="59"/>
  <c r="AF226" i="59"/>
  <c r="AR234" i="59"/>
  <c r="BF226" i="59"/>
  <c r="AA224" i="59"/>
  <c r="CA222" i="59"/>
  <c r="BO226" i="59"/>
  <c r="BW222" i="59"/>
  <c r="BN222" i="59"/>
  <c r="AG222" i="59"/>
  <c r="O222" i="59"/>
  <c r="P222" i="59"/>
  <c r="R222" i="59"/>
  <c r="T222" i="59"/>
  <c r="V222" i="59"/>
  <c r="H222" i="59"/>
  <c r="AN222" i="59"/>
  <c r="AG224" i="59"/>
  <c r="AQ226" i="59"/>
  <c r="K222" i="59"/>
  <c r="BS224" i="59"/>
  <c r="BW224" i="59"/>
  <c r="CD223" i="59"/>
  <c r="BA226" i="59"/>
  <c r="AN224" i="59"/>
  <c r="BH234" i="59"/>
  <c r="AQ224" i="59"/>
  <c r="AU234" i="59"/>
  <c r="U31" i="59"/>
  <c r="BD226" i="59"/>
  <c r="BU222" i="59"/>
  <c r="BO223" i="59"/>
  <c r="AW226" i="59"/>
  <c r="AO223" i="59"/>
  <c r="AK222" i="59"/>
  <c r="M223" i="59"/>
  <c r="AL222" i="59"/>
  <c r="AV222" i="59"/>
  <c r="BY222" i="59"/>
  <c r="CD222" i="59"/>
  <c r="AD222" i="59"/>
  <c r="AD223" i="59"/>
  <c r="J226" i="59"/>
  <c r="CB226" i="59"/>
  <c r="AA222" i="59"/>
  <c r="AI234" i="59"/>
  <c r="M226" i="59"/>
  <c r="U224" i="59"/>
  <c r="AO234" i="59"/>
  <c r="CG226" i="59"/>
  <c r="BJ224" i="59"/>
  <c r="BX234" i="59"/>
  <c r="BM224" i="59"/>
  <c r="BK234" i="59"/>
  <c r="BO222" i="59"/>
  <c r="AT224" i="59"/>
  <c r="BK223" i="59"/>
  <c r="AU223" i="59"/>
  <c r="AE224" i="59"/>
  <c r="W223" i="59"/>
  <c r="CG223" i="59"/>
  <c r="X223" i="59"/>
  <c r="Z223" i="59"/>
  <c r="AB223" i="59"/>
  <c r="AJ223" i="59"/>
  <c r="J223" i="59"/>
  <c r="BR223" i="59"/>
  <c r="AP226" i="59"/>
  <c r="AQ222" i="59"/>
  <c r="I222" i="59"/>
  <c r="AN226" i="59"/>
  <c r="BO234" i="59"/>
  <c r="AC226" i="59"/>
  <c r="AK224" i="59"/>
  <c r="CA224" i="59"/>
  <c r="CD224" i="59"/>
  <c r="CA234" i="59"/>
  <c r="BP223" i="59"/>
  <c r="BV223" i="59"/>
  <c r="CF223" i="59"/>
  <c r="BF222" i="59"/>
  <c r="AS223" i="59"/>
  <c r="BN226" i="59"/>
  <c r="BA223" i="59"/>
  <c r="BC223" i="59"/>
  <c r="BE223" i="59"/>
  <c r="BH223" i="59"/>
  <c r="AL223" i="59"/>
  <c r="AF224" i="59"/>
  <c r="Q223" i="59"/>
  <c r="BA224" i="59"/>
  <c r="Z222" i="59"/>
  <c r="AS226" i="59"/>
  <c r="BF224" i="59"/>
  <c r="BU234" i="59"/>
  <c r="Q226" i="59"/>
  <c r="T226" i="59"/>
  <c r="CH226" i="59"/>
  <c r="S234" i="59"/>
  <c r="BI223" i="59"/>
  <c r="BH224" i="59"/>
  <c r="AH222" i="59"/>
  <c r="K224" i="59"/>
  <c r="H224" i="59"/>
  <c r="L224" i="59"/>
  <c r="N224" i="59"/>
  <c r="V224" i="59"/>
  <c r="X224" i="59"/>
  <c r="BL223" i="59"/>
  <c r="I226" i="59"/>
  <c r="AG223" i="59"/>
  <c r="AF234" i="59"/>
  <c r="P223" i="59"/>
  <c r="BX224" i="59"/>
  <c r="AG226" i="59"/>
  <c r="AS234" i="59"/>
  <c r="AJ226" i="59"/>
  <c r="CH222" i="59"/>
  <c r="BQ226" i="59"/>
  <c r="BB224" i="59"/>
  <c r="BG222" i="59"/>
  <c r="BX226" i="59"/>
  <c r="BV226" i="59"/>
  <c r="AP223" i="59"/>
  <c r="AY224" i="59"/>
  <c r="T223" i="59"/>
  <c r="BO224" i="59"/>
  <c r="BQ224" i="59"/>
  <c r="CG224" i="59"/>
  <c r="V226" i="59"/>
  <c r="Z224" i="59"/>
  <c r="AO226" i="59"/>
  <c r="AK234" i="59"/>
  <c r="AX223" i="59"/>
  <c r="BN234" i="59"/>
  <c r="AW223" i="59"/>
  <c r="N226" i="59"/>
  <c r="AP234" i="59"/>
  <c r="BB226" i="59"/>
  <c r="AO224" i="59"/>
  <c r="BI234" i="59"/>
  <c r="BG226" i="59"/>
  <c r="AB224" i="59"/>
  <c r="BJ226" i="59"/>
  <c r="BW223" i="59"/>
  <c r="CG222" i="59"/>
  <c r="BS226" i="59"/>
  <c r="AX226" i="59"/>
  <c r="BB222" i="59"/>
  <c r="BG223" i="59"/>
  <c r="AM224" i="59"/>
  <c r="CH223" i="59"/>
  <c r="AL226" i="59"/>
  <c r="BZ223" i="59"/>
  <c r="AH224" i="59"/>
  <c r="Y222" i="59"/>
  <c r="R224" i="59"/>
  <c r="AD226" i="59"/>
  <c r="BF234" i="59"/>
  <c r="BK224" i="59"/>
  <c r="BY234" i="59"/>
  <c r="AR224" i="59"/>
  <c r="BM223" i="59"/>
  <c r="BN223" i="59"/>
  <c r="BL222" i="59"/>
  <c r="BQ222" i="59"/>
  <c r="BI222" i="59"/>
  <c r="BT223" i="59"/>
  <c r="G222" i="59"/>
  <c r="BQ234" i="59"/>
  <c r="S224" i="59"/>
  <c r="AH223" i="59"/>
  <c r="O223" i="59"/>
  <c r="BU224" i="59"/>
  <c r="AM234" i="59"/>
  <c r="AU226" i="59"/>
  <c r="AL224" i="59"/>
  <c r="BV234" i="59"/>
  <c r="CB224" i="59"/>
  <c r="BN224" i="59"/>
  <c r="BU223" i="59"/>
  <c r="BJ222" i="59"/>
  <c r="CB223" i="59"/>
  <c r="BP222" i="59"/>
  <c r="K223" i="59"/>
  <c r="AI222" i="59"/>
  <c r="G223" i="59"/>
  <c r="G226" i="59"/>
  <c r="Q222" i="59"/>
  <c r="S222" i="59"/>
  <c r="U222" i="59"/>
  <c r="W222" i="59"/>
  <c r="BP226" i="59"/>
  <c r="AI224" i="59"/>
  <c r="BE224" i="59"/>
  <c r="AV223" i="59"/>
  <c r="L222" i="59"/>
  <c r="BC234" i="59"/>
  <c r="CE226" i="59"/>
  <c r="BG224" i="59"/>
  <c r="R226" i="59"/>
  <c r="CE224" i="59"/>
  <c r="AU224" i="59"/>
  <c r="BS222" i="59"/>
  <c r="BH226" i="59"/>
  <c r="BM222" i="59"/>
  <c r="AW224" i="59"/>
  <c r="BQ223" i="59"/>
  <c r="AQ223" i="59"/>
  <c r="AE222" i="59"/>
  <c r="U223" i="59"/>
  <c r="AM222" i="59"/>
  <c r="BA222" i="59"/>
  <c r="CC222" i="59"/>
  <c r="I223" i="59"/>
  <c r="J222" i="59"/>
  <c r="BD224" i="59"/>
  <c r="CD226" i="59"/>
  <c r="H226" i="59"/>
  <c r="Q224" i="59"/>
  <c r="AB222" i="59"/>
  <c r="BY224" i="59"/>
  <c r="AH226" i="59"/>
  <c r="U226" i="59"/>
  <c r="N234" i="59"/>
  <c r="O234" i="59"/>
  <c r="R234" i="59"/>
  <c r="L234" i="59"/>
  <c r="Z234" i="59"/>
  <c r="P234" i="59"/>
  <c r="Q234" i="59"/>
  <c r="J234" i="59"/>
  <c r="W234" i="59"/>
  <c r="M234" i="59"/>
  <c r="G234" i="59"/>
  <c r="AZ112" i="59"/>
  <c r="CF112" i="59"/>
  <c r="L112" i="59"/>
  <c r="J112" i="59"/>
  <c r="N112" i="59"/>
  <c r="O112" i="59"/>
  <c r="AP31" i="59"/>
  <c r="CH31" i="59"/>
  <c r="M112" i="59"/>
  <c r="AZ31" i="59"/>
  <c r="BV31" i="59"/>
  <c r="BP31" i="59"/>
  <c r="BU31" i="59"/>
  <c r="Z112" i="59"/>
  <c r="AN31" i="59"/>
  <c r="V112" i="59"/>
  <c r="G112" i="59"/>
  <c r="H112" i="59"/>
  <c r="S112" i="59"/>
  <c r="P112" i="59"/>
  <c r="Q112" i="59"/>
  <c r="W112" i="59"/>
  <c r="I112" i="59"/>
  <c r="CF31" i="59"/>
  <c r="N23" i="59"/>
  <c r="O20" i="59"/>
  <c r="BX100" i="59"/>
  <c r="BC99" i="59"/>
  <c r="CA100" i="59"/>
  <c r="BK103" i="59"/>
  <c r="AP100" i="59"/>
  <c r="BY100" i="59"/>
  <c r="BP103" i="59"/>
  <c r="AC101" i="59"/>
  <c r="AE101" i="59"/>
  <c r="N99" i="59"/>
  <c r="AA100" i="59"/>
  <c r="AI101" i="59"/>
  <c r="BH100" i="59"/>
  <c r="CG100" i="59"/>
  <c r="CD103" i="59"/>
  <c r="G101" i="59"/>
  <c r="AP101" i="59"/>
  <c r="T103" i="59"/>
  <c r="CH99" i="59"/>
  <c r="AU99" i="59"/>
  <c r="BT99" i="59"/>
  <c r="AU100" i="59"/>
  <c r="BL99" i="59"/>
  <c r="BV99" i="59"/>
  <c r="BB101" i="59"/>
  <c r="Z101" i="59"/>
  <c r="P101" i="59"/>
  <c r="AE100" i="59"/>
  <c r="J101" i="59"/>
  <c r="AJ103" i="59"/>
  <c r="BQ101" i="59"/>
  <c r="AD99" i="59"/>
  <c r="BD101" i="59"/>
  <c r="P99" i="59"/>
  <c r="U101" i="59"/>
  <c r="BL101" i="59"/>
  <c r="W101" i="59"/>
  <c r="BB103" i="59"/>
  <c r="U99" i="59"/>
  <c r="BX103" i="59"/>
  <c r="BE99" i="59"/>
  <c r="AW101" i="59"/>
  <c r="BW99" i="59"/>
  <c r="AY103" i="59"/>
  <c r="BW103" i="59"/>
  <c r="K100" i="59"/>
  <c r="AF101" i="59"/>
  <c r="AY101" i="59"/>
  <c r="Q103" i="59"/>
  <c r="V103" i="59"/>
  <c r="M99" i="59"/>
  <c r="AV99" i="59"/>
  <c r="S103" i="59"/>
  <c r="BV101" i="59"/>
  <c r="AF99" i="59"/>
  <c r="AQ101" i="59"/>
  <c r="AK101" i="59"/>
  <c r="AQ100" i="59"/>
  <c r="AM101" i="59"/>
  <c r="AK99" i="59"/>
  <c r="BF99" i="59"/>
  <c r="BD99" i="59"/>
  <c r="BU99" i="59"/>
  <c r="BP100" i="59"/>
  <c r="BO100" i="59"/>
  <c r="BQ103" i="59"/>
  <c r="AZ101" i="59"/>
  <c r="BM103" i="59"/>
  <c r="AL103" i="59"/>
  <c r="AC99" i="59"/>
  <c r="R100" i="59"/>
  <c r="BQ100" i="59"/>
  <c r="J103" i="59"/>
  <c r="BY99" i="59"/>
  <c r="L100" i="59"/>
  <c r="BF101" i="59"/>
  <c r="BI101" i="59"/>
  <c r="R99" i="59"/>
  <c r="G99" i="59"/>
  <c r="J99" i="59"/>
  <c r="T99" i="59"/>
  <c r="I100" i="59"/>
  <c r="CA99" i="59"/>
  <c r="BQ99" i="59"/>
  <c r="BN99" i="59"/>
  <c r="BZ103" i="59"/>
  <c r="AR101" i="59"/>
  <c r="BS101" i="59"/>
  <c r="BR100" i="59"/>
  <c r="Q100" i="59"/>
  <c r="AH100" i="59"/>
  <c r="Z103" i="59"/>
  <c r="T100" i="59"/>
  <c r="BX101" i="59"/>
  <c r="CD99" i="59"/>
  <c r="CE101" i="59"/>
  <c r="BZ101" i="59"/>
  <c r="BJ100" i="59"/>
  <c r="Z99" i="59"/>
  <c r="AH99" i="59"/>
  <c r="H100" i="59"/>
  <c r="Y100" i="59"/>
  <c r="AX103" i="59"/>
  <c r="BG100" i="59"/>
  <c r="J100" i="59"/>
  <c r="M100" i="59"/>
  <c r="G103" i="59"/>
  <c r="P100" i="59"/>
  <c r="W99" i="59"/>
  <c r="BP101" i="59"/>
  <c r="AG100" i="59"/>
  <c r="AY100" i="59"/>
  <c r="BI103" i="59"/>
  <c r="AP103" i="59"/>
  <c r="AJ100" i="59"/>
  <c r="BO101" i="59"/>
  <c r="L103" i="59"/>
  <c r="V100" i="59"/>
  <c r="AS100" i="59"/>
  <c r="N103" i="59"/>
  <c r="G100" i="59"/>
  <c r="AA101" i="59"/>
  <c r="AV101" i="59"/>
  <c r="X100" i="59"/>
  <c r="AO100" i="59"/>
  <c r="BH99" i="59"/>
  <c r="CE99" i="59"/>
  <c r="BX99" i="59"/>
  <c r="BO99" i="59"/>
  <c r="BR103" i="59"/>
  <c r="W103" i="59"/>
  <c r="K101" i="59"/>
  <c r="AK103" i="59"/>
  <c r="AX100" i="59"/>
  <c r="CC100" i="59"/>
  <c r="CA103" i="59"/>
  <c r="BA100" i="59"/>
  <c r="AD100" i="59"/>
  <c r="AB103" i="59"/>
  <c r="AL100" i="59"/>
  <c r="AD103" i="59"/>
  <c r="BC103" i="59"/>
  <c r="U103" i="59"/>
  <c r="AN100" i="59"/>
  <c r="BF100" i="59"/>
  <c r="BK99" i="59"/>
  <c r="BZ99" i="59"/>
  <c r="AZ99" i="59"/>
  <c r="BB99" i="59"/>
  <c r="BI100" i="59"/>
  <c r="BP99" i="59"/>
  <c r="CG101" i="59"/>
  <c r="AM103" i="59"/>
  <c r="R103" i="59"/>
  <c r="Q101" i="59"/>
  <c r="R101" i="59"/>
  <c r="AG103" i="59"/>
  <c r="CE100" i="59"/>
  <c r="AR103" i="59"/>
  <c r="BC100" i="59"/>
  <c r="AP99" i="59"/>
  <c r="AU103" i="59"/>
  <c r="H101" i="59"/>
  <c r="I101" i="59"/>
  <c r="BN100" i="59"/>
  <c r="CB99" i="59"/>
  <c r="BT103" i="59"/>
  <c r="BI99" i="59"/>
  <c r="AU101" i="59"/>
  <c r="BN103" i="59"/>
  <c r="AS99" i="59"/>
  <c r="AH101" i="59"/>
  <c r="O99" i="59"/>
  <c r="AM99" i="59"/>
  <c r="T101" i="59"/>
  <c r="CC103" i="59"/>
  <c r="CH100" i="59"/>
  <c r="CE103" i="59"/>
  <c r="AJ99" i="59"/>
  <c r="H99" i="59"/>
  <c r="X101" i="59"/>
  <c r="Y101" i="59"/>
  <c r="AW99" i="59"/>
  <c r="BM99" i="59"/>
  <c r="AX99" i="59"/>
  <c r="AY99" i="59"/>
  <c r="BS99" i="59"/>
  <c r="K99" i="59"/>
  <c r="BZ100" i="59"/>
  <c r="L99" i="59"/>
  <c r="BC101" i="59"/>
  <c r="AE99" i="59"/>
  <c r="AJ101" i="59"/>
  <c r="V101" i="59"/>
  <c r="BE100" i="59"/>
  <c r="BL100" i="59"/>
  <c r="AN101" i="59"/>
  <c r="AO101" i="59"/>
  <c r="CG99" i="59"/>
  <c r="BT100" i="59"/>
  <c r="BJ99" i="59"/>
  <c r="AT101" i="59"/>
  <c r="AT103" i="59"/>
  <c r="BV100" i="59"/>
  <c r="AV100" i="59"/>
  <c r="CD101" i="59"/>
  <c r="AG101" i="59"/>
  <c r="X99" i="59"/>
  <c r="AB99" i="59"/>
  <c r="BU101" i="59"/>
  <c r="BA99" i="59"/>
  <c r="AB101" i="59"/>
  <c r="BE101" i="59"/>
  <c r="Q99" i="59"/>
  <c r="AH103" i="59"/>
  <c r="AL101" i="59"/>
  <c r="BM101" i="59"/>
  <c r="BJ101" i="59"/>
  <c r="BN101" i="59"/>
  <c r="S99" i="59"/>
  <c r="BK101" i="59"/>
  <c r="BE103" i="59"/>
  <c r="CF100" i="59"/>
  <c r="BH101" i="59"/>
  <c r="BU103" i="59"/>
  <c r="BK100" i="59"/>
  <c r="BM100" i="59"/>
  <c r="CH101" i="59"/>
  <c r="AR100" i="59"/>
  <c r="BA101" i="59"/>
  <c r="L101" i="59"/>
  <c r="AA99" i="59"/>
  <c r="AR99" i="59"/>
  <c r="I103" i="59"/>
  <c r="S100" i="59"/>
  <c r="BW101" i="59"/>
  <c r="AG99" i="59"/>
  <c r="AN99" i="59"/>
  <c r="BG101" i="59"/>
  <c r="AB100" i="59"/>
  <c r="CA101" i="59"/>
  <c r="BF103" i="59"/>
  <c r="AI99" i="59"/>
  <c r="CB101" i="59"/>
  <c r="BO103" i="59"/>
  <c r="BR101" i="59"/>
  <c r="CB100" i="59"/>
  <c r="BT101" i="59"/>
  <c r="AI103" i="59"/>
  <c r="AQ99" i="59"/>
  <c r="Y103" i="59"/>
  <c r="AI100" i="59"/>
  <c r="CF101" i="59"/>
  <c r="K103" i="59"/>
  <c r="CC99" i="59"/>
  <c r="BY101" i="59"/>
  <c r="O103" i="59"/>
  <c r="AM100" i="59"/>
  <c r="P103" i="59"/>
  <c r="AW103" i="59"/>
  <c r="BL103" i="59"/>
  <c r="AX101" i="59"/>
  <c r="BS103" i="59"/>
  <c r="CF99" i="59"/>
  <c r="BW100" i="59"/>
  <c r="V99" i="59"/>
  <c r="AS101" i="59"/>
  <c r="H103" i="59"/>
  <c r="O100" i="59"/>
  <c r="AO103" i="59"/>
  <c r="AZ100" i="59"/>
  <c r="AT100" i="59"/>
  <c r="AA103" i="59"/>
  <c r="U100" i="59"/>
  <c r="AO99" i="59"/>
  <c r="M103" i="59"/>
  <c r="BG103" i="59"/>
  <c r="AE103" i="59"/>
  <c r="I99" i="59"/>
  <c r="AF103" i="59"/>
  <c r="CH103" i="59"/>
  <c r="BU100" i="59"/>
  <c r="BJ103" i="59"/>
  <c r="AZ103" i="59"/>
  <c r="AT99" i="59"/>
  <c r="Z100" i="59"/>
  <c r="AF100" i="59"/>
  <c r="N100" i="59"/>
  <c r="X103" i="59"/>
  <c r="BS100" i="59"/>
  <c r="BY103" i="59"/>
  <c r="CD100" i="59"/>
  <c r="AQ103" i="59"/>
  <c r="AK100" i="59"/>
  <c r="AC103" i="59"/>
  <c r="W100" i="59"/>
  <c r="N101" i="59"/>
  <c r="AV103" i="59"/>
  <c r="Y99" i="59"/>
  <c r="BA103" i="59"/>
  <c r="BR99" i="59"/>
  <c r="BD103" i="59"/>
  <c r="BH103" i="59"/>
  <c r="BV103" i="59"/>
  <c r="BG99" i="59"/>
  <c r="AL99" i="59"/>
  <c r="AW100" i="59"/>
  <c r="AN103" i="59"/>
  <c r="AC100" i="59"/>
  <c r="O101" i="59"/>
  <c r="CC101" i="59"/>
  <c r="S101" i="59"/>
  <c r="CB103" i="59"/>
  <c r="BB100" i="59"/>
  <c r="AD101" i="59"/>
  <c r="AS103" i="59"/>
  <c r="BD100" i="59"/>
  <c r="CF103" i="59"/>
  <c r="M101" i="59"/>
  <c r="CG103" i="59"/>
  <c r="AK31" i="59"/>
  <c r="AS21" i="59"/>
  <c r="BW31" i="59"/>
  <c r="T31" i="59"/>
  <c r="BG23" i="59"/>
  <c r="BF23" i="59"/>
  <c r="AR19" i="59"/>
  <c r="AC21" i="59"/>
  <c r="X23" i="59"/>
  <c r="BB112" i="59"/>
  <c r="P21" i="59"/>
  <c r="AH20" i="59"/>
  <c r="BD21" i="59"/>
  <c r="AS19" i="59"/>
  <c r="AZ20" i="59"/>
  <c r="AF19" i="59"/>
  <c r="BI19" i="59"/>
  <c r="AC19" i="59"/>
  <c r="V20" i="59"/>
  <c r="H20" i="59"/>
  <c r="K19" i="59"/>
  <c r="AM21" i="59"/>
  <c r="BA21" i="59"/>
  <c r="AJ31" i="59"/>
  <c r="S20" i="59"/>
  <c r="AX23" i="59"/>
  <c r="AL21" i="59"/>
  <c r="BC23" i="59"/>
  <c r="AR21" i="59"/>
  <c r="H21" i="59"/>
  <c r="BE23" i="59"/>
  <c r="S21" i="59"/>
  <c r="BK20" i="59"/>
  <c r="AY20" i="59"/>
  <c r="AY19" i="59"/>
  <c r="AQ23" i="59"/>
  <c r="AD19" i="59"/>
  <c r="AV20" i="59"/>
  <c r="R21" i="59"/>
  <c r="AW21" i="59"/>
  <c r="BM21" i="59"/>
  <c r="R19" i="59"/>
  <c r="BG20" i="59"/>
  <c r="AQ31" i="59"/>
  <c r="AY23" i="59"/>
  <c r="Z19" i="59"/>
  <c r="X20" i="59"/>
  <c r="T112" i="59"/>
  <c r="AR23" i="59"/>
  <c r="BK19" i="59"/>
  <c r="BL21" i="59"/>
  <c r="Y19" i="59"/>
  <c r="AD21" i="59"/>
  <c r="AF20" i="59"/>
  <c r="BI20" i="59"/>
  <c r="N21" i="59"/>
  <c r="AR20" i="59"/>
  <c r="U19" i="59"/>
  <c r="R112" i="59"/>
  <c r="AE31" i="59"/>
  <c r="AI20" i="59"/>
  <c r="AZ19" i="59"/>
  <c r="BR31" i="59"/>
  <c r="BQ31" i="59"/>
  <c r="CA31" i="59"/>
  <c r="K112" i="59"/>
  <c r="CG31" i="59"/>
  <c r="AR112" i="59"/>
  <c r="BE21" i="59"/>
  <c r="H19" i="59"/>
  <c r="N19" i="59"/>
  <c r="AV19" i="59"/>
  <c r="AX112" i="59"/>
  <c r="BE19" i="59"/>
  <c r="AG20" i="59"/>
  <c r="AH19" i="59"/>
  <c r="AT20" i="59"/>
  <c r="BE20" i="59"/>
  <c r="AM20" i="59"/>
  <c r="CD112" i="59"/>
  <c r="AT112" i="59"/>
  <c r="I23" i="59"/>
  <c r="AP23" i="59"/>
  <c r="BJ23" i="59"/>
  <c r="AG19" i="59"/>
  <c r="AA23" i="59"/>
  <c r="AL23" i="59"/>
  <c r="BD19" i="59"/>
  <c r="BP19" i="59"/>
  <c r="V31" i="59"/>
  <c r="BI23" i="59"/>
  <c r="I31" i="59"/>
  <c r="AH21" i="59"/>
  <c r="AS20" i="59"/>
  <c r="R20" i="59"/>
  <c r="T20" i="59"/>
  <c r="Z20" i="59"/>
  <c r="BC20" i="59"/>
  <c r="P19" i="59"/>
  <c r="J19" i="59"/>
  <c r="BJ21" i="59"/>
  <c r="I19" i="59"/>
  <c r="AA21" i="59"/>
  <c r="S19" i="59"/>
  <c r="U20" i="59"/>
  <c r="BD20" i="59"/>
  <c r="BA19" i="59"/>
  <c r="AP19" i="59"/>
  <c r="AW20" i="59"/>
  <c r="BH19" i="59"/>
  <c r="AN23" i="59"/>
  <c r="T19" i="59"/>
  <c r="Y21" i="59"/>
  <c r="AT23" i="59"/>
  <c r="AV23" i="59"/>
  <c r="BH20" i="59"/>
  <c r="AX19" i="59"/>
  <c r="W20" i="59"/>
  <c r="AA19" i="59"/>
  <c r="AE19" i="59"/>
  <c r="AG23" i="59"/>
  <c r="AZ23" i="59"/>
  <c r="AI23" i="59"/>
  <c r="AW19" i="59"/>
  <c r="AK20" i="59"/>
  <c r="Y31" i="59"/>
  <c r="AP112" i="59"/>
  <c r="BX112" i="59"/>
  <c r="BQ19" i="59"/>
  <c r="AP20" i="59"/>
  <c r="BJ19" i="59"/>
  <c r="H23" i="59"/>
  <c r="AZ21" i="59"/>
  <c r="AC20" i="59"/>
  <c r="AI19" i="59"/>
  <c r="AJ21" i="59"/>
  <c r="P23" i="59"/>
  <c r="AF23" i="59"/>
  <c r="X19" i="59"/>
  <c r="AL20" i="59"/>
  <c r="BP20" i="59"/>
  <c r="BN20" i="59"/>
  <c r="AL31" i="59"/>
  <c r="BA31" i="59"/>
  <c r="AN112" i="59"/>
  <c r="BD112" i="59"/>
  <c r="AQ20" i="59"/>
  <c r="BI21" i="59"/>
  <c r="AB20" i="59"/>
  <c r="AQ21" i="59"/>
  <c r="AJ19" i="59"/>
  <c r="BL23" i="59"/>
  <c r="L23" i="59"/>
  <c r="M21" i="59"/>
  <c r="P20" i="59"/>
  <c r="AM23" i="59"/>
  <c r="AL19" i="59"/>
  <c r="CH23" i="59"/>
  <c r="BT112" i="59"/>
  <c r="AJ112" i="59"/>
  <c r="Y112" i="59"/>
  <c r="M20" i="59"/>
  <c r="AU19" i="59"/>
  <c r="V21" i="59"/>
  <c r="AE20" i="59"/>
  <c r="AT21" i="59"/>
  <c r="T23" i="59"/>
  <c r="AD23" i="59"/>
  <c r="Q21" i="59"/>
  <c r="Q19" i="59"/>
  <c r="G20" i="59"/>
  <c r="J21" i="59"/>
  <c r="BB19" i="59"/>
  <c r="BU19" i="59"/>
  <c r="AT31" i="59"/>
  <c r="BP112" i="59"/>
  <c r="AK112" i="59"/>
  <c r="AQ112" i="59"/>
  <c r="BA112" i="59"/>
  <c r="BD23" i="59"/>
  <c r="AA20" i="59"/>
  <c r="BL20" i="59"/>
  <c r="J23" i="59"/>
  <c r="O21" i="59"/>
  <c r="U21" i="59"/>
  <c r="BC21" i="59"/>
  <c r="T21" i="59"/>
  <c r="BK21" i="59"/>
  <c r="W23" i="59"/>
  <c r="AK19" i="59"/>
  <c r="AN20" i="59"/>
  <c r="CB23" i="59"/>
  <c r="AO31" i="59"/>
  <c r="AY112" i="59"/>
  <c r="BQ112" i="59"/>
  <c r="AO112" i="59"/>
  <c r="BF112" i="59"/>
  <c r="CE112" i="59"/>
  <c r="CG112" i="59"/>
  <c r="BW112" i="59"/>
  <c r="BE112" i="59"/>
  <c r="O23" i="59"/>
  <c r="AQ19" i="59"/>
  <c r="Z23" i="59"/>
  <c r="N20" i="59"/>
  <c r="AN21" i="59"/>
  <c r="AB23" i="59"/>
  <c r="AP21" i="59"/>
  <c r="V19" i="59"/>
  <c r="AE21" i="59"/>
  <c r="AO20" i="59"/>
  <c r="BU112" i="59"/>
  <c r="X21" i="59"/>
  <c r="AE23" i="59"/>
  <c r="BH21" i="59"/>
  <c r="AK21" i="59"/>
  <c r="AC23" i="59"/>
  <c r="O19" i="59"/>
  <c r="L21" i="59"/>
  <c r="BH23" i="59"/>
  <c r="K20" i="59"/>
  <c r="I20" i="59"/>
  <c r="BB23" i="59"/>
  <c r="BC19" i="59"/>
  <c r="CA20" i="59"/>
  <c r="BR112" i="59"/>
  <c r="AM112" i="59"/>
  <c r="AU23" i="59"/>
  <c r="Y23" i="59"/>
  <c r="K21" i="59"/>
  <c r="AW23" i="59"/>
  <c r="L19" i="59"/>
  <c r="AY21" i="59"/>
  <c r="AJ23" i="59"/>
  <c r="AG21" i="59"/>
  <c r="BF20" i="59"/>
  <c r="AN19" i="59"/>
  <c r="G23" i="59"/>
  <c r="CH112" i="59"/>
  <c r="BC112" i="59"/>
  <c r="BH112" i="59"/>
  <c r="BV112" i="59"/>
  <c r="BS112" i="59"/>
  <c r="BT23" i="59"/>
  <c r="BQ20" i="59"/>
  <c r="AD31" i="59"/>
  <c r="BV21" i="59"/>
  <c r="I21" i="59"/>
  <c r="BB21" i="59"/>
  <c r="BS19" i="59"/>
  <c r="BO21" i="59"/>
  <c r="CC31" i="59"/>
  <c r="CG19" i="59"/>
  <c r="BG31" i="59"/>
  <c r="CB31" i="59"/>
  <c r="CG23" i="59"/>
  <c r="CC20" i="59"/>
  <c r="BT31" i="59"/>
  <c r="BP23" i="59"/>
  <c r="BQ21" i="59"/>
  <c r="CG21" i="59"/>
  <c r="BC31" i="59"/>
  <c r="AG31" i="59"/>
  <c r="BX31" i="59"/>
  <c r="AR31" i="59"/>
  <c r="BR19" i="59"/>
  <c r="BU23" i="59"/>
  <c r="BX20" i="59"/>
  <c r="R31" i="59"/>
  <c r="BX21" i="59"/>
  <c r="CB21" i="59"/>
  <c r="BW20" i="59"/>
  <c r="CE19" i="59"/>
  <c r="W31" i="59"/>
  <c r="N31" i="59"/>
  <c r="BZ21" i="59"/>
  <c r="BS21" i="59"/>
  <c r="AH31" i="59"/>
  <c r="CH20" i="59"/>
  <c r="BX23" i="59"/>
  <c r="BZ20" i="59"/>
  <c r="BW21" i="59"/>
  <c r="AX31" i="59"/>
  <c r="BU21" i="59"/>
  <c r="X31" i="59"/>
  <c r="AS31" i="59"/>
  <c r="BN31" i="59"/>
  <c r="BN21" i="59"/>
  <c r="BJ31" i="59"/>
  <c r="CD31" i="59"/>
  <c r="V23" i="59"/>
  <c r="BQ12" i="59"/>
  <c r="BU11" i="59"/>
  <c r="CG12" i="59"/>
  <c r="CF12" i="59"/>
  <c r="BZ10" i="59"/>
  <c r="CH10" i="59"/>
  <c r="CH12" i="59"/>
  <c r="CG14" i="59"/>
  <c r="BN10" i="59"/>
  <c r="CB12" i="59"/>
  <c r="BT11" i="59"/>
  <c r="BO14" i="59"/>
  <c r="CA14" i="59"/>
  <c r="CC10" i="59"/>
  <c r="BX12" i="59"/>
  <c r="CB11" i="59"/>
  <c r="CD14" i="59"/>
  <c r="BO10" i="59"/>
  <c r="BO11" i="59"/>
  <c r="BT10" i="59"/>
  <c r="BY12" i="59"/>
  <c r="BW11" i="59"/>
  <c r="CC14" i="59"/>
  <c r="CD12" i="59"/>
  <c r="BS12" i="59"/>
  <c r="BS11" i="59"/>
  <c r="BR10" i="59"/>
  <c r="CD10" i="59"/>
  <c r="BT14" i="59"/>
  <c r="BX10" i="59"/>
  <c r="BN11" i="59"/>
  <c r="BW10" i="59"/>
  <c r="BU12" i="59"/>
  <c r="CD11" i="59"/>
  <c r="CF10" i="59"/>
  <c r="BY14" i="59"/>
  <c r="BY11" i="59"/>
  <c r="BV12" i="59"/>
  <c r="BX11" i="59"/>
  <c r="BW14" i="59"/>
  <c r="CH11" i="59"/>
  <c r="CH14" i="59"/>
  <c r="CE12" i="59"/>
  <c r="CE14" i="59"/>
  <c r="BS10" i="59"/>
  <c r="BQ10" i="59"/>
  <c r="BU10" i="59"/>
  <c r="CC12" i="59"/>
  <c r="CG11" i="59"/>
  <c r="CE11" i="59"/>
  <c r="BN12" i="59"/>
  <c r="BV14" i="59"/>
  <c r="CB14" i="59"/>
  <c r="CB10" i="59"/>
  <c r="BP10" i="59"/>
  <c r="BP11" i="59"/>
  <c r="BP12" i="59"/>
  <c r="BZ11" i="59"/>
  <c r="BN14" i="59"/>
  <c r="BY10" i="59"/>
  <c r="BR14" i="59"/>
  <c r="CE10" i="59"/>
  <c r="BP14" i="59"/>
  <c r="BW12" i="59"/>
  <c r="CG10" i="59"/>
  <c r="BR11" i="59"/>
  <c r="BZ12" i="59"/>
  <c r="BO12" i="59"/>
  <c r="BR12" i="59"/>
  <c r="CF11" i="59"/>
  <c r="BX14" i="59"/>
  <c r="BQ14" i="59"/>
  <c r="BQ11" i="59"/>
  <c r="CA11" i="59"/>
  <c r="BU14" i="59"/>
  <c r="CC11" i="59"/>
  <c r="BT12" i="59"/>
  <c r="BZ14" i="59"/>
  <c r="CA12" i="59"/>
  <c r="BV11" i="59"/>
  <c r="CA10" i="59"/>
  <c r="CF14" i="59"/>
  <c r="BS14" i="59"/>
  <c r="BV10" i="59"/>
  <c r="CF19" i="59"/>
  <c r="CC21" i="59"/>
  <c r="CC23" i="59"/>
  <c r="BZ31" i="59"/>
  <c r="O31" i="59"/>
  <c r="BW19" i="59"/>
  <c r="BM31" i="59"/>
  <c r="BO23" i="59"/>
  <c r="L31" i="59"/>
  <c r="AF31" i="59"/>
  <c r="J31" i="59"/>
  <c r="AC31" i="59"/>
  <c r="CF20" i="59"/>
  <c r="BP21" i="59"/>
  <c r="BN19" i="59"/>
  <c r="BH31" i="59"/>
  <c r="BL31" i="59"/>
  <c r="BY31" i="59"/>
  <c r="AU31" i="59"/>
  <c r="BT20" i="59"/>
  <c r="CH19" i="59"/>
  <c r="BV19" i="59"/>
  <c r="CB19" i="59"/>
  <c r="CD19" i="59"/>
  <c r="AM31" i="59"/>
  <c r="BK31" i="59"/>
  <c r="BR23" i="59"/>
  <c r="BR21" i="59"/>
  <c r="BY20" i="59"/>
  <c r="Y20" i="59"/>
  <c r="BM23" i="59"/>
  <c r="AU21" i="59"/>
  <c r="Q20" i="59"/>
  <c r="BA20" i="59"/>
  <c r="AX20" i="59"/>
  <c r="R23" i="59"/>
  <c r="AT19" i="59"/>
  <c r="M19" i="59"/>
  <c r="BK23" i="59"/>
  <c r="AK23" i="59"/>
  <c r="S23" i="59"/>
  <c r="W19" i="59"/>
  <c r="AO23" i="59"/>
  <c r="BB20" i="59"/>
  <c r="BN23" i="59"/>
  <c r="BF31" i="59"/>
  <c r="CD23" i="59"/>
  <c r="BQ23" i="59"/>
  <c r="BU20" i="59"/>
  <c r="BR20" i="59"/>
  <c r="CH21" i="59"/>
  <c r="BT21" i="59"/>
  <c r="BY19" i="59"/>
  <c r="CC19" i="59"/>
  <c r="S31" i="59"/>
  <c r="AO19" i="59"/>
  <c r="BG21" i="59"/>
  <c r="K23" i="59"/>
  <c r="BL19" i="59"/>
  <c r="AB19" i="59"/>
  <c r="BM20" i="59"/>
  <c r="BF21" i="59"/>
  <c r="Z21" i="59"/>
  <c r="AB21" i="59"/>
  <c r="L20" i="59"/>
  <c r="M23" i="59"/>
  <c r="BJ20" i="59"/>
  <c r="J20" i="59"/>
  <c r="BA23" i="59"/>
  <c r="AF21" i="59"/>
  <c r="CD20" i="59"/>
  <c r="K31" i="59"/>
  <c r="CG20" i="59"/>
  <c r="CF21" i="59"/>
  <c r="BS20" i="59"/>
  <c r="BZ23" i="59"/>
  <c r="CB20" i="59"/>
  <c r="BT19" i="59"/>
  <c r="CE21" i="59"/>
  <c r="BY23" i="59"/>
  <c r="AI31" i="59"/>
  <c r="AS23" i="59"/>
  <c r="AO21" i="59"/>
  <c r="BM19" i="59"/>
  <c r="AI21" i="59"/>
  <c r="AD20" i="59"/>
  <c r="Q23" i="59"/>
  <c r="AX21" i="59"/>
  <c r="AJ20" i="59"/>
  <c r="AH23" i="59"/>
  <c r="W21" i="59"/>
  <c r="BG19" i="59"/>
  <c r="AU20" i="59"/>
  <c r="G21" i="59"/>
  <c r="AV21" i="59"/>
  <c r="AM19" i="59"/>
  <c r="CE20" i="59"/>
  <c r="AA31" i="59"/>
  <c r="BS23" i="59"/>
  <c r="BV23" i="59"/>
  <c r="CA19" i="59"/>
  <c r="Q31" i="59"/>
  <c r="CD21" i="59"/>
  <c r="P31" i="59"/>
  <c r="CF23" i="59"/>
  <c r="AY31" i="59"/>
  <c r="BX19" i="59"/>
  <c r="BV20" i="59"/>
  <c r="CE23" i="59"/>
  <c r="AV31" i="59"/>
  <c r="M31" i="59"/>
  <c r="BO31" i="59"/>
  <c r="AB31" i="59"/>
  <c r="BD31" i="59"/>
  <c r="BI31" i="59"/>
  <c r="CE31" i="59"/>
  <c r="AW31" i="59"/>
  <c r="BO20" i="59"/>
  <c r="BY21" i="59"/>
  <c r="BW23" i="59"/>
  <c r="BS31" i="59"/>
  <c r="CA21" i="59"/>
  <c r="BZ19" i="59"/>
  <c r="BO19" i="59"/>
  <c r="G31" i="59"/>
  <c r="U23" i="59"/>
  <c r="G19" i="59"/>
  <c r="BF19" i="59"/>
  <c r="H31" i="59"/>
  <c r="AK14" i="59"/>
  <c r="BH11" i="59"/>
  <c r="G11" i="59"/>
  <c r="AK12" i="59"/>
  <c r="AE14" i="59"/>
  <c r="BG11" i="59"/>
  <c r="BH10" i="59"/>
  <c r="O10" i="59"/>
  <c r="AD14" i="59"/>
  <c r="BF11" i="59"/>
  <c r="K10" i="59"/>
  <c r="AC14" i="59"/>
  <c r="AU11" i="59"/>
  <c r="BF10" i="59"/>
  <c r="J10" i="59"/>
  <c r="Z14" i="59"/>
  <c r="AS11" i="59"/>
  <c r="BC10" i="59"/>
  <c r="AR11" i="59"/>
  <c r="BB10" i="59"/>
  <c r="AE11" i="59"/>
  <c r="AL12" i="59"/>
  <c r="BG10" i="59"/>
  <c r="L14" i="59"/>
  <c r="AQ11" i="59"/>
  <c r="BA10" i="59"/>
  <c r="AP11" i="59"/>
  <c r="AR10" i="59"/>
  <c r="AP10" i="59"/>
  <c r="AA11" i="59"/>
  <c r="AB12" i="59"/>
  <c r="Z11" i="59"/>
  <c r="AJ10" i="59"/>
  <c r="AB11" i="59"/>
  <c r="BB14" i="59"/>
  <c r="O12" i="59"/>
  <c r="V11" i="59"/>
  <c r="AB10" i="59"/>
  <c r="N12" i="59"/>
  <c r="O11" i="59"/>
  <c r="Z10" i="59"/>
  <c r="BA14" i="59"/>
  <c r="AA10" i="59"/>
  <c r="AM10" i="59"/>
  <c r="AZ14" i="59"/>
  <c r="M12" i="59"/>
  <c r="K11" i="59"/>
  <c r="AQ10" i="59"/>
  <c r="AR14" i="59"/>
  <c r="K12" i="59"/>
  <c r="J11" i="59"/>
  <c r="Y10" i="59"/>
  <c r="U10" i="59"/>
  <c r="O14" i="59"/>
  <c r="AM12" i="59"/>
  <c r="BH12" i="59"/>
  <c r="Q12" i="59"/>
  <c r="Z12" i="59"/>
  <c r="BH14" i="59"/>
  <c r="H10" i="59"/>
  <c r="S12" i="59"/>
  <c r="H12" i="59"/>
  <c r="BE10" i="59"/>
  <c r="S10" i="59"/>
  <c r="BL10" i="59"/>
  <c r="AM14" i="59"/>
  <c r="G10" i="59"/>
  <c r="AP14" i="59"/>
  <c r="AY12" i="59"/>
  <c r="BM12" i="59"/>
  <c r="BA12" i="59"/>
  <c r="AI10" i="59"/>
  <c r="AV12" i="59"/>
  <c r="X12" i="59"/>
  <c r="AL10" i="59"/>
  <c r="BB12" i="59"/>
  <c r="AO11" i="59"/>
  <c r="BK12" i="59"/>
  <c r="BC11" i="59"/>
  <c r="Y11" i="59"/>
  <c r="BF12" i="59"/>
  <c r="AT14" i="59"/>
  <c r="AG10" i="59"/>
  <c r="AY11" i="59"/>
  <c r="I14" i="59"/>
  <c r="X14" i="59"/>
  <c r="BM11" i="59"/>
  <c r="BK10" i="59"/>
  <c r="BD11" i="59"/>
  <c r="T12" i="59"/>
  <c r="AW11" i="59"/>
  <c r="AU12" i="59"/>
  <c r="BM14" i="59"/>
  <c r="AN11" i="59"/>
  <c r="AD11" i="59"/>
  <c r="AF12" i="59"/>
  <c r="BK11" i="59"/>
  <c r="T11" i="59"/>
  <c r="P12" i="59"/>
  <c r="AN14" i="59"/>
  <c r="V12" i="59"/>
  <c r="I11" i="59"/>
  <c r="BE12" i="59"/>
  <c r="X10" i="59"/>
  <c r="L11" i="59"/>
  <c r="AJ12" i="59"/>
  <c r="P11" i="59"/>
  <c r="AS12" i="59"/>
  <c r="AG14" i="59"/>
  <c r="K14" i="59"/>
  <c r="P14" i="59"/>
  <c r="AB14" i="59"/>
  <c r="AJ11" i="59"/>
  <c r="AF14" i="59"/>
  <c r="BC14" i="59"/>
  <c r="BL14" i="59"/>
  <c r="BD14" i="59"/>
  <c r="M14" i="59"/>
  <c r="R11" i="59"/>
  <c r="AD12" i="59"/>
  <c r="AV14" i="59"/>
  <c r="N11" i="59"/>
  <c r="AC10" i="59"/>
  <c r="J12" i="59"/>
  <c r="BI10" i="59"/>
  <c r="N14" i="59"/>
  <c r="AI12" i="59"/>
  <c r="AH12" i="59"/>
  <c r="M10" i="59"/>
  <c r="AR12" i="59"/>
  <c r="AH10" i="59"/>
  <c r="T10" i="59"/>
  <c r="AT12" i="59"/>
  <c r="AQ12" i="59"/>
  <c r="Y14" i="59"/>
  <c r="AY14" i="59"/>
  <c r="AW14" i="59"/>
  <c r="X11" i="59"/>
  <c r="R10" i="59"/>
  <c r="AA14" i="59"/>
  <c r="AE12" i="59"/>
  <c r="AZ12" i="59"/>
  <c r="BK14" i="59"/>
  <c r="AK10" i="59"/>
  <c r="R12" i="59"/>
  <c r="W12" i="59"/>
  <c r="BC12" i="59"/>
  <c r="AI11" i="59"/>
  <c r="AC11" i="59"/>
  <c r="AP12" i="59"/>
  <c r="AA12" i="59"/>
  <c r="AH11" i="59"/>
  <c r="AS14" i="59"/>
  <c r="BJ12" i="59"/>
  <c r="BG12" i="59"/>
  <c r="N10" i="59"/>
  <c r="BG14" i="59"/>
  <c r="BM10" i="59"/>
  <c r="I10" i="59"/>
  <c r="AL14" i="59"/>
  <c r="T14" i="59"/>
  <c r="BI12" i="59"/>
  <c r="AW10" i="59"/>
  <c r="AD10" i="59"/>
  <c r="BD10" i="59"/>
  <c r="U11" i="59"/>
  <c r="AH14" i="59"/>
  <c r="AS10" i="59"/>
  <c r="U14" i="59"/>
  <c r="BF14" i="59"/>
  <c r="V14" i="59"/>
  <c r="AW12" i="59"/>
  <c r="BD12" i="59"/>
  <c r="AQ14" i="59"/>
  <c r="AU14" i="59"/>
  <c r="AG12" i="59"/>
  <c r="AZ11" i="59"/>
  <c r="BL11" i="59"/>
  <c r="AY10" i="59"/>
  <c r="BL12" i="59"/>
  <c r="U12" i="59"/>
  <c r="AM11" i="59"/>
  <c r="AX11" i="59"/>
  <c r="Y12" i="59"/>
  <c r="AO12" i="59"/>
  <c r="AO10" i="59"/>
  <c r="P10" i="59"/>
  <c r="W11" i="59"/>
  <c r="AO14" i="59"/>
  <c r="H11" i="59"/>
  <c r="AF10" i="59"/>
  <c r="AI14" i="59"/>
  <c r="W10" i="59"/>
  <c r="BE14" i="59"/>
  <c r="AX10" i="59"/>
  <c r="AV10" i="59"/>
  <c r="M11" i="59"/>
  <c r="AX12" i="59"/>
  <c r="H14" i="59"/>
  <c r="J14" i="59"/>
  <c r="AG11" i="59"/>
  <c r="AC12" i="59"/>
  <c r="S11" i="59"/>
  <c r="W14" i="59"/>
  <c r="BE11" i="59"/>
  <c r="AF11" i="59"/>
  <c r="V10" i="59"/>
  <c r="AE10" i="59"/>
  <c r="BI11" i="59"/>
  <c r="I12" i="59"/>
  <c r="AU10" i="59"/>
  <c r="AN12" i="59"/>
  <c r="AZ10" i="59"/>
  <c r="AX14" i="59"/>
  <c r="G14" i="59"/>
  <c r="G12" i="59"/>
  <c r="AN10" i="59"/>
  <c r="Q10" i="59"/>
  <c r="AT10" i="59"/>
  <c r="L10" i="59"/>
  <c r="BJ10" i="59"/>
  <c r="BJ11" i="59"/>
  <c r="S14" i="59"/>
  <c r="AV11" i="59"/>
  <c r="AL11" i="59"/>
  <c r="AJ14" i="59"/>
  <c r="Q11" i="59"/>
  <c r="AT11" i="59"/>
  <c r="BI14" i="59"/>
  <c r="AK11" i="59"/>
  <c r="Q14" i="59"/>
  <c r="BJ14" i="59"/>
  <c r="BB11" i="59"/>
  <c r="L12" i="59"/>
  <c r="BA11" i="59"/>
  <c r="R14" i="59"/>
  <c r="BI5" i="56"/>
  <c r="BH28" i="56"/>
  <c r="BF28" i="56"/>
  <c r="BE28" i="56"/>
  <c r="BG28" i="56"/>
  <c r="BI14" i="56"/>
  <c r="Z11" i="56"/>
  <c r="Z14" i="56"/>
  <c r="Z17" i="56"/>
  <c r="BI15" i="56"/>
  <c r="BI4" i="56"/>
  <c r="Z12" i="56"/>
  <c r="BI9" i="56"/>
  <c r="BI10" i="56"/>
  <c r="Z8" i="56"/>
  <c r="BI17" i="56"/>
  <c r="Z13" i="56"/>
  <c r="Z7" i="56"/>
  <c r="BI8" i="56"/>
  <c r="BI12" i="56"/>
  <c r="BI7" i="56"/>
  <c r="Z15" i="56"/>
  <c r="BI11" i="56"/>
  <c r="Z5" i="56"/>
  <c r="Z9" i="56"/>
  <c r="Z4" i="56"/>
  <c r="BI16" i="56"/>
  <c r="Z6" i="56"/>
  <c r="BI6" i="56"/>
  <c r="Z10" i="56"/>
  <c r="BI13" i="56"/>
  <c r="Z16" i="56"/>
  <c r="BO376" i="59" l="1"/>
  <c r="BX376" i="59"/>
  <c r="CM376" i="59"/>
  <c r="CR376" i="59"/>
  <c r="CA395" i="59"/>
  <c r="AV22" i="59"/>
  <c r="P348" i="59"/>
  <c r="CO348" i="59"/>
  <c r="CM338" i="59"/>
  <c r="L338" i="59"/>
  <c r="CD376" i="59"/>
  <c r="CT376" i="59"/>
  <c r="AL376" i="59"/>
  <c r="AI225" i="59"/>
  <c r="AA376" i="59"/>
  <c r="CC319" i="59"/>
  <c r="BI376" i="59"/>
  <c r="CQ376" i="59"/>
  <c r="BT376" i="59"/>
  <c r="BB395" i="59"/>
  <c r="AT395" i="59"/>
  <c r="BE376" i="59"/>
  <c r="CA376" i="59"/>
  <c r="BP376" i="59"/>
  <c r="BV376" i="59"/>
  <c r="BF310" i="59"/>
  <c r="BL376" i="59"/>
  <c r="AV395" i="59"/>
  <c r="BS376" i="59"/>
  <c r="AU376" i="59"/>
  <c r="CJ376" i="59"/>
  <c r="CC376" i="59"/>
  <c r="L357" i="59"/>
  <c r="CJ395" i="59"/>
  <c r="L376" i="59"/>
  <c r="CE376" i="59"/>
  <c r="AF395" i="59"/>
  <c r="CP395" i="59"/>
  <c r="AC348" i="59"/>
  <c r="AJ310" i="59"/>
  <c r="R376" i="59"/>
  <c r="AP310" i="59"/>
  <c r="K348" i="59"/>
  <c r="AE376" i="59"/>
  <c r="BS310" i="59"/>
  <c r="S319" i="59"/>
  <c r="CU395" i="59"/>
  <c r="BM395" i="59"/>
  <c r="W376" i="59"/>
  <c r="CE395" i="59"/>
  <c r="T376" i="59"/>
  <c r="CB376" i="59"/>
  <c r="BK376" i="59"/>
  <c r="AY376" i="59"/>
  <c r="AT376" i="59"/>
  <c r="K338" i="59"/>
  <c r="Z376" i="59"/>
  <c r="AS376" i="59"/>
  <c r="CA319" i="59"/>
  <c r="AU395" i="59"/>
  <c r="BD348" i="59"/>
  <c r="CN376" i="59"/>
  <c r="AQ376" i="59"/>
  <c r="CK376" i="59"/>
  <c r="BW395" i="59"/>
  <c r="BD376" i="59"/>
  <c r="BC376" i="59"/>
  <c r="BJ376" i="59"/>
  <c r="BI395" i="59"/>
  <c r="CF376" i="59"/>
  <c r="AV376" i="59"/>
  <c r="AP395" i="59"/>
  <c r="BZ395" i="59"/>
  <c r="BJ395" i="59"/>
  <c r="BY395" i="59"/>
  <c r="BY376" i="59"/>
  <c r="BR395" i="59"/>
  <c r="M376" i="59"/>
  <c r="AR376" i="59"/>
  <c r="CO395" i="59"/>
  <c r="BA376" i="59"/>
  <c r="CS395" i="59"/>
  <c r="CT329" i="59"/>
  <c r="AR348" i="59"/>
  <c r="AZ395" i="59"/>
  <c r="L348" i="59"/>
  <c r="BF395" i="59"/>
  <c r="CH376" i="59"/>
  <c r="AW376" i="59"/>
  <c r="Z357" i="59"/>
  <c r="BL395" i="59"/>
  <c r="CV376" i="59"/>
  <c r="AO395" i="59"/>
  <c r="BG310" i="59"/>
  <c r="CH395" i="59"/>
  <c r="CB395" i="59"/>
  <c r="BP386" i="59"/>
  <c r="BG395" i="59"/>
  <c r="AX395" i="59"/>
  <c r="CC395" i="59"/>
  <c r="H395" i="59"/>
  <c r="BE395" i="59"/>
  <c r="V395" i="59"/>
  <c r="S376" i="59"/>
  <c r="AI376" i="59"/>
  <c r="Z319" i="59"/>
  <c r="P376" i="59"/>
  <c r="AM376" i="59"/>
  <c r="AJ395" i="59"/>
  <c r="O376" i="59"/>
  <c r="BQ395" i="59"/>
  <c r="CN395" i="59"/>
  <c r="BK395" i="59"/>
  <c r="M386" i="59"/>
  <c r="AZ376" i="59"/>
  <c r="I376" i="59"/>
  <c r="N338" i="59"/>
  <c r="CG386" i="59"/>
  <c r="AR395" i="59"/>
  <c r="AF376" i="59"/>
  <c r="AL395" i="59"/>
  <c r="BO386" i="59"/>
  <c r="AW395" i="59"/>
  <c r="CL395" i="59"/>
  <c r="CF395" i="59"/>
  <c r="BA395" i="59"/>
  <c r="CI395" i="59"/>
  <c r="BD395" i="59"/>
  <c r="H376" i="59"/>
  <c r="L386" i="59"/>
  <c r="I395" i="59"/>
  <c r="CU376" i="59"/>
  <c r="BO395" i="59"/>
  <c r="BS319" i="59"/>
  <c r="BH395" i="59"/>
  <c r="CB367" i="59"/>
  <c r="BX395" i="59"/>
  <c r="BC395" i="59"/>
  <c r="BS395" i="59"/>
  <c r="N376" i="59"/>
  <c r="AU357" i="59"/>
  <c r="BX386" i="59"/>
  <c r="AQ395" i="59"/>
  <c r="CR395" i="59"/>
  <c r="AA395" i="59"/>
  <c r="V376" i="59"/>
  <c r="K376" i="59"/>
  <c r="AN376" i="59"/>
  <c r="Z395" i="59"/>
  <c r="R395" i="59"/>
  <c r="O395" i="59"/>
  <c r="AB395" i="59"/>
  <c r="U376" i="59"/>
  <c r="CI329" i="59"/>
  <c r="AX386" i="59"/>
  <c r="Q376" i="59"/>
  <c r="CF338" i="59"/>
  <c r="CX336" i="59"/>
  <c r="Y376" i="59"/>
  <c r="CX316" i="59"/>
  <c r="CX355" i="59"/>
  <c r="N386" i="59"/>
  <c r="W329" i="59"/>
  <c r="AL386" i="59"/>
  <c r="G386" i="59"/>
  <c r="AB386" i="59"/>
  <c r="AP386" i="59"/>
  <c r="CX317" i="59"/>
  <c r="Z338" i="59"/>
  <c r="CG338" i="59"/>
  <c r="BP319" i="59"/>
  <c r="CX320" i="59"/>
  <c r="CX354" i="59"/>
  <c r="X376" i="59"/>
  <c r="CX318" i="59"/>
  <c r="G376" i="59"/>
  <c r="CX339" i="59"/>
  <c r="CX358" i="59"/>
  <c r="CX356" i="59"/>
  <c r="R338" i="59"/>
  <c r="AB376" i="59"/>
  <c r="Y395" i="59"/>
  <c r="G395" i="59"/>
  <c r="AJ376" i="59"/>
  <c r="AD395" i="59"/>
  <c r="Q395" i="59"/>
  <c r="CX337" i="59"/>
  <c r="AC395" i="59"/>
  <c r="L395" i="59"/>
  <c r="CX335" i="59"/>
  <c r="J395" i="59"/>
  <c r="X395" i="59"/>
  <c r="W395" i="59"/>
  <c r="AN395" i="59"/>
  <c r="S395" i="59"/>
  <c r="AE395" i="59"/>
  <c r="CX393" i="59"/>
  <c r="CX373" i="59"/>
  <c r="K395" i="59"/>
  <c r="CD329" i="59"/>
  <c r="CE386" i="59"/>
  <c r="AS395" i="59"/>
  <c r="AI300" i="59"/>
  <c r="CX300" i="59" s="1"/>
  <c r="CQ386" i="59"/>
  <c r="BL386" i="59"/>
  <c r="AM395" i="59"/>
  <c r="AK395" i="59"/>
  <c r="BK319" i="59"/>
  <c r="CG357" i="59"/>
  <c r="AD376" i="59"/>
  <c r="BM386" i="59"/>
  <c r="AY386" i="59"/>
  <c r="O386" i="59"/>
  <c r="CX377" i="59"/>
  <c r="CX375" i="59"/>
  <c r="CV338" i="59"/>
  <c r="U395" i="59"/>
  <c r="CX374" i="59"/>
  <c r="CX394" i="59"/>
  <c r="AI395" i="59"/>
  <c r="CX392" i="59"/>
  <c r="CX396" i="59"/>
  <c r="AY395" i="59"/>
  <c r="CW395" i="59"/>
  <c r="AG395" i="59"/>
  <c r="AH395" i="59"/>
  <c r="N395" i="59"/>
  <c r="P395" i="59"/>
  <c r="CK395" i="59"/>
  <c r="BP395" i="59"/>
  <c r="BE386" i="59"/>
  <c r="BV395" i="59"/>
  <c r="M395" i="59"/>
  <c r="BT395" i="59"/>
  <c r="CD395" i="59"/>
  <c r="T395" i="59"/>
  <c r="BN395" i="59"/>
  <c r="CV395" i="59"/>
  <c r="CG395" i="59"/>
  <c r="BU395" i="59"/>
  <c r="I18" i="70"/>
  <c r="H329" i="59"/>
  <c r="CK102" i="59"/>
  <c r="Q348" i="59"/>
  <c r="AB329" i="59"/>
  <c r="AI310" i="59"/>
  <c r="AO348" i="59"/>
  <c r="CJ386" i="59"/>
  <c r="AQ386" i="59"/>
  <c r="AH367" i="59"/>
  <c r="T310" i="59"/>
  <c r="AM386" i="59"/>
  <c r="BH348" i="59"/>
  <c r="BI386" i="59"/>
  <c r="CJ310" i="59"/>
  <c r="AR386" i="59"/>
  <c r="CC386" i="59"/>
  <c r="AS367" i="59"/>
  <c r="BB386" i="59"/>
  <c r="AS386" i="59"/>
  <c r="AQ348" i="59"/>
  <c r="U386" i="59"/>
  <c r="BR386" i="59"/>
  <c r="BV386" i="59"/>
  <c r="CI386" i="59"/>
  <c r="BD386" i="59"/>
  <c r="P386" i="59"/>
  <c r="CW386" i="59"/>
  <c r="Q386" i="59"/>
  <c r="BZ386" i="59"/>
  <c r="AT386" i="59"/>
  <c r="CD386" i="59"/>
  <c r="T386" i="59"/>
  <c r="I386" i="59"/>
  <c r="K386" i="59"/>
  <c r="BK386" i="59"/>
  <c r="AJ386" i="59"/>
  <c r="BG386" i="59"/>
  <c r="AX367" i="59"/>
  <c r="CL386" i="59"/>
  <c r="CU386" i="59"/>
  <c r="BF386" i="59"/>
  <c r="AL367" i="59"/>
  <c r="AV367" i="59"/>
  <c r="BQ367" i="59"/>
  <c r="AI386" i="59"/>
  <c r="W386" i="59"/>
  <c r="S386" i="59"/>
  <c r="BU386" i="59"/>
  <c r="AU386" i="59"/>
  <c r="CN386" i="59"/>
  <c r="AA386" i="59"/>
  <c r="Y386" i="59"/>
  <c r="CF386" i="59"/>
  <c r="CM386" i="59"/>
  <c r="V386" i="59"/>
  <c r="CK386" i="59"/>
  <c r="AV386" i="59"/>
  <c r="AG386" i="59"/>
  <c r="CS386" i="59"/>
  <c r="CA386" i="59"/>
  <c r="BS386" i="59"/>
  <c r="AF386" i="59"/>
  <c r="R386" i="59"/>
  <c r="CB386" i="59"/>
  <c r="X386" i="59"/>
  <c r="BC386" i="59"/>
  <c r="CX387" i="59"/>
  <c r="Z386" i="59"/>
  <c r="AK386" i="59"/>
  <c r="CX384" i="59"/>
  <c r="CH386" i="59"/>
  <c r="H386" i="59"/>
  <c r="BJ386" i="59"/>
  <c r="CR386" i="59"/>
  <c r="CX385" i="59"/>
  <c r="AH386" i="59"/>
  <c r="J386" i="59"/>
  <c r="BQ386" i="59"/>
  <c r="AN386" i="59"/>
  <c r="BW386" i="59"/>
  <c r="BA386" i="59"/>
  <c r="BT386" i="59"/>
  <c r="AO386" i="59"/>
  <c r="BY386" i="59"/>
  <c r="CX383" i="59"/>
  <c r="AC386" i="59"/>
  <c r="CP386" i="59"/>
  <c r="AZ386" i="59"/>
  <c r="BH386" i="59"/>
  <c r="AE386" i="59"/>
  <c r="BN386" i="59"/>
  <c r="AD386" i="59"/>
  <c r="CO386" i="59"/>
  <c r="CV386" i="59"/>
  <c r="CT386" i="59"/>
  <c r="AW386" i="59"/>
  <c r="CX234" i="59"/>
  <c r="CX226" i="59"/>
  <c r="CX224" i="59"/>
  <c r="CX223" i="59"/>
  <c r="CX222" i="59"/>
  <c r="CX292" i="59"/>
  <c r="CX290" i="59"/>
  <c r="CX289" i="59"/>
  <c r="CX288" i="59"/>
  <c r="CX311" i="59"/>
  <c r="CX309" i="59"/>
  <c r="CX308" i="59"/>
  <c r="CX307" i="59"/>
  <c r="CX330" i="59"/>
  <c r="CX328" i="59"/>
  <c r="CX327" i="59"/>
  <c r="CX326" i="59"/>
  <c r="CX349" i="59"/>
  <c r="CX347" i="59"/>
  <c r="CX346" i="59"/>
  <c r="CX345" i="59"/>
  <c r="CX368" i="59"/>
  <c r="CX366" i="59"/>
  <c r="CX365" i="59"/>
  <c r="CX364" i="59"/>
  <c r="BI348" i="59"/>
  <c r="BM291" i="59"/>
  <c r="CA348" i="59"/>
  <c r="BQ310" i="59"/>
  <c r="BO367" i="59"/>
  <c r="AD225" i="59"/>
  <c r="AW329" i="59"/>
  <c r="CN329" i="59"/>
  <c r="AN310" i="59"/>
  <c r="CC348" i="59"/>
  <c r="BZ367" i="59"/>
  <c r="AX329" i="59"/>
  <c r="BK329" i="59"/>
  <c r="BY329" i="59"/>
  <c r="AB310" i="59"/>
  <c r="AC367" i="59"/>
  <c r="CQ310" i="59"/>
  <c r="T329" i="59"/>
  <c r="CG348" i="59"/>
  <c r="CS348" i="59"/>
  <c r="AM102" i="59"/>
  <c r="CE102" i="59"/>
  <c r="BR348" i="59"/>
  <c r="BR367" i="59"/>
  <c r="AK348" i="59"/>
  <c r="CS310" i="59"/>
  <c r="BQ348" i="59"/>
  <c r="X348" i="59"/>
  <c r="Y329" i="59"/>
  <c r="J348" i="59"/>
  <c r="AR329" i="59"/>
  <c r="R367" i="59"/>
  <c r="V310" i="59"/>
  <c r="CM348" i="59"/>
  <c r="CO329" i="59"/>
  <c r="W367" i="59"/>
  <c r="AE329" i="59"/>
  <c r="AQ367" i="59"/>
  <c r="AQ310" i="59"/>
  <c r="BI329" i="59"/>
  <c r="BE329" i="59"/>
  <c r="CT348" i="59"/>
  <c r="U367" i="59"/>
  <c r="CM329" i="59"/>
  <c r="W348" i="59"/>
  <c r="AA367" i="59"/>
  <c r="BJ367" i="59"/>
  <c r="X367" i="59"/>
  <c r="AI367" i="59"/>
  <c r="BS348" i="59"/>
  <c r="BQ329" i="59"/>
  <c r="P367" i="59"/>
  <c r="BP348" i="59"/>
  <c r="I348" i="59"/>
  <c r="AC310" i="59"/>
  <c r="CK348" i="59"/>
  <c r="L367" i="59"/>
  <c r="CK367" i="59"/>
  <c r="Y367" i="59"/>
  <c r="BE310" i="59"/>
  <c r="R329" i="59"/>
  <c r="BC329" i="59"/>
  <c r="BS367" i="59"/>
  <c r="BD367" i="59"/>
  <c r="BA367" i="59"/>
  <c r="AR367" i="59"/>
  <c r="CA367" i="59"/>
  <c r="BC367" i="59"/>
  <c r="BL367" i="59"/>
  <c r="CR367" i="59"/>
  <c r="AB367" i="59"/>
  <c r="M310" i="59"/>
  <c r="K367" i="59"/>
  <c r="CF367" i="59"/>
  <c r="BE367" i="59"/>
  <c r="CG367" i="59"/>
  <c r="CT367" i="59"/>
  <c r="CQ367" i="59"/>
  <c r="CU367" i="59"/>
  <c r="CN367" i="59"/>
  <c r="AE367" i="59"/>
  <c r="BV367" i="59"/>
  <c r="AG367" i="59"/>
  <c r="BF367" i="59"/>
  <c r="Z367" i="59"/>
  <c r="G367" i="59"/>
  <c r="CS367" i="59"/>
  <c r="S367" i="59"/>
  <c r="CH367" i="59"/>
  <c r="AW367" i="59"/>
  <c r="O367" i="59"/>
  <c r="CI367" i="59"/>
  <c r="AU367" i="59"/>
  <c r="BP367" i="59"/>
  <c r="AZ367" i="59"/>
  <c r="Q367" i="59"/>
  <c r="M367" i="59"/>
  <c r="CJ367" i="59"/>
  <c r="BY367" i="59"/>
  <c r="J367" i="59"/>
  <c r="BH367" i="59"/>
  <c r="CO367" i="59"/>
  <c r="I367" i="59"/>
  <c r="BX367" i="59"/>
  <c r="CV367" i="59"/>
  <c r="CE367" i="59"/>
  <c r="BN367" i="59"/>
  <c r="AN367" i="59"/>
  <c r="AY367" i="59"/>
  <c r="CP367" i="59"/>
  <c r="AM367" i="59"/>
  <c r="T367" i="59"/>
  <c r="BG367" i="59"/>
  <c r="CD367" i="59"/>
  <c r="AF367" i="59"/>
  <c r="CW367" i="59"/>
  <c r="BT367" i="59"/>
  <c r="AP367" i="59"/>
  <c r="BI367" i="59"/>
  <c r="AD367" i="59"/>
  <c r="N367" i="59"/>
  <c r="V367" i="59"/>
  <c r="H367" i="59"/>
  <c r="CL367" i="59"/>
  <c r="AT367" i="59"/>
  <c r="AO367" i="59"/>
  <c r="CC367" i="59"/>
  <c r="BB367" i="59"/>
  <c r="AJ367" i="59"/>
  <c r="BM367" i="59"/>
  <c r="BK367" i="59"/>
  <c r="BW367" i="59"/>
  <c r="CM367" i="59"/>
  <c r="BU367" i="59"/>
  <c r="AK367" i="59"/>
  <c r="CB310" i="59"/>
  <c r="O22" i="59"/>
  <c r="BU329" i="59"/>
  <c r="BN329" i="59"/>
  <c r="CD348" i="59"/>
  <c r="CD310" i="59"/>
  <c r="BQ225" i="59"/>
  <c r="BG329" i="59"/>
  <c r="CW310" i="59"/>
  <c r="CP348" i="59"/>
  <c r="AS310" i="59"/>
  <c r="AS348" i="59"/>
  <c r="P329" i="59"/>
  <c r="N348" i="59"/>
  <c r="CG329" i="59"/>
  <c r="Z348" i="59"/>
  <c r="CF310" i="59"/>
  <c r="G291" i="59"/>
  <c r="CV348" i="59"/>
  <c r="CS329" i="59"/>
  <c r="CC329" i="59"/>
  <c r="AF291" i="59"/>
  <c r="AY291" i="59"/>
  <c r="CV329" i="59"/>
  <c r="P225" i="59"/>
  <c r="M348" i="59"/>
  <c r="AZ348" i="59"/>
  <c r="N329" i="59"/>
  <c r="CH310" i="59"/>
  <c r="S310" i="59"/>
  <c r="BV310" i="59"/>
  <c r="CJ329" i="59"/>
  <c r="CA329" i="59"/>
  <c r="S329" i="59"/>
  <c r="CH225" i="59"/>
  <c r="CL310" i="59"/>
  <c r="Y291" i="59"/>
  <c r="AR310" i="59"/>
  <c r="BJ348" i="59"/>
  <c r="BM310" i="59"/>
  <c r="AC329" i="59"/>
  <c r="H310" i="59"/>
  <c r="Q291" i="59"/>
  <c r="CH291" i="59"/>
  <c r="CW348" i="59"/>
  <c r="I225" i="59"/>
  <c r="AM329" i="59"/>
  <c r="H348" i="59"/>
  <c r="BL329" i="59"/>
  <c r="N310" i="59"/>
  <c r="BK22" i="59"/>
  <c r="P310" i="59"/>
  <c r="BU291" i="59"/>
  <c r="AC225" i="59"/>
  <c r="BV348" i="59"/>
  <c r="BH310" i="59"/>
  <c r="G225" i="59"/>
  <c r="CE310" i="59"/>
  <c r="BW291" i="59"/>
  <c r="AP329" i="59"/>
  <c r="BF329" i="59"/>
  <c r="BY348" i="59"/>
  <c r="AA329" i="59"/>
  <c r="AS225" i="59"/>
  <c r="CS291" i="59"/>
  <c r="CG310" i="59"/>
  <c r="AZ329" i="59"/>
  <c r="CV291" i="59"/>
  <c r="AK310" i="59"/>
  <c r="AY310" i="59"/>
  <c r="AL348" i="59"/>
  <c r="X291" i="59"/>
  <c r="BE291" i="59"/>
  <c r="BV291" i="59"/>
  <c r="BC291" i="59"/>
  <c r="CM291" i="59"/>
  <c r="AJ291" i="59"/>
  <c r="CN310" i="59"/>
  <c r="AD329" i="59"/>
  <c r="P291" i="59"/>
  <c r="BI291" i="59"/>
  <c r="AS291" i="59"/>
  <c r="AT310" i="59"/>
  <c r="AU310" i="59"/>
  <c r="AU329" i="59"/>
  <c r="BK291" i="59"/>
  <c r="CL291" i="59"/>
  <c r="CJ348" i="59"/>
  <c r="CK310" i="59"/>
  <c r="CK329" i="59"/>
  <c r="T291" i="59"/>
  <c r="BA291" i="59"/>
  <c r="AG291" i="59"/>
  <c r="AN348" i="59"/>
  <c r="BQ291" i="59"/>
  <c r="AG348" i="59"/>
  <c r="BZ310" i="59"/>
  <c r="BX291" i="59"/>
  <c r="AU348" i="59"/>
  <c r="CF348" i="59"/>
  <c r="AT291" i="59"/>
  <c r="CF329" i="59"/>
  <c r="CF291" i="59"/>
  <c r="BT310" i="59"/>
  <c r="AT329" i="59"/>
  <c r="AT348" i="59"/>
  <c r="CQ102" i="59"/>
  <c r="CT291" i="59"/>
  <c r="CO310" i="59"/>
  <c r="BZ348" i="59"/>
  <c r="BW329" i="59"/>
  <c r="V348" i="59"/>
  <c r="J329" i="59"/>
  <c r="BH329" i="59"/>
  <c r="AH348" i="59"/>
  <c r="CB329" i="59"/>
  <c r="BM329" i="59"/>
  <c r="CU291" i="59"/>
  <c r="BJ310" i="59"/>
  <c r="CB348" i="59"/>
  <c r="BG348" i="59"/>
  <c r="AF329" i="59"/>
  <c r="BE348" i="59"/>
  <c r="U310" i="59"/>
  <c r="AE310" i="59"/>
  <c r="BJ329" i="59"/>
  <c r="R310" i="59"/>
  <c r="AO310" i="59"/>
  <c r="BI310" i="59"/>
  <c r="CI291" i="59"/>
  <c r="BP329" i="59"/>
  <c r="CI310" i="59"/>
  <c r="Q329" i="59"/>
  <c r="CA310" i="59"/>
  <c r="AW310" i="59"/>
  <c r="CV310" i="59"/>
  <c r="BX310" i="59"/>
  <c r="BL348" i="59"/>
  <c r="BM348" i="59"/>
  <c r="AV310" i="59"/>
  <c r="W310" i="59"/>
  <c r="CL22" i="59"/>
  <c r="K291" i="59"/>
  <c r="AW348" i="59"/>
  <c r="X329" i="59"/>
  <c r="Q310" i="59"/>
  <c r="AM310" i="59"/>
  <c r="CE329" i="59"/>
  <c r="L329" i="59"/>
  <c r="AO329" i="59"/>
  <c r="L310" i="59"/>
  <c r="CL225" i="59"/>
  <c r="CI22" i="59"/>
  <c r="CR102" i="59"/>
  <c r="AL310" i="59"/>
  <c r="AY329" i="59"/>
  <c r="K329" i="59"/>
  <c r="BU348" i="59"/>
  <c r="AF348" i="59"/>
  <c r="G329" i="59"/>
  <c r="BO348" i="59"/>
  <c r="G348" i="59"/>
  <c r="CP22" i="59"/>
  <c r="S291" i="59"/>
  <c r="BA329" i="59"/>
  <c r="BC348" i="59"/>
  <c r="CP310" i="59"/>
  <c r="BR310" i="59"/>
  <c r="BB310" i="59"/>
  <c r="V329" i="59"/>
  <c r="AV329" i="59"/>
  <c r="CH329" i="59"/>
  <c r="AX348" i="59"/>
  <c r="CM22" i="59"/>
  <c r="CU225" i="59"/>
  <c r="BH291" i="59"/>
  <c r="AE348" i="59"/>
  <c r="BN310" i="59"/>
  <c r="BP310" i="59"/>
  <c r="AG329" i="59"/>
  <c r="AD310" i="59"/>
  <c r="Z310" i="59"/>
  <c r="BK348" i="59"/>
  <c r="CW329" i="59"/>
  <c r="S348" i="59"/>
  <c r="CR329" i="59"/>
  <c r="BF348" i="59"/>
  <c r="CR348" i="59"/>
  <c r="BT348" i="59"/>
  <c r="BR329" i="59"/>
  <c r="CE348" i="59"/>
  <c r="CT310" i="59"/>
  <c r="BU310" i="59"/>
  <c r="AY348" i="59"/>
  <c r="AA310" i="59"/>
  <c r="AI348" i="59"/>
  <c r="U329" i="59"/>
  <c r="BZ329" i="59"/>
  <c r="AJ329" i="59"/>
  <c r="CN348" i="59"/>
  <c r="R348" i="59"/>
  <c r="BX329" i="59"/>
  <c r="AA348" i="59"/>
  <c r="I310" i="59"/>
  <c r="CU310" i="59"/>
  <c r="CL329" i="59"/>
  <c r="BN348" i="59"/>
  <c r="BB329" i="59"/>
  <c r="G310" i="59"/>
  <c r="Y348" i="59"/>
  <c r="CR310" i="59"/>
  <c r="BY310" i="59"/>
  <c r="CI348" i="59"/>
  <c r="U348" i="59"/>
  <c r="BK310" i="59"/>
  <c r="I329" i="59"/>
  <c r="O348" i="59"/>
  <c r="BD329" i="59"/>
  <c r="AD348" i="59"/>
  <c r="CM310" i="59"/>
  <c r="BV329" i="59"/>
  <c r="BD310" i="59"/>
  <c r="CL348" i="59"/>
  <c r="AK329" i="59"/>
  <c r="AL329" i="59"/>
  <c r="BA348" i="59"/>
  <c r="X310" i="59"/>
  <c r="BA310" i="59"/>
  <c r="BX348" i="59"/>
  <c r="AI329" i="59"/>
  <c r="Y310" i="59"/>
  <c r="BO310" i="59"/>
  <c r="BC310" i="59"/>
  <c r="CH348" i="59"/>
  <c r="BW310" i="59"/>
  <c r="AQ329" i="59"/>
  <c r="AX310" i="59"/>
  <c r="CI225" i="59"/>
  <c r="AH329" i="59"/>
  <c r="O310" i="59"/>
  <c r="AP348" i="59"/>
  <c r="J310" i="59"/>
  <c r="AJ348" i="59"/>
  <c r="AZ310" i="59"/>
  <c r="CP329" i="59"/>
  <c r="T348" i="59"/>
  <c r="AF310" i="59"/>
  <c r="CQ329" i="59"/>
  <c r="CU329" i="59"/>
  <c r="BT329" i="59"/>
  <c r="AM348" i="59"/>
  <c r="CC310" i="59"/>
  <c r="BO329" i="59"/>
  <c r="AB348" i="59"/>
  <c r="BW348" i="59"/>
  <c r="O329" i="59"/>
  <c r="AV348" i="59"/>
  <c r="AG310" i="59"/>
  <c r="CU348" i="59"/>
  <c r="AH310" i="59"/>
  <c r="BL310" i="59"/>
  <c r="AK291" i="59"/>
  <c r="BG291" i="59"/>
  <c r="AX291" i="59"/>
  <c r="CQ22" i="59"/>
  <c r="CN291" i="59"/>
  <c r="CS225" i="59"/>
  <c r="BS291" i="59"/>
  <c r="AC291" i="59"/>
  <c r="BP291" i="59"/>
  <c r="W291" i="59"/>
  <c r="BZ291" i="59"/>
  <c r="AP291" i="59"/>
  <c r="H291" i="59"/>
  <c r="CW291" i="59"/>
  <c r="CK291" i="59"/>
  <c r="CC291" i="59"/>
  <c r="CB291" i="59"/>
  <c r="AD291" i="59"/>
  <c r="Z291" i="59"/>
  <c r="CA291" i="59"/>
  <c r="J291" i="59"/>
  <c r="AO291" i="59"/>
  <c r="BY291" i="59"/>
  <c r="M291" i="59"/>
  <c r="BN291" i="59"/>
  <c r="CQ291" i="59"/>
  <c r="AH291" i="59"/>
  <c r="AI291" i="59"/>
  <c r="V291" i="59"/>
  <c r="N291" i="59"/>
  <c r="AM291" i="59"/>
  <c r="AZ291" i="59"/>
  <c r="CJ291" i="59"/>
  <c r="U291" i="59"/>
  <c r="CR291" i="59"/>
  <c r="CO291" i="59"/>
  <c r="R291" i="59"/>
  <c r="AV291" i="59"/>
  <c r="AR291" i="59"/>
  <c r="AQ291" i="59"/>
  <c r="I291" i="59"/>
  <c r="CD291" i="59"/>
  <c r="AL291" i="59"/>
  <c r="AE291" i="59"/>
  <c r="AN291" i="59"/>
  <c r="BF291" i="59"/>
  <c r="CE291" i="59"/>
  <c r="AB291" i="59"/>
  <c r="CG291" i="59"/>
  <c r="CP291" i="59"/>
  <c r="O291" i="59"/>
  <c r="BL291" i="59"/>
  <c r="L291" i="59"/>
  <c r="BD291" i="59"/>
  <c r="AA291" i="59"/>
  <c r="BO291" i="59"/>
  <c r="AU291" i="59"/>
  <c r="BB291" i="59"/>
  <c r="AW291" i="59"/>
  <c r="BJ291" i="59"/>
  <c r="BT291" i="59"/>
  <c r="BR291" i="59"/>
  <c r="AY22" i="59"/>
  <c r="AP225" i="59"/>
  <c r="BB225" i="59"/>
  <c r="BV225" i="59"/>
  <c r="CV13" i="59"/>
  <c r="CU13" i="59"/>
  <c r="CN102" i="59"/>
  <c r="CN225" i="59"/>
  <c r="CT13" i="59"/>
  <c r="CR225" i="59"/>
  <c r="CP225" i="59"/>
  <c r="CW225" i="59"/>
  <c r="CV225" i="59"/>
  <c r="CS13" i="59"/>
  <c r="CW13" i="59"/>
  <c r="CQ225" i="59"/>
  <c r="CT225" i="59"/>
  <c r="CT22" i="59"/>
  <c r="CS22" i="59"/>
  <c r="CV102" i="59"/>
  <c r="CW22" i="59"/>
  <c r="CX31" i="59"/>
  <c r="CX20" i="59"/>
  <c r="CS102" i="59"/>
  <c r="CL13" i="59"/>
  <c r="CT102" i="59"/>
  <c r="CR13" i="59"/>
  <c r="CX21" i="59"/>
  <c r="CV22" i="59"/>
  <c r="CX23" i="59"/>
  <c r="CW102" i="59"/>
  <c r="CP102" i="59"/>
  <c r="CP13" i="59"/>
  <c r="CR22" i="59"/>
  <c r="CX19" i="59"/>
  <c r="CU102" i="59"/>
  <c r="CQ13" i="59"/>
  <c r="CX112" i="59"/>
  <c r="CX103" i="59"/>
  <c r="CX101" i="59"/>
  <c r="CX100" i="59"/>
  <c r="CX99" i="59"/>
  <c r="CM13" i="59"/>
  <c r="CI102" i="59"/>
  <c r="CM102" i="59"/>
  <c r="CO102" i="59"/>
  <c r="CJ22" i="59"/>
  <c r="CO13" i="59"/>
  <c r="CO22" i="59"/>
  <c r="CJ102" i="59"/>
  <c r="CL102" i="59"/>
  <c r="CO225" i="59"/>
  <c r="CI13" i="59"/>
  <c r="CJ225" i="59"/>
  <c r="CN22" i="59"/>
  <c r="CK225" i="59"/>
  <c r="CJ13" i="59"/>
  <c r="CK13" i="59"/>
  <c r="CN13" i="59"/>
  <c r="CK22" i="59"/>
  <c r="AM22" i="59"/>
  <c r="AZ225" i="59"/>
  <c r="AF102" i="59"/>
  <c r="AT225" i="59"/>
  <c r="BL225" i="59"/>
  <c r="BM22" i="59"/>
  <c r="AI22" i="59"/>
  <c r="AV225" i="59"/>
  <c r="BG22" i="59"/>
  <c r="AC102" i="59"/>
  <c r="W225" i="59"/>
  <c r="AH22" i="59"/>
  <c r="S22" i="59"/>
  <c r="AW22" i="59"/>
  <c r="W102" i="59"/>
  <c r="AQ225" i="59"/>
  <c r="BA22" i="59"/>
  <c r="AF22" i="59"/>
  <c r="AD22" i="59"/>
  <c r="BJ22" i="59"/>
  <c r="BT225" i="59"/>
  <c r="CF225" i="59"/>
  <c r="BY13" i="59"/>
  <c r="M225" i="59"/>
  <c r="BC225" i="59"/>
  <c r="O225" i="59"/>
  <c r="Z22" i="59"/>
  <c r="BH102" i="59"/>
  <c r="BZ225" i="59"/>
  <c r="U225" i="59"/>
  <c r="V22" i="59"/>
  <c r="AE225" i="59"/>
  <c r="S225" i="59"/>
  <c r="Z102" i="59"/>
  <c r="AJ225" i="59"/>
  <c r="U102" i="59"/>
  <c r="J225" i="59"/>
  <c r="AG225" i="59"/>
  <c r="Y22" i="59"/>
  <c r="AY225" i="59"/>
  <c r="BD102" i="59"/>
  <c r="V13" i="59"/>
  <c r="CG225" i="59"/>
  <c r="BS102" i="59"/>
  <c r="BI22" i="59"/>
  <c r="AS22" i="59"/>
  <c r="AT22" i="59"/>
  <c r="AB22" i="59"/>
  <c r="X22" i="59"/>
  <c r="W22" i="59"/>
  <c r="AC22" i="59"/>
  <c r="T22" i="59"/>
  <c r="H22" i="59"/>
  <c r="BV102" i="59"/>
  <c r="AZ22" i="59"/>
  <c r="AR102" i="59"/>
  <c r="BN22" i="59"/>
  <c r="BD22" i="59"/>
  <c r="X225" i="59"/>
  <c r="U22" i="59"/>
  <c r="J102" i="59"/>
  <c r="BM225" i="59"/>
  <c r="Z225" i="59"/>
  <c r="BS22" i="59"/>
  <c r="M22" i="59"/>
  <c r="T225" i="59"/>
  <c r="AU225" i="59"/>
  <c r="BP225" i="59"/>
  <c r="AK22" i="59"/>
  <c r="AO22" i="59"/>
  <c r="BC22" i="59"/>
  <c r="BH225" i="59"/>
  <c r="BL22" i="59"/>
  <c r="K225" i="59"/>
  <c r="AJ22" i="59"/>
  <c r="AD102" i="59"/>
  <c r="BI225" i="59"/>
  <c r="BE225" i="59"/>
  <c r="BW225" i="59"/>
  <c r="J22" i="59"/>
  <c r="BH22" i="59"/>
  <c r="BO225" i="59"/>
  <c r="AW225" i="59"/>
  <c r="AH225" i="59"/>
  <c r="CC225" i="59"/>
  <c r="CD102" i="59"/>
  <c r="BF22" i="59"/>
  <c r="G102" i="59"/>
  <c r="BL102" i="59"/>
  <c r="Q225" i="59"/>
  <c r="BK225" i="59"/>
  <c r="R225" i="59"/>
  <c r="N225" i="59"/>
  <c r="AL225" i="59"/>
  <c r="AN225" i="59"/>
  <c r="CB225" i="59"/>
  <c r="CD225" i="59"/>
  <c r="H225" i="59"/>
  <c r="AX225" i="59"/>
  <c r="AL22" i="59"/>
  <c r="BG225" i="59"/>
  <c r="AY102" i="59"/>
  <c r="BU225" i="59"/>
  <c r="L225" i="59"/>
  <c r="AF225" i="59"/>
  <c r="AK225" i="59"/>
  <c r="BN225" i="59"/>
  <c r="BA225" i="59"/>
  <c r="BR225" i="59"/>
  <c r="BJ225" i="59"/>
  <c r="AA225" i="59"/>
  <c r="AO225" i="59"/>
  <c r="CA225" i="59"/>
  <c r="AR225" i="59"/>
  <c r="BF225" i="59"/>
  <c r="Y225" i="59"/>
  <c r="P22" i="59"/>
  <c r="P102" i="59"/>
  <c r="BD225" i="59"/>
  <c r="AB225" i="59"/>
  <c r="V225" i="59"/>
  <c r="AM225" i="59"/>
  <c r="CE225" i="59"/>
  <c r="BY225" i="59"/>
  <c r="BX225" i="59"/>
  <c r="BV22" i="59"/>
  <c r="BI102" i="59"/>
  <c r="BQ102" i="59"/>
  <c r="BS225" i="59"/>
  <c r="X13" i="59"/>
  <c r="CB22" i="59"/>
  <c r="AK102" i="59"/>
  <c r="BZ102" i="59"/>
  <c r="AG22" i="59"/>
  <c r="AX102" i="59"/>
  <c r="BR102" i="59"/>
  <c r="N22" i="59"/>
  <c r="BF102" i="59"/>
  <c r="K22" i="59"/>
  <c r="L22" i="59"/>
  <c r="CC22" i="59"/>
  <c r="CA22" i="59"/>
  <c r="BP22" i="59"/>
  <c r="AR22" i="59"/>
  <c r="R22" i="59"/>
  <c r="AK13" i="59"/>
  <c r="G22" i="59"/>
  <c r="AV102" i="59"/>
  <c r="AA22" i="59"/>
  <c r="S102" i="59"/>
  <c r="BU102" i="59"/>
  <c r="O102" i="59"/>
  <c r="AE22" i="59"/>
  <c r="I22" i="59"/>
  <c r="Q13" i="59"/>
  <c r="BO22" i="59"/>
  <c r="BB22" i="59"/>
  <c r="BM102" i="59"/>
  <c r="BK102" i="59"/>
  <c r="AR13" i="59"/>
  <c r="BT102" i="59"/>
  <c r="CE13" i="59"/>
  <c r="AQ102" i="59"/>
  <c r="N102" i="59"/>
  <c r="AB102" i="59"/>
  <c r="CF13" i="59"/>
  <c r="T102" i="59"/>
  <c r="M102" i="59"/>
  <c r="AI102" i="59"/>
  <c r="BA102" i="59"/>
  <c r="AH102" i="59"/>
  <c r="L102" i="59"/>
  <c r="AA102" i="59"/>
  <c r="CG13" i="59"/>
  <c r="BG102" i="59"/>
  <c r="Q102" i="59"/>
  <c r="AW102" i="59"/>
  <c r="CC102" i="59"/>
  <c r="AS102" i="59"/>
  <c r="BB102" i="59"/>
  <c r="AE102" i="59"/>
  <c r="V102" i="59"/>
  <c r="AL13" i="59"/>
  <c r="AX22" i="59"/>
  <c r="BN102" i="59"/>
  <c r="R102" i="59"/>
  <c r="CF102" i="59"/>
  <c r="Y102" i="59"/>
  <c r="BY102" i="59"/>
  <c r="BE102" i="59"/>
  <c r="AJ102" i="59"/>
  <c r="H102" i="59"/>
  <c r="AP102" i="59"/>
  <c r="CH102" i="59"/>
  <c r="AZ102" i="59"/>
  <c r="CA102" i="59"/>
  <c r="BW102" i="59"/>
  <c r="BC102" i="59"/>
  <c r="AN102" i="59"/>
  <c r="BJ102" i="59"/>
  <c r="I102" i="59"/>
  <c r="BG13" i="59"/>
  <c r="AG102" i="59"/>
  <c r="BO102" i="59"/>
  <c r="BX102" i="59"/>
  <c r="CB102" i="59"/>
  <c r="BP102" i="59"/>
  <c r="AO102" i="59"/>
  <c r="AT102" i="59"/>
  <c r="AL102" i="59"/>
  <c r="X102" i="59"/>
  <c r="K102" i="59"/>
  <c r="CG102" i="59"/>
  <c r="AU102" i="59"/>
  <c r="AE13" i="59"/>
  <c r="BE13" i="59"/>
  <c r="BA13" i="59"/>
  <c r="Q22" i="59"/>
  <c r="BE22" i="59"/>
  <c r="Y13" i="59"/>
  <c r="CG22" i="59"/>
  <c r="AQ22" i="59"/>
  <c r="AP13" i="59"/>
  <c r="M13" i="59"/>
  <c r="AM13" i="59"/>
  <c r="BC13" i="59"/>
  <c r="S13" i="59"/>
  <c r="BQ13" i="59"/>
  <c r="AU22" i="59"/>
  <c r="N13" i="59"/>
  <c r="BB13" i="59"/>
  <c r="AN22" i="59"/>
  <c r="BU22" i="59"/>
  <c r="AA13" i="59"/>
  <c r="CA13" i="59"/>
  <c r="BF13" i="59"/>
  <c r="BR13" i="59"/>
  <c r="BS13" i="59"/>
  <c r="AV13" i="59"/>
  <c r="AF13" i="59"/>
  <c r="BD13" i="59"/>
  <c r="BU13" i="59"/>
  <c r="AQ13" i="59"/>
  <c r="CC13" i="59"/>
  <c r="BQ22" i="59"/>
  <c r="AP22" i="59"/>
  <c r="CE22" i="59"/>
  <c r="BX13" i="59"/>
  <c r="BX22" i="59"/>
  <c r="CD13" i="59"/>
  <c r="AT13" i="59"/>
  <c r="CB13" i="59"/>
  <c r="BN13" i="59"/>
  <c r="CH22" i="59"/>
  <c r="CD22" i="59"/>
  <c r="BT13" i="59"/>
  <c r="AG13" i="59"/>
  <c r="BT22" i="59"/>
  <c r="BZ13" i="59"/>
  <c r="AH13" i="59"/>
  <c r="BR22" i="59"/>
  <c r="BP13" i="59"/>
  <c r="BW22" i="59"/>
  <c r="CH13" i="59"/>
  <c r="BV13" i="59"/>
  <c r="BW13" i="59"/>
  <c r="BY22" i="59"/>
  <c r="BO13" i="59"/>
  <c r="CF22" i="59"/>
  <c r="BZ22" i="59"/>
  <c r="O13" i="59"/>
  <c r="AY13" i="59"/>
  <c r="J13" i="59"/>
  <c r="G13" i="59"/>
  <c r="H13" i="59"/>
  <c r="BM13" i="59"/>
  <c r="T13" i="59"/>
  <c r="W13" i="59"/>
  <c r="AU13" i="59"/>
  <c r="AI13" i="59"/>
  <c r="BI13" i="59"/>
  <c r="AJ13" i="59"/>
  <c r="P13" i="59"/>
  <c r="AB13" i="59"/>
  <c r="AZ13" i="59"/>
  <c r="BK13" i="59"/>
  <c r="BJ13" i="59"/>
  <c r="L13" i="59"/>
  <c r="R13" i="59"/>
  <c r="AX13" i="59"/>
  <c r="U13" i="59"/>
  <c r="I13" i="59"/>
  <c r="AC13" i="59"/>
  <c r="BL13" i="59"/>
  <c r="BH13" i="59"/>
  <c r="AS13" i="59"/>
  <c r="Z13" i="59"/>
  <c r="AD13" i="59"/>
  <c r="K13" i="59"/>
  <c r="AN13" i="59"/>
  <c r="AO13" i="59"/>
  <c r="AW13" i="59"/>
  <c r="BI28" i="56"/>
  <c r="CX357" i="59" l="1"/>
  <c r="CX319" i="59"/>
  <c r="CX338" i="59"/>
  <c r="CX376" i="59"/>
  <c r="CX395" i="59"/>
  <c r="CX386" i="59"/>
  <c r="CX225" i="59"/>
  <c r="CX291" i="59"/>
  <c r="CX310" i="59"/>
  <c r="CX329" i="59"/>
  <c r="CX348" i="59"/>
  <c r="CX367" i="59"/>
  <c r="CX22" i="59"/>
  <c r="CX102" i="59"/>
</calcChain>
</file>

<file path=xl/sharedStrings.xml><?xml version="1.0" encoding="utf-8"?>
<sst xmlns="http://schemas.openxmlformats.org/spreadsheetml/2006/main" count="12174" uniqueCount="725">
  <si>
    <t>구분</t>
    <phoneticPr fontId="3" type="noConversion"/>
  </si>
  <si>
    <t>차호</t>
    <phoneticPr fontId="3" type="noConversion"/>
  </si>
  <si>
    <t>구로차량사업소</t>
    <phoneticPr fontId="3" type="noConversion"/>
  </si>
  <si>
    <t>임시정비</t>
    <phoneticPr fontId="3" type="noConversion"/>
  </si>
  <si>
    <t>사업소</t>
    <phoneticPr fontId="3" type="noConversion"/>
  </si>
  <si>
    <t>-</t>
    <phoneticPr fontId="3" type="noConversion"/>
  </si>
  <si>
    <t>이문차량사업소</t>
    <phoneticPr fontId="3" type="noConversion"/>
  </si>
  <si>
    <t>임시정비</t>
  </si>
  <si>
    <t>조치 사항</t>
    <phoneticPr fontId="3" type="noConversion"/>
  </si>
  <si>
    <t>O</t>
  </si>
  <si>
    <t>O</t>
    <phoneticPr fontId="3" type="noConversion"/>
  </si>
  <si>
    <t>완료</t>
    <phoneticPr fontId="3" type="noConversion"/>
  </si>
  <si>
    <t>시흥차량사업소</t>
  </si>
  <si>
    <t>시흥차량사업소</t>
    <phoneticPr fontId="3" type="noConversion"/>
  </si>
  <si>
    <t>분당차량사업소</t>
    <phoneticPr fontId="3" type="noConversion"/>
  </si>
  <si>
    <t>기타</t>
    <phoneticPr fontId="3" type="noConversion"/>
  </si>
  <si>
    <t>모니터링</t>
    <phoneticPr fontId="3" type="noConversion"/>
  </si>
  <si>
    <t>검토중</t>
    <phoneticPr fontId="3" type="noConversion"/>
  </si>
  <si>
    <t>작업중</t>
    <phoneticPr fontId="3" type="noConversion"/>
  </si>
  <si>
    <t>총 건수</t>
    <phoneticPr fontId="3" type="noConversion"/>
  </si>
  <si>
    <t>일시</t>
    <phoneticPr fontId="3" type="noConversion"/>
  </si>
  <si>
    <t>진행중</t>
    <phoneticPr fontId="3" type="noConversion"/>
  </si>
  <si>
    <t>체류</t>
    <phoneticPr fontId="3" type="noConversion"/>
  </si>
  <si>
    <t>조치계획서</t>
    <phoneticPr fontId="3" type="noConversion"/>
  </si>
  <si>
    <t>작업절차서</t>
    <phoneticPr fontId="3" type="noConversion"/>
  </si>
  <si>
    <t>완료보고서</t>
    <phoneticPr fontId="3" type="noConversion"/>
  </si>
  <si>
    <t>원인 검토중</t>
    <phoneticPr fontId="3" type="noConversion"/>
  </si>
  <si>
    <t>임시정비 원인</t>
    <phoneticPr fontId="3" type="noConversion"/>
  </si>
  <si>
    <t>PSD 통신고장 현시</t>
    <phoneticPr fontId="3" type="noConversion"/>
  </si>
  <si>
    <t>국내CS팀</t>
    <phoneticPr fontId="3" type="noConversion"/>
  </si>
  <si>
    <t>최우성</t>
    <phoneticPr fontId="3" type="noConversion"/>
  </si>
  <si>
    <t>이진웅</t>
    <phoneticPr fontId="3" type="noConversion"/>
  </si>
  <si>
    <t>이성규</t>
    <phoneticPr fontId="3" type="noConversion"/>
  </si>
  <si>
    <t>박영빈</t>
    <phoneticPr fontId="3" type="noConversion"/>
  </si>
  <si>
    <t>국내CS팀</t>
    <phoneticPr fontId="3" type="noConversion"/>
  </si>
  <si>
    <t>프로젝트</t>
    <phoneticPr fontId="19" type="noConversion"/>
  </si>
  <si>
    <t>코레일 128량</t>
    <phoneticPr fontId="19" type="noConversion"/>
  </si>
  <si>
    <t>경원선 18량</t>
    <phoneticPr fontId="19" type="noConversion"/>
  </si>
  <si>
    <t>과천안산선 70량</t>
    <phoneticPr fontId="19" type="noConversion"/>
  </si>
  <si>
    <t>1호선 40량</t>
    <phoneticPr fontId="19" type="noConversion"/>
  </si>
  <si>
    <t>구분</t>
    <phoneticPr fontId="19" type="noConversion"/>
  </si>
  <si>
    <t>편성</t>
  </si>
  <si>
    <t>보증개시일</t>
    <phoneticPr fontId="19" type="noConversion"/>
  </si>
  <si>
    <t>량</t>
    <phoneticPr fontId="19" type="noConversion"/>
  </si>
  <si>
    <t>배속</t>
    <phoneticPr fontId="19" type="noConversion"/>
  </si>
  <si>
    <t>시흥</t>
    <phoneticPr fontId="19" type="noConversion"/>
  </si>
  <si>
    <t>이문</t>
    <phoneticPr fontId="19" type="noConversion"/>
  </si>
  <si>
    <t>구로</t>
    <phoneticPr fontId="19" type="noConversion"/>
  </si>
  <si>
    <t>코레일 448량</t>
    <phoneticPr fontId="19" type="noConversion"/>
  </si>
  <si>
    <t>경인선 80량</t>
    <phoneticPr fontId="19" type="noConversion"/>
  </si>
  <si>
    <t>과천안산선 180량</t>
    <phoneticPr fontId="19" type="noConversion"/>
  </si>
  <si>
    <t>분당선 108량</t>
    <phoneticPr fontId="19" type="noConversion"/>
  </si>
  <si>
    <t>분당</t>
    <phoneticPr fontId="19" type="noConversion"/>
  </si>
  <si>
    <t>편성</t>
    <phoneticPr fontId="3" type="noConversion"/>
  </si>
  <si>
    <t>담당자</t>
    <phoneticPr fontId="3" type="noConversion"/>
  </si>
  <si>
    <t>팀</t>
    <phoneticPr fontId="3" type="noConversion"/>
  </si>
  <si>
    <t>보증개시일</t>
    <phoneticPr fontId="3" type="noConversion"/>
  </si>
  <si>
    <t>량</t>
    <phoneticPr fontId="3" type="noConversion"/>
  </si>
  <si>
    <t>배속</t>
    <phoneticPr fontId="3" type="noConversion"/>
  </si>
  <si>
    <t>차호제거</t>
    <phoneticPr fontId="3" type="noConversion"/>
  </si>
  <si>
    <t>차호 제거</t>
    <phoneticPr fontId="3" type="noConversion"/>
  </si>
  <si>
    <t>김종호</t>
    <phoneticPr fontId="3" type="noConversion"/>
  </si>
  <si>
    <t>울산</t>
    <phoneticPr fontId="3" type="noConversion"/>
  </si>
  <si>
    <t>교육메뉴얼</t>
    <phoneticPr fontId="3" type="noConversion"/>
  </si>
  <si>
    <t>하자여부</t>
    <phoneticPr fontId="3" type="noConversion"/>
  </si>
  <si>
    <t>비고</t>
    <phoneticPr fontId="3" type="noConversion"/>
  </si>
  <si>
    <t>팀</t>
    <phoneticPr fontId="3" type="noConversion"/>
  </si>
  <si>
    <t>동일사항</t>
    <phoneticPr fontId="3" type="noConversion"/>
  </si>
  <si>
    <t>DIR2 단품불량</t>
    <phoneticPr fontId="3" type="noConversion"/>
  </si>
  <si>
    <t>박영빈</t>
    <phoneticPr fontId="3" type="noConversion"/>
  </si>
  <si>
    <t>최우성</t>
    <phoneticPr fontId="3" type="noConversion"/>
  </si>
  <si>
    <t>프로젝트</t>
    <phoneticPr fontId="3" type="noConversion"/>
  </si>
  <si>
    <t>프로젝트</t>
    <phoneticPr fontId="3" type="noConversion"/>
  </si>
  <si>
    <t>경원선 18량</t>
    <phoneticPr fontId="3" type="noConversion"/>
  </si>
  <si>
    <t>과천안산선 70량</t>
    <phoneticPr fontId="3" type="noConversion"/>
  </si>
  <si>
    <t>1호선 40량</t>
    <phoneticPr fontId="3" type="noConversion"/>
  </si>
  <si>
    <t>경인선 80량</t>
    <phoneticPr fontId="3" type="noConversion"/>
  </si>
  <si>
    <t>과천안산선 180량</t>
    <phoneticPr fontId="3" type="noConversion"/>
  </si>
  <si>
    <t>분당선 108량</t>
    <phoneticPr fontId="3" type="noConversion"/>
  </si>
  <si>
    <t>동해선 28량</t>
    <phoneticPr fontId="3" type="noConversion"/>
  </si>
  <si>
    <t>소사원시 28량</t>
    <phoneticPr fontId="3" type="noConversion"/>
  </si>
  <si>
    <t>수인선 36량</t>
    <phoneticPr fontId="3" type="noConversion"/>
  </si>
  <si>
    <t>2023년 신조차 고장관리 종합 현황</t>
    <phoneticPr fontId="3" type="noConversion"/>
  </si>
  <si>
    <t>통신장애</t>
    <phoneticPr fontId="3" type="noConversion"/>
  </si>
  <si>
    <t>밸브</t>
    <phoneticPr fontId="3" type="noConversion"/>
  </si>
  <si>
    <t>주변압기</t>
    <phoneticPr fontId="3" type="noConversion"/>
  </si>
  <si>
    <t>일</t>
    <phoneticPr fontId="3" type="noConversion"/>
  </si>
  <si>
    <t>STEN</t>
    <phoneticPr fontId="3" type="noConversion"/>
  </si>
  <si>
    <t>전장개발팀</t>
    <phoneticPr fontId="3" type="noConversion"/>
  </si>
  <si>
    <t>연구소 주관팀</t>
    <phoneticPr fontId="3" type="noConversion"/>
  </si>
  <si>
    <t>신호제어연구팀</t>
    <phoneticPr fontId="3" type="noConversion"/>
  </si>
  <si>
    <t>전기시스템팀</t>
    <phoneticPr fontId="3" type="noConversion"/>
  </si>
  <si>
    <t>기계장치연구팀</t>
    <phoneticPr fontId="3" type="noConversion"/>
  </si>
  <si>
    <t>주행장치개발팀</t>
    <phoneticPr fontId="3" type="noConversion"/>
  </si>
  <si>
    <t>통신제어연구팀</t>
    <phoneticPr fontId="3" type="noConversion"/>
  </si>
  <si>
    <t>시스템개발팀</t>
    <phoneticPr fontId="3" type="noConversion"/>
  </si>
  <si>
    <t>차체개발팀</t>
    <phoneticPr fontId="3" type="noConversion"/>
  </si>
  <si>
    <t>의장연구팀</t>
    <phoneticPr fontId="3" type="noConversion"/>
  </si>
  <si>
    <t>장치</t>
    <phoneticPr fontId="3" type="noConversion"/>
  </si>
  <si>
    <t>유형</t>
    <phoneticPr fontId="3" type="noConversion"/>
  </si>
  <si>
    <t>제작사</t>
    <phoneticPr fontId="3" type="noConversion"/>
  </si>
  <si>
    <t>사업소</t>
    <phoneticPr fontId="3" type="noConversion"/>
  </si>
  <si>
    <t>모니터상 PSD 통신고장 현시</t>
    <phoneticPr fontId="3" type="noConversion"/>
  </si>
  <si>
    <t>입건장애내용</t>
    <phoneticPr fontId="3" type="noConversion"/>
  </si>
  <si>
    <t>당사
접수날짜</t>
    <phoneticPr fontId="3" type="noConversion"/>
  </si>
  <si>
    <t>김기수</t>
    <phoneticPr fontId="3" type="noConversion"/>
  </si>
  <si>
    <t>변성환</t>
    <phoneticPr fontId="3" type="noConversion"/>
  </si>
  <si>
    <t>오재형</t>
    <phoneticPr fontId="3" type="noConversion"/>
  </si>
  <si>
    <t>김태윤</t>
    <phoneticPr fontId="3" type="noConversion"/>
  </si>
  <si>
    <t>배노광</t>
    <phoneticPr fontId="3" type="noConversion"/>
  </si>
  <si>
    <t>유영돈</t>
    <phoneticPr fontId="3" type="noConversion"/>
  </si>
  <si>
    <t>이찬용</t>
    <phoneticPr fontId="3" type="noConversion"/>
  </si>
  <si>
    <t>강명곤</t>
    <phoneticPr fontId="3" type="noConversion"/>
  </si>
  <si>
    <t>통신제어연구팀</t>
  </si>
  <si>
    <t>김장배</t>
    <phoneticPr fontId="3" type="noConversion"/>
  </si>
  <si>
    <t>권승열</t>
    <phoneticPr fontId="3" type="noConversion"/>
  </si>
  <si>
    <t>민경식</t>
    <phoneticPr fontId="3" type="noConversion"/>
  </si>
  <si>
    <t>윤여근</t>
    <phoneticPr fontId="3" type="noConversion"/>
  </si>
  <si>
    <t>이지훈</t>
    <phoneticPr fontId="3" type="noConversion"/>
  </si>
  <si>
    <t>김정철</t>
    <phoneticPr fontId="3" type="noConversion"/>
  </si>
  <si>
    <t>장우현</t>
    <phoneticPr fontId="3" type="noConversion"/>
  </si>
  <si>
    <t>김진호</t>
    <phoneticPr fontId="3" type="noConversion"/>
  </si>
  <si>
    <t>이선엽</t>
    <phoneticPr fontId="3" type="noConversion"/>
  </si>
  <si>
    <t>기계장치연구팀
전기시스템팀</t>
    <phoneticPr fontId="3" type="noConversion"/>
  </si>
  <si>
    <t>조현직</t>
    <phoneticPr fontId="3" type="noConversion"/>
  </si>
  <si>
    <t>연구소 담당자</t>
    <phoneticPr fontId="3" type="noConversion"/>
  </si>
  <si>
    <t>국내CS팀
담당자</t>
    <phoneticPr fontId="3" type="noConversion"/>
  </si>
  <si>
    <t>실적</t>
    <phoneticPr fontId="3" type="noConversion"/>
  </si>
  <si>
    <t>코레일 협의중</t>
    <phoneticPr fontId="3" type="noConversion"/>
  </si>
  <si>
    <t>코레일 협의중 사항</t>
    <phoneticPr fontId="3" type="noConversion"/>
  </si>
  <si>
    <t>계획 날짜</t>
    <phoneticPr fontId="3" type="noConversion"/>
  </si>
  <si>
    <t>제출 날짜</t>
    <phoneticPr fontId="3" type="noConversion"/>
  </si>
  <si>
    <t>원인검토서(D+7)</t>
    <phoneticPr fontId="3" type="noConversion"/>
  </si>
  <si>
    <t>작업절차서(D+12)</t>
    <phoneticPr fontId="3" type="noConversion"/>
  </si>
  <si>
    <t>조치계획서(D+19)</t>
    <phoneticPr fontId="3" type="noConversion"/>
  </si>
  <si>
    <t>완료보고서(D+52)</t>
    <phoneticPr fontId="3" type="noConversion"/>
  </si>
  <si>
    <t>계획 날짜</t>
    <phoneticPr fontId="3" type="noConversion"/>
  </si>
  <si>
    <t>제출 날짜</t>
    <phoneticPr fontId="3" type="noConversion"/>
  </si>
  <si>
    <t>실적</t>
    <phoneticPr fontId="3" type="noConversion"/>
  </si>
  <si>
    <t>-</t>
    <phoneticPr fontId="3" type="noConversion"/>
  </si>
  <si>
    <t>-</t>
    <phoneticPr fontId="3" type="noConversion"/>
  </si>
  <si>
    <t>원인검토서</t>
    <phoneticPr fontId="3" type="noConversion"/>
  </si>
  <si>
    <t>작업절차서</t>
    <phoneticPr fontId="3" type="noConversion"/>
  </si>
  <si>
    <t>조치계획서</t>
    <phoneticPr fontId="3" type="noConversion"/>
  </si>
  <si>
    <t>완료보고서</t>
    <phoneticPr fontId="3" type="noConversion"/>
  </si>
  <si>
    <t>검토서 제출 실적 / 일정표SHEET용</t>
    <phoneticPr fontId="3" type="noConversion"/>
  </si>
  <si>
    <t>제출 날짜 / 일정표SHEET용</t>
    <phoneticPr fontId="3" type="noConversion"/>
  </si>
  <si>
    <t>계획 날짜 / 일정표SHEET용</t>
    <phoneticPr fontId="3" type="noConversion"/>
  </si>
  <si>
    <t>계획 날짜 / 년 / 일정표SHEET용</t>
    <phoneticPr fontId="3" type="noConversion"/>
  </si>
  <si>
    <t>계획 날짜 / 주차 / 일정표SHEET용</t>
    <phoneticPr fontId="3" type="noConversion"/>
  </si>
  <si>
    <t>제출 날짜 / 년 / 일정표SHEET용</t>
    <phoneticPr fontId="3" type="noConversion"/>
  </si>
  <si>
    <t>제출 날짜 / 주차 / 일정표SHEET용</t>
    <phoneticPr fontId="3" type="noConversion"/>
  </si>
  <si>
    <t>병점차량사업소(구로)</t>
    <phoneticPr fontId="3" type="noConversion"/>
  </si>
  <si>
    <t>임시정비,사업소</t>
    <phoneticPr fontId="3" type="noConversion"/>
  </si>
  <si>
    <t>총건수</t>
    <phoneticPr fontId="3" type="noConversion"/>
  </si>
  <si>
    <t>구로차량사업소(병점)</t>
    <phoneticPr fontId="3" type="noConversion"/>
  </si>
  <si>
    <t>PSD</t>
    <phoneticPr fontId="3" type="noConversion"/>
  </si>
  <si>
    <t>열번</t>
    <phoneticPr fontId="3" type="noConversion"/>
  </si>
  <si>
    <t>128/448 구분</t>
    <phoneticPr fontId="3" type="noConversion"/>
  </si>
  <si>
    <t>신조 128량</t>
    <phoneticPr fontId="3" type="noConversion"/>
  </si>
  <si>
    <t>신조 448량</t>
    <phoneticPr fontId="3" type="noConversion"/>
  </si>
  <si>
    <t>완료</t>
  </si>
  <si>
    <t>검토중</t>
  </si>
  <si>
    <t>삭제</t>
    <phoneticPr fontId="3" type="noConversion"/>
  </si>
  <si>
    <t>설계불량</t>
    <phoneticPr fontId="3" type="noConversion"/>
  </si>
  <si>
    <t>이찬용
이선엽</t>
    <phoneticPr fontId="3" type="noConversion"/>
  </si>
  <si>
    <t>시청-서울 PSD 통신장애 비상정차(출입문등 점멸)</t>
    <phoneticPr fontId="3" type="noConversion"/>
  </si>
  <si>
    <t>진행현황
(현차적용기준)</t>
    <phoneticPr fontId="3" type="noConversion"/>
  </si>
  <si>
    <t>진행현황
(코레일 기준)</t>
    <phoneticPr fontId="3" type="noConversion"/>
  </si>
  <si>
    <t>K6569</t>
    <phoneticPr fontId="3" type="noConversion"/>
  </si>
  <si>
    <t>PSD통신이상현시, 도어등 소등, RF수동취급 운행</t>
    <phoneticPr fontId="3" type="noConversion"/>
  </si>
  <si>
    <t>이문차량사업소(병점)</t>
    <phoneticPr fontId="3" type="noConversion"/>
  </si>
  <si>
    <t>삭제 사항</t>
    <phoneticPr fontId="3" type="noConversion"/>
  </si>
  <si>
    <t>삭제 협의중</t>
    <phoneticPr fontId="3" type="noConversion"/>
  </si>
  <si>
    <t>제출 여부</t>
    <phoneticPr fontId="3" type="noConversion"/>
  </si>
  <si>
    <t>제출 날짜</t>
    <phoneticPr fontId="3" type="noConversion"/>
  </si>
  <si>
    <t>실적</t>
    <phoneticPr fontId="3" type="noConversion"/>
  </si>
  <si>
    <t>삭제, 삭제협의중</t>
    <phoneticPr fontId="3" type="noConversion"/>
  </si>
  <si>
    <t>1차 원인 검토서(D+1) / #276부터 집계</t>
    <phoneticPr fontId="3" type="noConversion"/>
  </si>
  <si>
    <t>고장 발생 가능 Sequence, NTF</t>
    <phoneticPr fontId="3" type="noConversion"/>
  </si>
  <si>
    <t>박진수</t>
    <phoneticPr fontId="3" type="noConversion"/>
  </si>
  <si>
    <t>배노광
오재형</t>
    <phoneticPr fontId="3" type="noConversion"/>
  </si>
  <si>
    <t>K6571</t>
    <phoneticPr fontId="3" type="noConversion"/>
  </si>
  <si>
    <t>납품일자</t>
    <phoneticPr fontId="3" type="noConversion"/>
  </si>
  <si>
    <t>출입문 중앙에서 열면 바로 닫힘(2위측) - 출입문 사이드 취급 운행</t>
    <phoneticPr fontId="3" type="noConversion"/>
  </si>
  <si>
    <t>단품불량</t>
  </si>
  <si>
    <t>S/W불량</t>
  </si>
  <si>
    <t>휴먼에러</t>
  </si>
  <si>
    <t>기타</t>
  </si>
  <si>
    <t>설계불량</t>
  </si>
  <si>
    <t>발생년도</t>
    <phoneticPr fontId="3" type="noConversion"/>
  </si>
  <si>
    <t>발생</t>
    <phoneticPr fontId="3" type="noConversion"/>
  </si>
  <si>
    <t>발생월</t>
    <phoneticPr fontId="3" type="noConversion"/>
  </si>
  <si>
    <t>신조차 불량 처리 현황(현대로템)</t>
    <phoneticPr fontId="3" type="noConversion"/>
  </si>
  <si>
    <t>신조차 불량 처리 현황(코레일)</t>
    <phoneticPr fontId="3" type="noConversion"/>
  </si>
  <si>
    <t>22.1</t>
    <phoneticPr fontId="3" type="noConversion"/>
  </si>
  <si>
    <t>2</t>
    <phoneticPr fontId="3" type="noConversion"/>
  </si>
  <si>
    <t>3</t>
    <phoneticPr fontId="3" type="noConversion"/>
  </si>
  <si>
    <t>4</t>
    <phoneticPr fontId="3" type="noConversion"/>
  </si>
  <si>
    <t>5</t>
    <phoneticPr fontId="3" type="noConversion"/>
  </si>
  <si>
    <t>7</t>
    <phoneticPr fontId="3" type="noConversion"/>
  </si>
  <si>
    <t>8</t>
    <phoneticPr fontId="3" type="noConversion"/>
  </si>
  <si>
    <t>9</t>
    <phoneticPr fontId="3" type="noConversion"/>
  </si>
  <si>
    <t>10</t>
    <phoneticPr fontId="3" type="noConversion"/>
  </si>
  <si>
    <t>11</t>
    <phoneticPr fontId="3" type="noConversion"/>
  </si>
  <si>
    <t>12</t>
    <phoneticPr fontId="3" type="noConversion"/>
  </si>
  <si>
    <t>23.1</t>
    <phoneticPr fontId="3" type="noConversion"/>
  </si>
  <si>
    <t>6</t>
    <phoneticPr fontId="3" type="noConversion"/>
  </si>
  <si>
    <t>신조차 구분</t>
    <phoneticPr fontId="3" type="noConversion"/>
  </si>
  <si>
    <t>경원선 18량</t>
    <phoneticPr fontId="3" type="noConversion"/>
  </si>
  <si>
    <t>과천안산선 70량</t>
    <phoneticPr fontId="3" type="noConversion"/>
  </si>
  <si>
    <t>1호선 40량</t>
    <phoneticPr fontId="3" type="noConversion"/>
  </si>
  <si>
    <t>경인선 80량</t>
    <phoneticPr fontId="3" type="noConversion"/>
  </si>
  <si>
    <t>과천안산선 180량</t>
    <phoneticPr fontId="3" type="noConversion"/>
  </si>
  <si>
    <t>분당선 108량</t>
    <phoneticPr fontId="3" type="noConversion"/>
  </si>
  <si>
    <t>128R</t>
    <phoneticPr fontId="3" type="noConversion"/>
  </si>
  <si>
    <t>448R</t>
    <phoneticPr fontId="3" type="noConversion"/>
  </si>
  <si>
    <t>기타</t>
    <phoneticPr fontId="3" type="noConversion"/>
  </si>
  <si>
    <t>장치
(상세)</t>
    <phoneticPr fontId="3" type="noConversion"/>
  </si>
  <si>
    <t xml:space="preserve">회기 - 철량리 지상구간 '역행불가, 마스콘PS 접속상태 확인' 현시 </t>
    <phoneticPr fontId="3" type="noConversion"/>
  </si>
  <si>
    <t>동일사항
건수 확인용</t>
    <phoneticPr fontId="3" type="noConversion"/>
  </si>
  <si>
    <t>탕정역 발차시 상용 제동 체결 후 정상 복귀</t>
    <phoneticPr fontId="3" type="noConversion"/>
  </si>
  <si>
    <t>단품불량</t>
    <phoneticPr fontId="3" type="noConversion"/>
  </si>
  <si>
    <t>S/W불량</t>
    <phoneticPr fontId="3" type="noConversion"/>
  </si>
  <si>
    <t>SW</t>
    <phoneticPr fontId="3" type="noConversion"/>
  </si>
  <si>
    <t>후부차 PSD 통신 장애에 의한 선두차 DIR2 채터링 현상
PDS 통신장애 개선 협의 진행 중</t>
    <phoneticPr fontId="3" type="noConversion"/>
  </si>
  <si>
    <t>임효석</t>
    <phoneticPr fontId="3" type="noConversion"/>
  </si>
  <si>
    <t>원인</t>
    <phoneticPr fontId="3" type="noConversion"/>
  </si>
  <si>
    <t>기계장치연구팀
주행장치개발팀</t>
    <phoneticPr fontId="3" type="noConversion"/>
  </si>
  <si>
    <t>배노광
유영돈</t>
    <phoneticPr fontId="3" type="noConversion"/>
  </si>
  <si>
    <t>발차 직후 도어등 소등 사용제동 7간체결후 2-3초 뒤 복귀</t>
    <phoneticPr fontId="3" type="noConversion"/>
  </si>
  <si>
    <t>단품불량</t>
    <phoneticPr fontId="3" type="noConversion"/>
  </si>
  <si>
    <t>128R</t>
    <phoneticPr fontId="3" type="noConversion"/>
  </si>
  <si>
    <t>448R</t>
    <phoneticPr fontId="3" type="noConversion"/>
  </si>
  <si>
    <t>128R
단품불량</t>
    <phoneticPr fontId="3" type="noConversion"/>
  </si>
  <si>
    <t>448R
단품불량</t>
    <phoneticPr fontId="3" type="noConversion"/>
  </si>
  <si>
    <t>22'.1월</t>
    <phoneticPr fontId="3" type="noConversion"/>
  </si>
  <si>
    <t>23'.1월</t>
    <phoneticPr fontId="3" type="noConversion"/>
  </si>
  <si>
    <t>합</t>
    <phoneticPr fontId="3" type="noConversion"/>
  </si>
  <si>
    <t>경과일</t>
    <phoneticPr fontId="3" type="noConversion"/>
  </si>
  <si>
    <t>전체 불량 트랜드 분석</t>
    <phoneticPr fontId="3" type="noConversion"/>
  </si>
  <si>
    <t>준공년도</t>
    <phoneticPr fontId="3" type="noConversion"/>
  </si>
  <si>
    <t>분류(M)</t>
    <phoneticPr fontId="3" type="noConversion"/>
  </si>
  <si>
    <t>초기 안정화</t>
    <phoneticPr fontId="3" type="noConversion"/>
  </si>
  <si>
    <t>128R 불량 트랜드 분석</t>
    <phoneticPr fontId="3" type="noConversion"/>
  </si>
  <si>
    <t>448R 불량 트랜드 분석</t>
    <phoneticPr fontId="3" type="noConversion"/>
  </si>
  <si>
    <t>보완요구</t>
    <phoneticPr fontId="3" type="noConversion"/>
  </si>
  <si>
    <t>미대상</t>
    <phoneticPr fontId="3" type="noConversion"/>
  </si>
  <si>
    <t>삭제</t>
  </si>
  <si>
    <t>후부차(312905호) PSD 발차 제어 피드백 신호 소거로 312005호 DIR2 소자되어 역행 불가 발생
회기역 지상 PSD 통신 장애 추정 - 코레일 통보</t>
    <phoneticPr fontId="3" type="noConversion"/>
  </si>
  <si>
    <t>탕정역 발차 후 지상의 PSD 열림 신호 수신되어 차량 DIR2 소자되면서 FSB 제동 체결
 -&gt; 탕정역 지상 PSD 오류로 추정 됨
 운행기록 분석 및 차상 PSD 동작시험 결과 특이사항 없음</t>
    <phoneticPr fontId="3" type="noConversion"/>
  </si>
  <si>
    <t>448R 트랜드 분석 (상세원인검토서 제출건)</t>
    <phoneticPr fontId="3" type="noConversion"/>
  </si>
  <si>
    <t>128R 불량 트랜드 분석(상세원인검토서 제출건)</t>
    <phoneticPr fontId="3" type="noConversion"/>
  </si>
  <si>
    <t/>
  </si>
  <si>
    <t>지연</t>
  </si>
  <si>
    <t>원인</t>
  </si>
  <si>
    <t>128R 불량 트랜드 분석(상세원인검토서 제출건)_(장치:TCMS)</t>
    <phoneticPr fontId="3" type="noConversion"/>
  </si>
  <si>
    <t>128R</t>
  </si>
  <si>
    <t>448R</t>
  </si>
  <si>
    <t>신조차구분</t>
    <phoneticPr fontId="3" type="noConversion"/>
  </si>
  <si>
    <t>경과일</t>
    <phoneticPr fontId="3" type="noConversion"/>
  </si>
  <si>
    <t>448R 트랜드 분석 (상세원인검토서 제출건)_(장치:TCMS)</t>
    <phoneticPr fontId="3" type="noConversion"/>
  </si>
  <si>
    <t>과천안산선 70량</t>
  </si>
  <si>
    <t>동해선 28량</t>
  </si>
  <si>
    <t>1호선 40량</t>
  </si>
  <si>
    <t>경인선 80량</t>
  </si>
  <si>
    <t>경원선 18량</t>
  </si>
  <si>
    <t>수인선 36량</t>
  </si>
  <si>
    <t>소사원시 28량</t>
  </si>
  <si>
    <t>분당선 108량</t>
  </si>
  <si>
    <t>과천안산선 180량</t>
  </si>
  <si>
    <t>1호선 90량</t>
  </si>
  <si>
    <t>프로젝트</t>
    <phoneticPr fontId="3" type="noConversion"/>
  </si>
  <si>
    <t>K227</t>
    <phoneticPr fontId="3" type="noConversion"/>
  </si>
  <si>
    <t>9백대 회기역 통과할때쯤 위쪽 도어등 소등, 제동 체결 후 바로 다시점등</t>
    <phoneticPr fontId="3" type="noConversion"/>
  </si>
  <si>
    <t>K123</t>
    <phoneticPr fontId="3" type="noConversion"/>
  </si>
  <si>
    <t>도어등 ON/OFF 반복 현상 발생</t>
    <phoneticPr fontId="3" type="noConversion"/>
  </si>
  <si>
    <t>차상 PSD</t>
    <phoneticPr fontId="3" type="noConversion"/>
  </si>
  <si>
    <t>K202</t>
    <phoneticPr fontId="3" type="noConversion"/>
  </si>
  <si>
    <t>PSD 통신고장 현시(도어등 깜빡거림)</t>
    <phoneticPr fontId="3" type="noConversion"/>
  </si>
  <si>
    <t>기지,업체 회의내용 진행 점검 사항</t>
    <phoneticPr fontId="3" type="noConversion"/>
  </si>
  <si>
    <t>SIV</t>
    <phoneticPr fontId="3" type="noConversion"/>
  </si>
  <si>
    <t>TCMS 모니터 고장(출입문 현시 안됨)</t>
    <phoneticPr fontId="3" type="noConversion"/>
  </si>
  <si>
    <t>TCMS 불량</t>
    <phoneticPr fontId="3" type="noConversion"/>
  </si>
  <si>
    <t>-</t>
    <phoneticPr fontId="3" type="noConversion"/>
  </si>
  <si>
    <t>- 세마역 -&gt; 병점역 발차후 3초 뒤 TC1 PSD watchdog counter 116 고정
- 청량리 역 진입도중 TC1 PSD 통신고장 소거 및 정상동작
- 구로기지 입고 후 재현 안됨(3/18)</t>
    <phoneticPr fontId="3" type="noConversion"/>
  </si>
  <si>
    <t>제출 날짜</t>
    <phoneticPr fontId="3" type="noConversion"/>
  </si>
  <si>
    <t>삭제, Sequence, NFT 사유</t>
    <phoneticPr fontId="3" type="noConversion"/>
  </si>
  <si>
    <t>-3/16 이문차량사업소 차상 PSD 수동,자동 절환 시험 양호 및 PSD장치 라인 체결 상태 확인 결과 이상 없음</t>
    <phoneticPr fontId="3" type="noConversion"/>
  </si>
  <si>
    <t>로그분석 결과 2계 부팅속도가 1계보다 느려서 FAULT 발생 추정
=&gt; 차량 최초 기동시 발생 추정 ===&gt; FAULT 감지 관련 SW검토 요함
=&gt; 3/10일 이내 고품분석 및 SW LOGIC분석해서 개선대책 수립 예정
&lt;3/14일 회의 결과&gt;
재확인 결과 부팅이 되지않아 고품분석 및 보고서 제출예정(~3/17) 
&lt;3/20일 회의결과&gt;
3/24일한 원인검토서 제출 제작사에서 당사 연구소로 제출 예정</t>
    <phoneticPr fontId="3" type="noConversion"/>
  </si>
  <si>
    <t>STEN</t>
  </si>
  <si>
    <t>이성규</t>
  </si>
  <si>
    <t>이진웅</t>
  </si>
  <si>
    <t>▶</t>
    <phoneticPr fontId="3" type="noConversion"/>
  </si>
  <si>
    <t>TCMS DU 터치불량</t>
    <phoneticPr fontId="3" type="noConversion"/>
  </si>
  <si>
    <t>5P 점퍼 개선</t>
    <phoneticPr fontId="3" type="noConversion"/>
  </si>
  <si>
    <t>SIVK 개선작업 개선</t>
    <phoneticPr fontId="3" type="noConversion"/>
  </si>
  <si>
    <t>SIV ACC 보호
 동작 개선</t>
    <phoneticPr fontId="3" type="noConversion"/>
  </si>
  <si>
    <t>ATC 노코드
수신감도 조정작업</t>
    <phoneticPr fontId="3" type="noConversion"/>
  </si>
  <si>
    <t>ATC 감속률 관련
 SW 개선작업</t>
    <phoneticPr fontId="3" type="noConversion"/>
  </si>
  <si>
    <t>SOB 개선</t>
    <phoneticPr fontId="3" type="noConversion"/>
  </si>
  <si>
    <t>ADS S/W</t>
    <phoneticPr fontId="3" type="noConversion"/>
  </si>
  <si>
    <t>슬립/슬라이드 S/W</t>
    <phoneticPr fontId="3" type="noConversion"/>
  </si>
  <si>
    <t>오버플로우 벨브</t>
    <phoneticPr fontId="3" type="noConversion"/>
  </si>
  <si>
    <t>출입문 DLS</t>
    <phoneticPr fontId="3" type="noConversion"/>
  </si>
  <si>
    <t>SOB개선작업
128R</t>
    <phoneticPr fontId="3" type="noConversion"/>
  </si>
  <si>
    <t>주차</t>
    <phoneticPr fontId="3" type="noConversion"/>
  </si>
  <si>
    <t>발생주차</t>
    <phoneticPr fontId="3" type="noConversion"/>
  </si>
  <si>
    <t>완료+삭제</t>
    <phoneticPr fontId="3" type="noConversion"/>
  </si>
  <si>
    <t>배속</t>
    <phoneticPr fontId="3" type="noConversion"/>
  </si>
  <si>
    <t>합</t>
    <phoneticPr fontId="3" type="noConversion"/>
  </si>
  <si>
    <t>MTBM개선</t>
    <phoneticPr fontId="3" type="noConversion"/>
  </si>
  <si>
    <t>타력운행 시 제동체결</t>
    <phoneticPr fontId="3" type="noConversion"/>
  </si>
  <si>
    <t>제동계통 점검 및 역행, 타행 시 제동 시험 확인 양호</t>
    <phoneticPr fontId="3" type="noConversion"/>
  </si>
  <si>
    <t>진행사항</t>
    <phoneticPr fontId="3" type="noConversion"/>
  </si>
  <si>
    <t>CI 릴레이 유니트
 교체 작업</t>
    <phoneticPr fontId="3" type="noConversion"/>
  </si>
  <si>
    <t>진행사항 최신화要</t>
    <phoneticPr fontId="3" type="noConversion"/>
  </si>
  <si>
    <t>(3/13일 회의결과)-(3/13회의_#187)(3/20회의_#224)(3/27회의_#269)(4/3회의_#324)
=&gt; 1) 차상 PSD 장치 Hardware/Software 원개발자 섭외 완료, 
        개발자 1명 충원 完, 추가 1명 차주중 충원예정
     2) 통신장애 문제의 주원인은 지상 PSD 장치 로그 확인결과 
        차상 PSD장치의 Relay 채터링 문제로 확인함(STEN社 대표이사)
     3) 해당 채터링 문제 해결을 위하여 프로그램 분석 및 수정작업 
        진행중이며 3월이내에 개선대책 수립 예정(STEN社 대표이사)
     4) 차상 PSD장치의 완전한 로그 분석을 위하여 현재 기록되는 
        로그외에 추가 로그를 수집하기 위한 기록장치용 보드(3.3V용)를 
        수배하여 로그기록장치를 제작 예정(Bare Board국내에 있을 경우 
        1~2일 이내 제작 가능, 외자품일 경우 Bare Board 수급에 1주정도 
        소요 예상) ---&gt; 분당선 8개 편성 설치해서 로그분석 추진(코레일 
        협의/승인 필요) 
    5) 코레일측에서는 그동안 Hardware적으로 문제점 유무를 검토하고
       근본적 대책을 제시할 것을 요구하였음--&gt; STEN사 하드웨어 문제
       유무 검토하여 근본대책 수립하기로 하였음
    6) 당사 및 코레일과 개선대책 검토/협의를 위한 STEN사의 담당자를
        선임하기로 하였음</t>
    <phoneticPr fontId="3" type="noConversion"/>
  </si>
  <si>
    <t>(3/20일 회의결과)-(3/13회의_#187)(3/20회의_#224)(3/27회의_#269)(4/3회의_#324)
1) 추가 인원 충원 고용계약서 체결완료하였으나 이전 회사 업무인수인계 3주 소요(주말/야간 활용 업무진행_4/20일 정식 입사 예정) : 하드웨어/SW 능통자, EMI/EMC 문제 해결
2) 개선대책 수립(3월 이내) :
- 금주말(3/24 오전중) 보완한 원인검토서 (개선대책 등 구체화) 당사연구소에 제출예정 =&gt; 당일 오후 코레일에 제출 예정(일정단축 추진)
- 로깅장치 수입부품 1개 3/20 입고 및 3/20 로깅장치 1개 제작하여 시험완료 예정(샘플), 분당선 108량(18개 편성) 잔여 편성분 로깅장치는 3/26일 이내 제작 완료 예정
- 로깅장치 장착일정 : 코레일 협의하여 3/27부터 장착토록 업무추진 요함
- 하드웨어 문제점 유,무 반드시 검토 요함
-STEN사의 업무 코디네이터는 최재원 차장으로 지정</t>
    <phoneticPr fontId="3" type="noConversion"/>
  </si>
  <si>
    <t>(4/3일 회의결과)-(3/13회의_#187)(3/20회의_#224)(3/27회의_#269)
1) 계획서 제출(3/27일), 1차로그분석 결과를 토대로 원인검토서 코레일에 제출예정( 4/10)
2) 로깅장치 설치 : 분당선 1개 설치완료(코레일 협의), 금주 목요일(4/6알) 추가 1개 설치 예정,
    잔여 9개 편성 자재 입고완료(4/3) --&gt;제작(4/6일 이전) --&gt; 분당선, 과천안산선, 경인선 3개 노선
   차량 수배일정에 맞춰서 설치 예정(4/6일~)  -&gt; 주간단위로 로그 수집해서 분석(4/6일~)
3) 로그 분석 1차(4/6), 2차(4/13) 결과를 보고 최종보고서 제출 및 차량에 개선 SW 설치 계획서 
    코레일과 협의 예정(~ 4/17)</t>
    <phoneticPr fontId="3" type="noConversion"/>
  </si>
  <si>
    <t>SIV CHK 
병렬화 개선</t>
    <phoneticPr fontId="3" type="noConversion"/>
  </si>
  <si>
    <t>출입문 일제점검시
작업</t>
    <phoneticPr fontId="3" type="noConversion"/>
  </si>
  <si>
    <t>23.02.26 psd통신고장 발생으로 인한 오수신 및 오동작
23.02.27 운행기록 검토상 이상없음</t>
    <phoneticPr fontId="3" type="noConversion"/>
  </si>
  <si>
    <t>S/W</t>
    <phoneticPr fontId="3" type="noConversion"/>
  </si>
  <si>
    <t>C/I</t>
    <phoneticPr fontId="3" type="noConversion"/>
  </si>
  <si>
    <t>원인검토
실적</t>
    <phoneticPr fontId="3" type="noConversion"/>
  </si>
  <si>
    <t>운행중 비상제동 체결</t>
    <phoneticPr fontId="3" type="noConversion"/>
  </si>
  <si>
    <t>G507열차 때 병점 운용 통보</t>
    <phoneticPr fontId="3" type="noConversion"/>
  </si>
  <si>
    <t>TCMS</t>
    <phoneticPr fontId="3" type="noConversion"/>
  </si>
  <si>
    <t>신호</t>
    <phoneticPr fontId="3" type="noConversion"/>
  </si>
  <si>
    <t>C/I</t>
    <phoneticPr fontId="3" type="noConversion"/>
  </si>
  <si>
    <t>방송장치</t>
    <phoneticPr fontId="3" type="noConversion"/>
  </si>
  <si>
    <t>주변압기</t>
    <phoneticPr fontId="3" type="noConversion"/>
  </si>
  <si>
    <t>SIV</t>
    <phoneticPr fontId="3" type="noConversion"/>
  </si>
  <si>
    <t>월</t>
    <phoneticPr fontId="3" type="noConversion"/>
  </si>
  <si>
    <t>화</t>
    <phoneticPr fontId="3" type="noConversion"/>
  </si>
  <si>
    <t>수</t>
    <phoneticPr fontId="3" type="noConversion"/>
  </si>
  <si>
    <t>목</t>
    <phoneticPr fontId="3" type="noConversion"/>
  </si>
  <si>
    <t>금</t>
    <phoneticPr fontId="3" type="noConversion"/>
  </si>
  <si>
    <t>삭제</t>
    <phoneticPr fontId="3" type="noConversion"/>
  </si>
  <si>
    <t>삭제협의중</t>
    <phoneticPr fontId="3" type="noConversion"/>
  </si>
  <si>
    <t>접수 요일</t>
    <phoneticPr fontId="3" type="noConversion"/>
  </si>
  <si>
    <t>128R 불량 트랜드 분석(상세원인검토서 제출건)_(장치:신호)</t>
    <phoneticPr fontId="3" type="noConversion"/>
  </si>
  <si>
    <t>448R 트랜드 분석 (상세원인검토서 제출건)_(장치:신호)</t>
    <phoneticPr fontId="3" type="noConversion"/>
  </si>
  <si>
    <t>128R 불량 트랜드 분석(상세원인검토서 제출건)_(장치:C/I)</t>
    <phoneticPr fontId="3" type="noConversion"/>
  </si>
  <si>
    <t>448R 트랜드 분석 (상세원인검토서 제출건)_(장치:C/I)</t>
    <phoneticPr fontId="3" type="noConversion"/>
  </si>
  <si>
    <t>128R 불량 트랜드 분석(상세원인검토서 제출건)_(장치:방송장치)</t>
    <phoneticPr fontId="3" type="noConversion"/>
  </si>
  <si>
    <t>448R 트랜드 분석 (상세원인검토서 제출건)_(장치:방송장치)</t>
    <phoneticPr fontId="3" type="noConversion"/>
  </si>
  <si>
    <t>128R 불량 트랜드 분석(상세원인검토서 제출건)_(장치:주변압기)</t>
    <phoneticPr fontId="3" type="noConversion"/>
  </si>
  <si>
    <t>448R 트랜드 분석 (상세원인검토서 제출건)_(장치:주변압기)</t>
    <phoneticPr fontId="3" type="noConversion"/>
  </si>
  <si>
    <t>장치:신호</t>
    <phoneticPr fontId="3" type="noConversion"/>
  </si>
  <si>
    <t>C/I</t>
    <phoneticPr fontId="3" type="noConversion"/>
  </si>
  <si>
    <t>방송장치</t>
    <phoneticPr fontId="3" type="noConversion"/>
  </si>
  <si>
    <t>주변압기</t>
    <phoneticPr fontId="3" type="noConversion"/>
  </si>
  <si>
    <t>TCMS</t>
    <phoneticPr fontId="3" type="noConversion"/>
  </si>
  <si>
    <t>128R 불량 트랜드 분석(상세원인검토서 제출건)_(장치:신호)</t>
    <phoneticPr fontId="3" type="noConversion"/>
  </si>
  <si>
    <t>448R 트랜드 분석 (상세원인검토서 제출건)_(장치:신호)</t>
    <phoneticPr fontId="3" type="noConversion"/>
  </si>
  <si>
    <t>128R 불량 트랜드 분석(상세원인검토서 제출건)_(장치:C/I)</t>
    <phoneticPr fontId="3" type="noConversion"/>
  </si>
  <si>
    <t>448R 트랜드 분석 (상세원인검토서 제출건)_(장치:C/I)</t>
    <phoneticPr fontId="3" type="noConversion"/>
  </si>
  <si>
    <t>128R 불량 트랜드 분석(상세원인검토서 제출건)_(장치:방송장치)</t>
    <phoneticPr fontId="3" type="noConversion"/>
  </si>
  <si>
    <t>.</t>
    <phoneticPr fontId="3" type="noConversion"/>
  </si>
  <si>
    <t>448R 트랜드 분석 (상세원인검토서 제출건)_(장치:방송장치)</t>
    <phoneticPr fontId="3" type="noConversion"/>
  </si>
  <si>
    <t>128R 불량 트랜드 분석(상세원인검토서 제출건)_(장치:주변압기)</t>
    <phoneticPr fontId="3" type="noConversion"/>
  </si>
  <si>
    <t>448R 트랜드 분석 (상세원인검토서 제출건)_(장치:주변압기)</t>
    <phoneticPr fontId="3" type="noConversion"/>
  </si>
  <si>
    <t>삭제 진행사항 및 코레일 요구사항</t>
    <phoneticPr fontId="3" type="noConversion"/>
  </si>
  <si>
    <t xml:space="preserve">TCMS 고장현시 및 PSD  닫힘 고장 현시 </t>
    <phoneticPr fontId="3" type="noConversion"/>
  </si>
  <si>
    <t>PSD 리셋 및 출입문 동작시험 확인 양호</t>
    <phoneticPr fontId="3" type="noConversion"/>
  </si>
  <si>
    <t>미세점등 개선 작업</t>
    <phoneticPr fontId="3" type="noConversion"/>
  </si>
  <si>
    <t>권준경</t>
    <phoneticPr fontId="3" type="noConversion"/>
  </si>
  <si>
    <t>개선 작업 사항</t>
    <phoneticPr fontId="3" type="noConversion"/>
  </si>
  <si>
    <t>구분</t>
    <phoneticPr fontId="3" type="noConversion"/>
  </si>
  <si>
    <t>역마다 PSD 자동으로 안닫힘</t>
    <phoneticPr fontId="3" type="noConversion"/>
  </si>
  <si>
    <t>보정~기흥까지 자동으로 안닫힘, 이후 정상, G6232열차로 입고, 분당운용 통보</t>
    <phoneticPr fontId="3" type="noConversion"/>
  </si>
  <si>
    <t>삭제 협의중</t>
  </si>
  <si>
    <r>
      <t xml:space="preserve">&lt;3/27일 회의결과&gt;-(3/13회의_#187)(3/20회의_#224)(3/27회의_#269)(4/3회의_#324)
1) 개선대책 수립(3월 이내) </t>
    </r>
    <r>
      <rPr>
        <sz val="10"/>
        <color rgb="FFFF0000"/>
        <rFont val="맑은 고딕"/>
        <family val="3"/>
        <charset val="129"/>
        <scheme val="minor"/>
      </rPr>
      <t>===&gt; 최종 SW 개선 4월 3주 예정</t>
    </r>
    <r>
      <rPr>
        <sz val="10"/>
        <color theme="1"/>
        <rFont val="맑은 고딕"/>
        <family val="3"/>
        <charset val="129"/>
        <scheme val="minor"/>
      </rPr>
      <t xml:space="preserve">
- 금주말(3/24 오전중) 보완한 원인검토서 (개선대책 등 구체화) 당사연구소에 제출예정 =&gt; 당일 오후 코레일에 제출 예정(일정단축 추진)</t>
    </r>
    <r>
      <rPr>
        <sz val="10"/>
        <color rgb="FFFF0000"/>
        <rFont val="맑은 고딕"/>
        <family val="3"/>
        <charset val="129"/>
        <scheme val="minor"/>
      </rPr>
      <t xml:space="preserve"> =&gt; 3/27일 오전에 당사 연구소로 제출完
2)</t>
    </r>
    <r>
      <rPr>
        <sz val="10"/>
        <color theme="1"/>
        <rFont val="맑은 고딕"/>
        <family val="3"/>
        <charset val="129"/>
        <scheme val="minor"/>
      </rPr>
      <t xml:space="preserve"> 로깅장치 수입부품 1개 3/20 입고 및 3/20 로깅장치 1개 제작하여 시험완료(샘플)하고 로깅 내용 코레일 조양수 과장에게 설명하였음(코레일에서 로깅장치 5개 제공 요청) =&gt; 9개 편성분 폴란드에 발주 완료(3/22일)_(8개 편성분 장착 모니터링 예정, </t>
    </r>
    <r>
      <rPr>
        <sz val="10"/>
        <color rgb="FFFF0000"/>
        <rFont val="맑은 고딕"/>
        <family val="3"/>
        <charset val="129"/>
        <scheme val="minor"/>
      </rPr>
      <t>1주 정도--</t>
    </r>
    <r>
      <rPr>
        <sz val="10"/>
        <color theme="1"/>
        <rFont val="맑은 고딕"/>
        <family val="3"/>
        <charset val="129"/>
        <scheme val="minor"/>
      </rPr>
      <t>) =&gt;</t>
    </r>
    <r>
      <rPr>
        <sz val="10"/>
        <color rgb="FFFF0000"/>
        <rFont val="맑은 고딕"/>
        <family val="3"/>
        <charset val="129"/>
        <scheme val="minor"/>
      </rPr>
      <t xml:space="preserve"> 보드 입고일정 확인해서 회신要(STEN)</t>
    </r>
    <r>
      <rPr>
        <sz val="10"/>
        <color theme="1"/>
        <rFont val="맑은 고딕"/>
        <family val="3"/>
        <charset val="129"/>
        <scheme val="minor"/>
      </rPr>
      <t xml:space="preserve">
3)</t>
    </r>
    <r>
      <rPr>
        <sz val="10"/>
        <color rgb="FFFF0000"/>
        <rFont val="맑은 고딕"/>
        <family val="3"/>
        <charset val="129"/>
        <scheme val="minor"/>
      </rPr>
      <t xml:space="preserve"> 장애 발생 이력이 있는 편성 1~2개 편성에 보완 SW 코레일과 협의하여 설치 및 모니터링 추진(일정: 보완한 원인검토서 코레일 제출 및 일정 협의하여 진행-- 즉시 추진 요함)
※ 현재 STEN사에서 제출한 원인검토서는 문제의 원인과 대책에 대한 구체적인 설명이 부족하여
   이해가 어려우므로 즉시 보완하여 제출요함(원인 2가지 모두 포함) 
4) 로그 분석 방법 설명자료 신속 준비 (일정: 연구소와 STEN 진행과정에 따라 협의하여 진행)
===&gt; 현재 진행일정이 지연되고 있으므로 추가 지연이 되지 않도록 일정관리 요함</t>
    </r>
    <phoneticPr fontId="3" type="noConversion"/>
  </si>
  <si>
    <t>탕정 - 아산 역행불가(마스콘PS 접속상태 확인 현시)</t>
    <phoneticPr fontId="3" type="noConversion"/>
  </si>
  <si>
    <t>PS2캠스위치 및 11선 역행라인 점검 확인 양호</t>
    <phoneticPr fontId="3" type="noConversion"/>
  </si>
  <si>
    <t>1.원인검토중</t>
    <phoneticPr fontId="3" type="noConversion"/>
  </si>
  <si>
    <t>22:09분경 회기역 출발후 약 200m 진행 후 PSD 안전문 닫힘 신호 소자 및 DIR2신호 소자로
 인한 제동체결
해당 시각 고장기록 확인결과 출입문 관련 고장 없음
검토서 제출 예정 및 회기역 하행 PSD지상 설비 정비 요청</t>
    <phoneticPr fontId="3" type="noConversion"/>
  </si>
  <si>
    <t>#337 : 회의결과</t>
    <phoneticPr fontId="3" type="noConversion"/>
  </si>
  <si>
    <t>최우성,김선엽</t>
    <phoneticPr fontId="3" type="noConversion"/>
  </si>
  <si>
    <t>이진웅,최기웅</t>
    <phoneticPr fontId="3" type="noConversion"/>
  </si>
  <si>
    <t>이성규,김광진</t>
    <phoneticPr fontId="3" type="noConversion"/>
  </si>
  <si>
    <t>완료보고 보완대상</t>
    <phoneticPr fontId="3" type="noConversion"/>
  </si>
  <si>
    <t>조치계획 제출대상</t>
    <phoneticPr fontId="3" type="noConversion"/>
  </si>
  <si>
    <t>완료보고 제출대상</t>
    <phoneticPr fontId="3" type="noConversion"/>
  </si>
  <si>
    <t>삭제 협의대상</t>
    <phoneticPr fontId="3" type="noConversion"/>
  </si>
  <si>
    <t>계</t>
    <phoneticPr fontId="3" type="noConversion"/>
  </si>
  <si>
    <t>진행처리등급</t>
    <phoneticPr fontId="3" type="noConversion"/>
  </si>
  <si>
    <t>A,B,C 구분</t>
    <phoneticPr fontId="3" type="noConversion"/>
  </si>
  <si>
    <t>128R 불량 트랜드 분석(상세원인검토서 제출건)_(장치:TCMS)</t>
    <phoneticPr fontId="3" type="noConversion"/>
  </si>
  <si>
    <t>448R 트랜드 분석 (상세원인검토서 제출건)_(장치:TCMS)</t>
    <phoneticPr fontId="3" type="noConversion"/>
  </si>
  <si>
    <t>128R 불량 트랜드 분석(상세원인검토서 제출건)_(장치:신호)</t>
    <phoneticPr fontId="3" type="noConversion"/>
  </si>
  <si>
    <t>448R 트랜드 분석 (상세원인검토서 제출건)_(장치:신호)</t>
    <phoneticPr fontId="3" type="noConversion"/>
  </si>
  <si>
    <t>128R 불량 트랜드 분석(상세원인검토서 제출건)_(장치:C/I)</t>
    <phoneticPr fontId="3" type="noConversion"/>
  </si>
  <si>
    <t>448R 트랜드 분석 (상세원인검토서 제출건)_(장치:C/I)</t>
    <phoneticPr fontId="3" type="noConversion"/>
  </si>
  <si>
    <t>128R 불량 트랜드 분석(상세원인검토서 제출건)_(장치:방송장치)</t>
    <phoneticPr fontId="3" type="noConversion"/>
  </si>
  <si>
    <t>448R 트랜드 분석 (상세원인검토서 제출건)_(장치:방송장치)</t>
    <phoneticPr fontId="3" type="noConversion"/>
  </si>
  <si>
    <t>128R 불량 트랜드 분석(상세원인검토서 제출건)_(장치:주변압기)</t>
    <phoneticPr fontId="3" type="noConversion"/>
  </si>
  <si>
    <t>448R 트랜드 분석 (상세원인검토서 제출건)_(장치:주변압기)</t>
    <phoneticPr fontId="3" type="noConversion"/>
  </si>
  <si>
    <t>128R 불량 트랜드 분석(상세원인검토서 제출건)_(장치:SIV)</t>
    <phoneticPr fontId="3" type="noConversion"/>
  </si>
  <si>
    <t>448R 트랜드 분석 (상세원인검토서 제출건)_(장치:SIV)</t>
    <phoneticPr fontId="3" type="noConversion"/>
  </si>
  <si>
    <t>128R 불량 트랜드 분석(상세원인검토서 제출건)_(장치:SIV)</t>
    <phoneticPr fontId="3" type="noConversion"/>
  </si>
  <si>
    <t>448R 트랜드 분석 (상세원인검토서 제출건)_(장치:SIV)</t>
    <phoneticPr fontId="3" type="noConversion"/>
  </si>
  <si>
    <t>운행기록 분석결과 덕정역 도착후 PSD 차상 장치 Watch dog counter 123고장확인
-당시 고장 기록 확인결과 13:53:55 PSD 통신 고장 발생 확인 후 16:42:33 소거 확인
-PSD 통신 고장 발생 당시 DIR2 채터링 발생
구로차량사업소 입고 후 차상 PSD 조작반 수동 위치에서 자동 위치로 절환 후 정상 동작 확인 후 출고</t>
    <phoneticPr fontId="3" type="noConversion"/>
  </si>
  <si>
    <t>회기역-&gt;청량리 구간 발차 후 지상 PSD 지상자 열림 신호 오 수신으로 인한 제동 체결
PSD 열림 신호 입력으로 인한 DIR2 소자로 인하여 FSBR(상용 7STEP) 계전기 동작
회기역 지상 PSD 장치 문제 추정</t>
    <phoneticPr fontId="3" type="noConversion"/>
  </si>
  <si>
    <t>역행라인 인통선 고장 현시(PS)</t>
  </si>
  <si>
    <t>G764열차 때 병점운용 통보</t>
  </si>
  <si>
    <t>탕정 발차 후 약 60Km/h 제동체결 중립 후 제동 풀림</t>
    <phoneticPr fontId="3" type="noConversion"/>
  </si>
  <si>
    <t>역행라인 점검 및 파워시험 양호</t>
    <phoneticPr fontId="3" type="noConversion"/>
  </si>
  <si>
    <t>개선작업 분류</t>
    <phoneticPr fontId="3" type="noConversion"/>
  </si>
  <si>
    <t>337 동일건</t>
    <phoneticPr fontId="3" type="noConversion"/>
  </si>
  <si>
    <t>5.조치계획제출대상</t>
    <phoneticPr fontId="3" type="noConversion"/>
  </si>
  <si>
    <t>7.완료보고제출대상</t>
    <phoneticPr fontId="3" type="noConversion"/>
  </si>
  <si>
    <t>8.완료보고 제출完 보완및추가요구</t>
    <phoneticPr fontId="3" type="noConversion"/>
  </si>
  <si>
    <t>역행라인 인통선 고장 현시(PS), 비상제동정차</t>
    <phoneticPr fontId="3" type="noConversion"/>
  </si>
  <si>
    <t>완해후 재취급 정상, G509 병점운용 통보</t>
    <phoneticPr fontId="3" type="noConversion"/>
  </si>
  <si>
    <t>역행불가 마스콘 PS접촉상태 확인 현시</t>
    <phoneticPr fontId="3" type="noConversion"/>
  </si>
  <si>
    <t>주간제어기 역행라인 점검 및 구내 시운전 양호</t>
    <phoneticPr fontId="3" type="noConversion"/>
  </si>
  <si>
    <t>박영빈,권준경</t>
    <phoneticPr fontId="3" type="noConversion"/>
  </si>
  <si>
    <t>C</t>
    <phoneticPr fontId="3" type="noConversion"/>
  </si>
  <si>
    <t>동일건(협의필요)</t>
    <phoneticPr fontId="3" type="noConversion"/>
  </si>
  <si>
    <t>동일건</t>
    <phoneticPr fontId="3" type="noConversion"/>
  </si>
  <si>
    <t>최기웅</t>
    <phoneticPr fontId="3" type="noConversion"/>
  </si>
  <si>
    <t>김선엽</t>
    <phoneticPr fontId="3" type="noConversion"/>
  </si>
  <si>
    <t>7.개선작업중</t>
  </si>
  <si>
    <t>지상 PSD 오동작</t>
    <phoneticPr fontId="3" type="noConversion"/>
  </si>
  <si>
    <t>PSD 통신 장애 불량</t>
    <phoneticPr fontId="3" type="noConversion"/>
  </si>
  <si>
    <t>348, 389, 467, 471</t>
    <phoneticPr fontId="3" type="noConversion"/>
  </si>
  <si>
    <r>
      <t xml:space="preserve">&lt;운행기록 검토결과&gt;
*16:34분경 회기역 출발후 약 200m 진행후 PSD 안전문 닫힘 신호 소자 및 DIR2 신호 소자로 인한 제동 체결
* 해당시각 고장기록 확인결과 출입문 관련 고장 없음
</t>
    </r>
    <r>
      <rPr>
        <b/>
        <sz val="11"/>
        <color rgb="FFFF0000"/>
        <rFont val="맑은 고딕"/>
        <family val="3"/>
        <charset val="129"/>
        <scheme val="minor"/>
      </rPr>
      <t>(회기역 지상 PSD 장치 문제 ===&gt; 초동조사 결과 제출 및 삭제협의 요함)</t>
    </r>
    <phoneticPr fontId="3" type="noConversion"/>
  </si>
  <si>
    <r>
      <t xml:space="preserve">&lt;운행기록 검토 결과&gt;
* 22:09분경 회기역 출발후 약 200m 진행후 PSD 안전문 닫힘 신호 소자 및 DIR2 신호 소자로 인한 제동 체결
* 해당시각 고장기록 확인결과 출입문 관련 고장 없음
* 당시 열번 K507 운행 확인결과 비상제동 체결 없음_비상제동 체결이 아닌 FSB제동  체결로 추정
</t>
    </r>
    <r>
      <rPr>
        <b/>
        <sz val="11"/>
        <color rgb="FFFF0000"/>
        <rFont val="맑은 고딕"/>
        <family val="3"/>
        <charset val="129"/>
        <scheme val="minor"/>
      </rPr>
      <t>(회기역 지상 PSD 장치 문제 ===&gt; 초동조사 결과 제출 및 삭제협의 요함)</t>
    </r>
    <phoneticPr fontId="3" type="noConversion"/>
  </si>
  <si>
    <r>
      <t xml:space="preserve">* 4/13일 회의결과 :차량수배하여 TCMS, CI 로그 다운받아서 신속 분석 요함
</t>
    </r>
    <r>
      <rPr>
        <b/>
        <sz val="12"/>
        <color rgb="FFFF0000"/>
        <rFont val="맑은 고딕"/>
        <family val="3"/>
        <charset val="129"/>
        <scheme val="minor"/>
      </rPr>
      <t>(탕정역 지상 PSD 오류 ===&gt; 초동조사 결과 제출 및 삭제협의 요함)</t>
    </r>
    <phoneticPr fontId="3" type="noConversion"/>
  </si>
  <si>
    <t>차상 PSD장치 통신장애 =&gt; #337 회의 내용과 동일</t>
    <phoneticPr fontId="3" type="noConversion"/>
  </si>
  <si>
    <r>
      <t xml:space="preserve">23.4.13일: 즉시 현차조사하여 조치 및 대책수립 要
</t>
    </r>
    <r>
      <rPr>
        <b/>
        <sz val="12"/>
        <color rgb="FFFF0000"/>
        <rFont val="맑은 고딕"/>
        <family val="3"/>
        <charset val="129"/>
        <scheme val="minor"/>
      </rPr>
      <t>(탕정역 지상 PSD 오류 ===&gt; 초동조사 결과 제출 및 삭제협의 요함)</t>
    </r>
    <phoneticPr fontId="3" type="noConversion"/>
  </si>
  <si>
    <t>(탕정역 지상 PSD 오류 ===&gt; 초동조사 결과 제출 및 삭제협의 요함)</t>
    <phoneticPr fontId="3" type="noConversion"/>
  </si>
  <si>
    <t>코레일
(STEN)</t>
  </si>
  <si>
    <t>제출자</t>
    <phoneticPr fontId="3" type="noConversion"/>
  </si>
  <si>
    <t>구로배속</t>
    <phoneticPr fontId="3" type="noConversion"/>
  </si>
  <si>
    <t>시흥배속</t>
    <phoneticPr fontId="3" type="noConversion"/>
  </si>
  <si>
    <t>이문배속</t>
    <phoneticPr fontId="3" type="noConversion"/>
  </si>
  <si>
    <t>분당배속</t>
    <phoneticPr fontId="3" type="noConversion"/>
  </si>
  <si>
    <t>울산배속</t>
    <phoneticPr fontId="3" type="noConversion"/>
  </si>
  <si>
    <t>소사원시</t>
    <phoneticPr fontId="3" type="noConversion"/>
  </si>
  <si>
    <t>-</t>
    <phoneticPr fontId="3" type="noConversion"/>
  </si>
  <si>
    <t>김광진</t>
    <phoneticPr fontId="3" type="noConversion"/>
  </si>
  <si>
    <t>제출 일정 기입 및 상세내용</t>
    <phoneticPr fontId="3" type="noConversion"/>
  </si>
  <si>
    <t>시스템개발팀
전기시스템팀
통신제어연구팀</t>
    <phoneticPr fontId="3" type="noConversion"/>
  </si>
  <si>
    <t>이찬용
오재형
이선엽</t>
    <phoneticPr fontId="3" type="noConversion"/>
  </si>
  <si>
    <t>이문차량사업소</t>
  </si>
  <si>
    <t>구로차량사업소(병점)</t>
  </si>
  <si>
    <t>구로차량사업소</t>
  </si>
  <si>
    <t>금정 구청 운행 중 도어등 수시 점멸</t>
    <phoneticPr fontId="3" type="noConversion"/>
  </si>
  <si>
    <t>출입문 시험 양호</t>
    <phoneticPr fontId="3" type="noConversion"/>
  </si>
  <si>
    <t>이문차량사업소(병점)</t>
  </si>
  <si>
    <r>
      <t xml:space="preserve">오재형
</t>
    </r>
    <r>
      <rPr>
        <strike/>
        <sz val="8"/>
        <rFont val="맑은 고딕"/>
        <family val="3"/>
        <charset val="129"/>
        <scheme val="minor"/>
      </rPr>
      <t>강명곤</t>
    </r>
    <phoneticPr fontId="3" type="noConversion"/>
  </si>
  <si>
    <t>상세원인검토 제출일</t>
    <phoneticPr fontId="3" type="noConversion"/>
  </si>
  <si>
    <t>PSD 개선</t>
    <phoneticPr fontId="3" type="noConversion"/>
  </si>
  <si>
    <t>원인검토 진행사항</t>
    <phoneticPr fontId="3" type="noConversion"/>
  </si>
  <si>
    <t>원인검토</t>
    <phoneticPr fontId="3" type="noConversion"/>
  </si>
  <si>
    <t>지연</t>
    <phoneticPr fontId="3" type="noConversion"/>
  </si>
  <si>
    <t>종결</t>
    <phoneticPr fontId="3" type="noConversion"/>
  </si>
  <si>
    <t>도어등 깜빡거림</t>
    <phoneticPr fontId="3" type="noConversion"/>
  </si>
  <si>
    <t>RF장치 수동 취급 후 운행</t>
    <phoneticPr fontId="3" type="noConversion"/>
  </si>
  <si>
    <r>
      <t xml:space="preserve">탕정역 발차 후 지상의 PSD 열림 신호 수신되어 차량 DIR2 소자되면서 FSB 제동 체결
운행기록 분석 및 차상 PSD 동작시험 결과 특이사항 없음
</t>
    </r>
    <r>
      <rPr>
        <b/>
        <sz val="12"/>
        <color rgb="FFFF0000"/>
        <rFont val="맑은 고딕"/>
        <family val="3"/>
        <charset val="129"/>
        <scheme val="minor"/>
      </rPr>
      <t>(탕정역 지상 PSD 오류 ===&gt; 초동조사 결과 제출 및 삭제협의 요함)
&lt;5/15일 회의 결과&gt;
삭제 추심 요함 (회기,병점, 탕정) ==== 11건 조양수 과장에게 오재형 책임이 송부하였음</t>
    </r>
    <phoneticPr fontId="3" type="noConversion"/>
  </si>
  <si>
    <t>- TCMS 로그데이터 확인(1/6)
 : DIR2 채터링 현상 확인, 연구소 추가 검토 진행중
- DIR2 신품 교체(1/6)
- 원제작사(메인트란스) 고품 분석중(1/9~)
- PSD 통신고장 현시관련 상세 원인 및 대책 검토완료(1/31~5/9)
- TCMS 데이터 확인시 Watchdog 통신 끊어져 PSD 통신고장발생
- 4개편성 개선 SW 적용 후 2개월 모니터링진행(5/11~)</t>
    <phoneticPr fontId="3" type="noConversion"/>
  </si>
  <si>
    <t>- 제조사(STEN)와 PSD장치 확인 및 점검완료(1/31)
- PSD 통신고장 현시관련 상세 원인 및 대책 검토완료(1/31~5/9)
- TCMS 데이터 확인시 Watchdog 통신 끊어져 PSD 통신고장발생
- 4개편성 개선 SW 적용 후 2개월 모니터링진행(5/11~)</t>
    <phoneticPr fontId="3" type="noConversion"/>
  </si>
  <si>
    <t>- TCMS 데이터 확인시 Watchdog 통신 끊어져 PSD 통신고장발생
- PSD 통신고장 현시관련 상세 원인 및 대책 검토완료(1/31~5/9)
- 4개편성 개선 SW 적용 후 2개월 모니터링진행(5/11~)</t>
    <phoneticPr fontId="3" type="noConversion"/>
  </si>
  <si>
    <t>- TCMS 데이터 확인
  : DOSL 자기유지 시간 짧음, PSD_ZVR 계전기 On/Off 반복
  : PSD ZVR 교체(2/23)
- PSD 통신고장 현시관련 상세 원인 및 대책 검토완료(1/31~5/9)
- 4개편성 개선 SW 적용 후 2개월 모니터링진행(5/11~)</t>
    <phoneticPr fontId="3" type="noConversion"/>
  </si>
  <si>
    <t>-차량 TCMS 분석 및 차량 점검(3/18)
-0호차 PSD DIR 계전기 신품 교체(3/18)
- PSD 통신고장 현시관련 상세 원인 및 대책 검토완료(1/31~5/9)
- 4개편성 개선 SW 적용 후 2개월 모니터링진행(5/11~)</t>
    <phoneticPr fontId="3" type="noConversion"/>
  </si>
  <si>
    <t>23.04.08 : 차량점검 및 TCMS 데이터 확인
23.04.09 : RF장치 점검 및 로그기록장치 로그데이터 다운 (44편성 로그기록장치 설치 완료 편성) - 로그데이터 분석 중 (4/9~, STEN)
일정구간(보정~기흥) PSD 자동 닫힘 불량 발생 상세원인 분석 및 대책수립예정
- PSD 통신고장 현시관련 상세 원인 및 대책 검토완료(1/31~5/9)
- 4개편성 개선 SW 적용 후 2개월 모니터링진행(5/11~)</t>
    <phoneticPr fontId="3" type="noConversion"/>
  </si>
  <si>
    <t>(회기역 지상 PSD 장치 문제 ===&gt; 초동조사 결과 제출 및 삭제협의 요함)
&lt;5/15일 회의 결과&gt;
삭제 추심 요함 (회기,병점, 탕정) ==== 11건 조양수 과장에게 오재형 책임이 송부하였음
&lt;5/22일 회의결과&gt; 삭제 추심 요함</t>
    <phoneticPr fontId="3" type="noConversion"/>
  </si>
  <si>
    <t>전기시스템팀
기계장치연구팀</t>
    <phoneticPr fontId="3" type="noConversion"/>
  </si>
  <si>
    <r>
      <t xml:space="preserve">오재형
배노광
</t>
    </r>
    <r>
      <rPr>
        <strike/>
        <sz val="8"/>
        <rFont val="맑은 고딕"/>
        <family val="3"/>
        <charset val="129"/>
        <scheme val="minor"/>
      </rPr>
      <t>변성환</t>
    </r>
    <phoneticPr fontId="3" type="noConversion"/>
  </si>
  <si>
    <t>예정</t>
  </si>
  <si>
    <t xml:space="preserve">탕정 ~ 배방 주행중 출입문 열림 표시 </t>
    <phoneticPr fontId="3" type="noConversion"/>
  </si>
  <si>
    <t>출입문 점검 및 기능시험 양호</t>
    <phoneticPr fontId="3" type="noConversion"/>
  </si>
  <si>
    <t>사업소</t>
  </si>
  <si>
    <t>운행데이터 확인 결과 0호차 RF장치 채터링 발생 확인
STEN사 RF장치 로그 수집</t>
    <phoneticPr fontId="3" type="noConversion"/>
  </si>
  <si>
    <t>제출자</t>
    <phoneticPr fontId="3" type="noConversion"/>
  </si>
  <si>
    <t>이성규</t>
    <phoneticPr fontId="3" type="noConversion"/>
  </si>
  <si>
    <t>일제점검 사항</t>
    <phoneticPr fontId="3" type="noConversion"/>
  </si>
  <si>
    <t>중복프로젝트 대표구분</t>
    <phoneticPr fontId="3" type="noConversion"/>
  </si>
  <si>
    <t>중복</t>
    <phoneticPr fontId="3" type="noConversion"/>
  </si>
  <si>
    <t>작업完</t>
  </si>
  <si>
    <t>등록</t>
    <phoneticPr fontId="3" type="noConversion"/>
  </si>
  <si>
    <t>OI20230200028</t>
    <phoneticPr fontId="3" type="noConversion"/>
  </si>
  <si>
    <t>대책수립完</t>
    <phoneticPr fontId="3" type="noConversion"/>
  </si>
  <si>
    <t>구분</t>
    <phoneticPr fontId="7" type="noConversion"/>
  </si>
  <si>
    <t>프로젝트</t>
    <phoneticPr fontId="7" type="noConversion"/>
  </si>
  <si>
    <t>iQMS 
필드오픈이슈</t>
    <phoneticPr fontId="7" type="noConversion"/>
  </si>
  <si>
    <r>
      <t xml:space="preserve">작업完
</t>
    </r>
    <r>
      <rPr>
        <sz val="8"/>
        <color indexed="8"/>
        <rFont val="맑은 고딕"/>
        <family val="3"/>
        <charset val="129"/>
        <scheme val="minor"/>
      </rPr>
      <t>(종결/고객승인)</t>
    </r>
    <phoneticPr fontId="7" type="noConversion"/>
  </si>
  <si>
    <t>작업完</t>
    <phoneticPr fontId="7" type="noConversion"/>
  </si>
  <si>
    <t>대책수립完</t>
    <phoneticPr fontId="7" type="noConversion"/>
  </si>
  <si>
    <t>대책수립中</t>
    <phoneticPr fontId="7" type="noConversion"/>
  </si>
  <si>
    <t>대책수립 
완료율(%)</t>
    <phoneticPr fontId="7" type="noConversion"/>
  </si>
  <si>
    <t>비고</t>
    <phoneticPr fontId="7" type="noConversion"/>
  </si>
  <si>
    <t>128량</t>
    <phoneticPr fontId="7" type="noConversion"/>
  </si>
  <si>
    <t xml:space="preserve"> 경원선 18량</t>
    <phoneticPr fontId="7" type="noConversion"/>
  </si>
  <si>
    <t>등록</t>
    <phoneticPr fontId="7" type="noConversion"/>
  </si>
  <si>
    <t>미등록</t>
    <phoneticPr fontId="7" type="noConversion"/>
  </si>
  <si>
    <t>불필요</t>
    <phoneticPr fontId="7" type="noConversion"/>
  </si>
  <si>
    <t xml:space="preserve"> 과천안산선 70량</t>
    <phoneticPr fontId="7" type="noConversion"/>
  </si>
  <si>
    <t xml:space="preserve"> 1호선 40량</t>
    <phoneticPr fontId="7" type="noConversion"/>
  </si>
  <si>
    <t>소계</t>
    <phoneticPr fontId="7" type="noConversion"/>
  </si>
  <si>
    <t>불필요</t>
    <phoneticPr fontId="7" type="noConversion"/>
  </si>
  <si>
    <t>448량</t>
    <phoneticPr fontId="7" type="noConversion"/>
  </si>
  <si>
    <t xml:space="preserve"> 경인선 80량</t>
    <phoneticPr fontId="7" type="noConversion"/>
  </si>
  <si>
    <t xml:space="preserve"> 과천안산선 180량</t>
    <phoneticPr fontId="7" type="noConversion"/>
  </si>
  <si>
    <t xml:space="preserve"> 분당선 108량</t>
    <phoneticPr fontId="7" type="noConversion"/>
  </si>
  <si>
    <t xml:space="preserve"> 일산선 80량</t>
    <phoneticPr fontId="7" type="noConversion"/>
  </si>
  <si>
    <t>(영업운행 미투입)</t>
    <phoneticPr fontId="7" type="noConversion"/>
  </si>
  <si>
    <t>합계</t>
    <phoneticPr fontId="7" type="noConversion"/>
  </si>
  <si>
    <t>대책수립中</t>
    <phoneticPr fontId="3" type="noConversion"/>
  </si>
  <si>
    <t>일산선 80량</t>
    <phoneticPr fontId="3" type="noConversion"/>
  </si>
  <si>
    <t>▣ 코레일 128량, 448량 고장관리대장건 필드오픈이슈 등록 현황</t>
    <phoneticPr fontId="7" type="noConversion"/>
  </si>
  <si>
    <t>128,448R 外 프로젝트</t>
    <phoneticPr fontId="3" type="noConversion"/>
  </si>
  <si>
    <t>삭제,삭제협의중,중복건 대표 구분</t>
    <phoneticPr fontId="3" type="noConversion"/>
  </si>
  <si>
    <t>제외</t>
    <phoneticPr fontId="3" type="noConversion"/>
  </si>
  <si>
    <t>중복</t>
    <phoneticPr fontId="3" type="noConversion"/>
  </si>
  <si>
    <t>미등록</t>
    <phoneticPr fontId="3" type="noConversion"/>
  </si>
  <si>
    <t>불필요</t>
    <phoneticPr fontId="3" type="noConversion"/>
  </si>
  <si>
    <t>필드오픈이슈 등록 현황</t>
    <phoneticPr fontId="3" type="noConversion"/>
  </si>
  <si>
    <t>배노광
김장배</t>
    <phoneticPr fontId="3" type="noConversion"/>
  </si>
  <si>
    <t>운행중 ADU 화면 출입문 열림 현시 및 여러가지 고장 현시 되면서 속도 3킬로 까지 떨어짐</t>
    <phoneticPr fontId="3" type="noConversion"/>
  </si>
  <si>
    <t>G514열차로 구로 입고, 구로운용 통보</t>
    <phoneticPr fontId="3" type="noConversion"/>
  </si>
  <si>
    <t>미등록 등록대상건 등록 여부</t>
    <phoneticPr fontId="3" type="noConversion"/>
  </si>
  <si>
    <t>등록시 O표시</t>
    <phoneticPr fontId="3" type="noConversion"/>
  </si>
  <si>
    <t>삭제 협의중(완료)</t>
    <phoneticPr fontId="3" type="noConversion"/>
  </si>
  <si>
    <t>-</t>
  </si>
  <si>
    <t>월</t>
    <phoneticPr fontId="1" type="noConversion"/>
  </si>
  <si>
    <t>연도</t>
    <phoneticPr fontId="14" type="noConversion"/>
  </si>
  <si>
    <t>완료</t>
    <phoneticPr fontId="3" type="noConversion"/>
  </si>
  <si>
    <t>미배속</t>
    <phoneticPr fontId="3" type="noConversion"/>
  </si>
  <si>
    <t>차호 제거</t>
  </si>
  <si>
    <t>배속</t>
  </si>
  <si>
    <t>시흥</t>
  </si>
  <si>
    <t>울산</t>
  </si>
  <si>
    <t>이문</t>
  </si>
  <si>
    <t>구로</t>
  </si>
  <si>
    <t>분당</t>
  </si>
  <si>
    <t>총합계</t>
  </si>
  <si>
    <t>배속</t>
    <phoneticPr fontId="3" type="noConversion"/>
  </si>
  <si>
    <t>미제출</t>
    <phoneticPr fontId="3" type="noConversion"/>
  </si>
  <si>
    <t>초동조사제출</t>
    <phoneticPr fontId="3" type="noConversion"/>
  </si>
  <si>
    <t>합계</t>
    <phoneticPr fontId="3" type="noConversion"/>
  </si>
  <si>
    <t>초동조사 제출대상건</t>
    <phoneticPr fontId="3" type="noConversion"/>
  </si>
  <si>
    <r>
      <t xml:space="preserve">총건수
</t>
    </r>
    <r>
      <rPr>
        <sz val="9"/>
        <color theme="1"/>
        <rFont val="맑은 고딕"/>
        <family val="3"/>
        <charset val="129"/>
        <scheme val="minor"/>
      </rPr>
      <t>#276이후</t>
    </r>
    <phoneticPr fontId="3" type="noConversion"/>
  </si>
  <si>
    <t>오픈이슈 등록 담당자</t>
    <phoneticPr fontId="3" type="noConversion"/>
  </si>
  <si>
    <t>제출 여부</t>
  </si>
  <si>
    <t>개수 : 배속</t>
  </si>
  <si>
    <t>삭제건 제출일 기록</t>
    <phoneticPr fontId="3" type="noConversion"/>
  </si>
  <si>
    <t>5/11~7/14 샘플 모니터링
7/20~8/31 전편성 확대적용
2023-06-16 이찬용 책임 TCMS쪽 아니라는 원인검토
코레일 제출 - 오재형 책임 인계</t>
    <phoneticPr fontId="3" type="noConversion"/>
  </si>
  <si>
    <t>탕정역 발차 후 지상의 PSD 열림 신호 수신되어 차량 DIR2 소자되면서 FSB 제동 체결
 -&gt; 탕정역 지상 PSD 오류로 추정 됨
 운행기록 분석 및 차상 PSD 동작시험 결과 특이사항 없음
341050편성 메탈테그, 글라스테크, RFPSD 차상장치 4호선 -&gt; 1호선 셋팅 변경</t>
    <phoneticPr fontId="3" type="noConversion"/>
  </si>
  <si>
    <t>출고점검 하면서 반대 출입문 열었더니 PSD 열림고장 현시</t>
    <phoneticPr fontId="3" type="noConversion"/>
  </si>
  <si>
    <t>PSD 점검 확인 양호</t>
    <phoneticPr fontId="3" type="noConversion"/>
  </si>
  <si>
    <t>4-2 PSD 장애로 도어등 점등 불</t>
    <phoneticPr fontId="3" type="noConversion"/>
  </si>
  <si>
    <t>PSD 조작반 수동 및 인터록 무시 후 도어등 점등 발차</t>
    <phoneticPr fontId="3" type="noConversion"/>
  </si>
  <si>
    <t>코레일(STEN)</t>
    <phoneticPr fontId="3" type="noConversion"/>
  </si>
  <si>
    <t>이진웅</t>
    <phoneticPr fontId="3" type="noConversion"/>
  </si>
  <si>
    <t>발차지시등 점등 불량</t>
    <phoneticPr fontId="3" type="noConversion"/>
  </si>
  <si>
    <t>인터록 무시 발차(6/25 동일현상 발생)</t>
    <phoneticPr fontId="3" type="noConversion"/>
  </si>
  <si>
    <t>오픈이슈번호</t>
    <phoneticPr fontId="3" type="noConversion"/>
  </si>
  <si>
    <t>통신제어연구팀
전기시스템팀</t>
    <phoneticPr fontId="3" type="noConversion"/>
  </si>
  <si>
    <t>이찬용
오재형</t>
    <phoneticPr fontId="3" type="noConversion"/>
  </si>
  <si>
    <t>신호제어연구팀
전기시스템팀</t>
    <phoneticPr fontId="3" type="noConversion"/>
  </si>
  <si>
    <t>변성환
김장배</t>
    <phoneticPr fontId="3" type="noConversion"/>
  </si>
  <si>
    <t>통신불량</t>
    <phoneticPr fontId="3" type="noConversion"/>
  </si>
  <si>
    <t>PSD 고장현시 후 소거 안됨</t>
    <phoneticPr fontId="3" type="noConversion"/>
  </si>
  <si>
    <t>PSD 상태 점검 및 리셋 양호</t>
    <phoneticPr fontId="3" type="noConversion"/>
  </si>
  <si>
    <t>2023-07-06 조양수과장 확인중(내부적 검토 진행중)(회기역 PSD지상문제)</t>
    <phoneticPr fontId="3" type="noConversion"/>
  </si>
  <si>
    <t>2023-07-06 조양수과장 확인중
(내부적 검토 진행중)(회기역 PSD지상문제)</t>
    <phoneticPr fontId="3" type="noConversion"/>
  </si>
  <si>
    <t>2023-07-06 조양수과장 확인중(내부적 검토 진행중)(탕정역 PSD지상문제)</t>
    <phoneticPr fontId="3" type="noConversion"/>
  </si>
  <si>
    <t>번호</t>
    <phoneticPr fontId="3" type="noConversion"/>
  </si>
  <si>
    <t>시스템개발팀</t>
  </si>
  <si>
    <t>팀중복 16건 임의 지정</t>
    <phoneticPr fontId="3" type="noConversion"/>
  </si>
  <si>
    <t>기계장치연구팀</t>
  </si>
  <si>
    <t>전기시스템팀</t>
  </si>
  <si>
    <t>신호제어연구팀</t>
  </si>
  <si>
    <t>의장연구팀</t>
  </si>
  <si>
    <t>전장개발팀</t>
  </si>
  <si>
    <t>주행장치개발팀</t>
  </si>
  <si>
    <t>행 레이블</t>
  </si>
  <si>
    <t>개수 : 팀</t>
  </si>
  <si>
    <t>차량 출입문이 모두 개폐 되었으나 지상 PSD 가 개폐하지 않은 것은 차량이 정위치 정차를 하지 못하여 발생 하였을 것으로 추측
원인검토중
- 로깅장치 수입부품 1개 3/20 입고 및 3/20 로깅장치 1개 제작하여 시험완료 예정(샘플), 분당선 108량(18개 편성) 잔여 편성분 로깅장치는 3/26일 이내 제작 완료 예정
- 로깅장치 장착일정 : 코레일 협의하여 3/27부터 장착토록 업무추진 계획</t>
    <phoneticPr fontId="3" type="noConversion"/>
  </si>
  <si>
    <t>PSD 지상장치 오류 현시(배방역 발차)</t>
    <phoneticPr fontId="3" type="noConversion"/>
  </si>
  <si>
    <t>PSD 통신상태 점검 양호</t>
    <phoneticPr fontId="3" type="noConversion"/>
  </si>
  <si>
    <r>
      <t xml:space="preserve">* 6/15일 회의결과 : 현차조사 진행중
</t>
    </r>
    <r>
      <rPr>
        <b/>
        <sz val="11"/>
        <color rgb="FFFF0000"/>
        <rFont val="맑은 고딕"/>
        <family val="3"/>
        <charset val="129"/>
        <scheme val="minor"/>
      </rPr>
      <t>* 7/13일 : 노선 변경차량 PSD 태그 세팅 오류 =&gt; 삭제 협의 요함</t>
    </r>
    <phoneticPr fontId="3" type="noConversion"/>
  </si>
  <si>
    <t>FSB 대방역 출발 직후 PS 동작</t>
    <phoneticPr fontId="3" type="noConversion"/>
  </si>
  <si>
    <t>PSD지상장치 장애 현시, 소거 반복</t>
    <phoneticPr fontId="3" type="noConversion"/>
  </si>
  <si>
    <t>PSD점검 및 기능상태 확인 양호</t>
    <phoneticPr fontId="3" type="noConversion"/>
  </si>
  <si>
    <t>정차 중 PSD 도어등 소등으로 상용제동 체결</t>
    <phoneticPr fontId="3" type="noConversion"/>
  </si>
  <si>
    <t>PSD 각부 점검 및 시험 양호</t>
    <phoneticPr fontId="3" type="noConversion"/>
  </si>
  <si>
    <t>DOOR등 소등 2회 비상음 송출</t>
    <phoneticPr fontId="3" type="noConversion"/>
  </si>
  <si>
    <t>출입문 점검 및 개폐시험 확인 양호</t>
    <phoneticPr fontId="3" type="noConversion"/>
  </si>
  <si>
    <t>5/11~7/14 샘플 모니터링
7/20~8/31 전편성 확대적용
2023-07-24 조치계획서 재제출</t>
    <phoneticPr fontId="3" type="noConversion"/>
  </si>
  <si>
    <t>계획 날짜</t>
    <phoneticPr fontId="3" type="noConversion"/>
  </si>
  <si>
    <t>운행기록확인 결과 차상 RF PSD장치 와치독 카운터 끊김 (영업운행 종료시 까지)
분당선 351052편성 개선 S/W 0.92 설치 후 모니터링
1주일 이후 확대 적용 예정 (23.08.04 ~ )</t>
    <phoneticPr fontId="3" type="noConversion"/>
  </si>
  <si>
    <t>PSD 개선</t>
    <phoneticPr fontId="3" type="noConversion"/>
  </si>
  <si>
    <t xml:space="preserve">탕정 발차 후 역향 불가(마스콘키 PSD 접촉 상태 확인) </t>
  </si>
  <si>
    <t>SIV</t>
  </si>
  <si>
    <t>신호</t>
  </si>
  <si>
    <t>판토그래프</t>
  </si>
  <si>
    <t>C/I</t>
  </si>
  <si>
    <t>출입문</t>
  </si>
  <si>
    <t>배전반</t>
  </si>
  <si>
    <t>대차</t>
  </si>
  <si>
    <t>공압</t>
  </si>
  <si>
    <t>TCMS</t>
  </si>
  <si>
    <t>제어장치</t>
  </si>
  <si>
    <t>밸브</t>
  </si>
  <si>
    <t>운전실</t>
  </si>
  <si>
    <t>주변압기</t>
  </si>
  <si>
    <t>점퍼케이블</t>
  </si>
  <si>
    <t>견인전동기</t>
  </si>
  <si>
    <t>냉난방</t>
  </si>
  <si>
    <t>제동</t>
  </si>
  <si>
    <t>등구류</t>
  </si>
  <si>
    <t>TM</t>
  </si>
  <si>
    <t>차체</t>
  </si>
  <si>
    <t>무전기</t>
  </si>
  <si>
    <t>엔코더</t>
  </si>
  <si>
    <t>행선 표시기</t>
  </si>
  <si>
    <t>ADCG</t>
  </si>
  <si>
    <t>PSD</t>
  </si>
  <si>
    <t>방송장치</t>
  </si>
  <si>
    <t>화재감지기</t>
  </si>
  <si>
    <t>공기조화</t>
  </si>
  <si>
    <t>차상 PSD</t>
  </si>
  <si>
    <t>ATC</t>
  </si>
  <si>
    <t>ACB</t>
  </si>
  <si>
    <t>CBM</t>
  </si>
  <si>
    <t>램프</t>
  </si>
  <si>
    <t>객실</t>
  </si>
  <si>
    <t>충전기</t>
  </si>
  <si>
    <t>CM</t>
  </si>
  <si>
    <t>통로문</t>
  </si>
  <si>
    <t>주간제어기</t>
  </si>
  <si>
    <t>의자</t>
  </si>
  <si>
    <t>표시기 장치</t>
  </si>
  <si>
    <t>확인불가</t>
  </si>
  <si>
    <t>소화기</t>
  </si>
  <si>
    <t>와이퍼</t>
  </si>
  <si>
    <t>MCB</t>
  </si>
  <si>
    <t>연결기</t>
  </si>
  <si>
    <t>베터리박스</t>
  </si>
  <si>
    <t>DCU</t>
  </si>
  <si>
    <t>옥상</t>
  </si>
  <si>
    <t>ECU</t>
  </si>
  <si>
    <t>c/i</t>
  </si>
  <si>
    <t>분석대상건수: 원인검토 실적(G) 완료 필터, 원인(H) 삭제 제외 필터, 
경과일(K) #N/A,(필드값없음) 필터</t>
    <phoneticPr fontId="3" type="noConversion"/>
  </si>
  <si>
    <t>분석대상건수: 원인검토 실적(G) 완료 필터
신조차 구분(J) 기타 제외 필터, 경과일(K) #N/A제외 필터</t>
    <phoneticPr fontId="3" type="noConversion"/>
  </si>
  <si>
    <t>개수 : 장치</t>
  </si>
  <si>
    <t>열 레이블</t>
  </si>
  <si>
    <t>128R 불량 트랜드 분석(상세원인검토서 제출건)_(장치:밸브)</t>
    <phoneticPr fontId="3" type="noConversion"/>
  </si>
  <si>
    <t>448R 트랜드 분석 (상세원인검토서 제출건)_(장치:밸브)</t>
    <phoneticPr fontId="3" type="noConversion"/>
  </si>
  <si>
    <t>PSD 지상장치 고장</t>
    <phoneticPr fontId="3" type="noConversion"/>
  </si>
  <si>
    <t>PSD 카드 점검 양호</t>
    <phoneticPr fontId="3" type="noConversion"/>
  </si>
  <si>
    <t>차량 출발 후 TC2 PSD장치와 탕정역 지상장치와 무선연결로 인한 고장
23.6.13 차상PSD장치, 메탈테그,글라스테그 정보 확인
탕정역 지속 발생 역사</t>
    <phoneticPr fontId="3" type="noConversion"/>
  </si>
  <si>
    <t>탕정역 지상PSD건 상세원인검토제출
05-04 오재형 책임(#516제외 송부)
2023-07-06 조양수과장 확인중
(내부적 검토 진행중)(탕정역 PSD지상문제)
조양수 과장 PSD건 모두 진행 멈춤
-단, 탕정역,회기역등 특정구간 지상PSD건은
448량외 128량에서도 동일하게 나타나는 사유 제시하면
검토예정</t>
    <phoneticPr fontId="3" type="noConversion"/>
  </si>
  <si>
    <t>2023-07-06 조양수과장 확인중(내부적 검토 진행중)(탕정역 PSD지상문제)
조양수 과장 PSD건 모두 진행 멈춤
-단, 탕정역,회기역등 특정구간 지상PSD건은
448량외 128량에서도 동일하게 나타나는 사유 제시하면
검토예정</t>
    <phoneticPr fontId="3" type="noConversion"/>
  </si>
  <si>
    <t>차상PSD</t>
    <phoneticPr fontId="3" type="noConversion"/>
  </si>
  <si>
    <t>353, 487, 501, 512, 516, 696, 731, 925</t>
    <phoneticPr fontId="3" type="noConversion"/>
  </si>
  <si>
    <t>800, 814</t>
    <phoneticPr fontId="3" type="noConversion"/>
  </si>
  <si>
    <t>금정역 발차 직후 도어등 소등</t>
    <phoneticPr fontId="3" type="noConversion"/>
  </si>
  <si>
    <t>출입문 총괄 시험 및 PSD 시험 양호</t>
    <phoneticPr fontId="3" type="noConversion"/>
  </si>
  <si>
    <t>STEN</t>
    <phoneticPr fontId="3" type="noConversion"/>
  </si>
  <si>
    <t>제작사
1개 업체 지정</t>
    <phoneticPr fontId="3" type="noConversion"/>
  </si>
  <si>
    <t>연구소 팀 하나 지정</t>
    <phoneticPr fontId="3" type="noConversion"/>
  </si>
  <si>
    <r>
      <t xml:space="preserve">분류
</t>
    </r>
    <r>
      <rPr>
        <sz val="10"/>
        <color theme="1"/>
        <rFont val="맑은 고딕"/>
        <family val="3"/>
        <charset val="129"/>
        <scheme val="minor"/>
      </rPr>
      <t>(코레일 기입건)</t>
    </r>
    <phoneticPr fontId="3" type="noConversion"/>
  </si>
  <si>
    <r>
      <t xml:space="preserve">처리사업소
</t>
    </r>
    <r>
      <rPr>
        <sz val="10"/>
        <color theme="1"/>
        <rFont val="맑은 고딕"/>
        <family val="3"/>
        <charset val="129"/>
        <scheme val="minor"/>
      </rPr>
      <t>(코레일 기입건)</t>
    </r>
    <phoneticPr fontId="3" type="noConversion"/>
  </si>
  <si>
    <t>미분류</t>
    <phoneticPr fontId="3" type="noConversion"/>
  </si>
  <si>
    <t>미분류 2건</t>
    <phoneticPr fontId="3" type="noConversion"/>
  </si>
  <si>
    <t>인터콘/STEN</t>
    <phoneticPr fontId="3" type="noConversion"/>
  </si>
  <si>
    <r>
      <t xml:space="preserve">후부차(312905호) PSD 발차 제어 피드백 신호 소거로 312005호 DIR2 소자되어 역행 불가 발생
회기역 지상 PSD 통신 장애 추정 - 코레일 통보
</t>
    </r>
    <r>
      <rPr>
        <b/>
        <sz val="9"/>
        <color rgb="FFFF0000"/>
        <rFont val="맑은 고딕"/>
        <family val="3"/>
        <charset val="129"/>
        <scheme val="minor"/>
      </rPr>
      <t xml:space="preserve">(회기역 지상 PSD 장치 문제 ===&gt; 초동조사 결과 제출 및 삭제협의 요함)
</t>
    </r>
    <r>
      <rPr>
        <b/>
        <sz val="10"/>
        <color rgb="FF0000FF"/>
        <rFont val="맑은 고딕"/>
        <family val="3"/>
        <charset val="129"/>
        <scheme val="minor"/>
      </rPr>
      <t xml:space="preserve">&lt;5/2일 회의 결과&gt;
코레일에 초동조사 보고사 작성하여 제출 및 삭제 요청하였으나 추가 데이터 요구로 차량 TCMS운행 데이터 당사 연구소로 송부하여(5/2일), 데이터 분석 내용 추가하여 코레일 제출(5/4)하여 협의 예정
&lt;5/15일 회의 결과&gt;
삭제 추심 요함 (회기,병점, 탕정) ==== 11건 조양수 과장에게 오재형 책임이 송부하였음
</t>
    </r>
    <r>
      <rPr>
        <b/>
        <sz val="10"/>
        <color rgb="FFFF0000"/>
        <rFont val="맑은 고딕"/>
        <family val="3"/>
        <charset val="129"/>
        <scheme val="minor"/>
      </rPr>
      <t>&lt;7/24일&gt; 지상문제 삭제 지속 추심 (차상장치측 문제 종결시 지상문제 삭제하겠다는 차량처 담당자 의견)
※ 회기, 대방, 병점, 탕정, 분당선(서울숲)</t>
    </r>
    <phoneticPr fontId="3" type="noConversion"/>
  </si>
  <si>
    <t>발차중 RF장치 오동작</t>
    <phoneticPr fontId="3" type="noConversion"/>
  </si>
  <si>
    <t>PSD 리셋 및 출입문 시험 확인 양호</t>
    <phoneticPr fontId="3" type="noConversion"/>
  </si>
  <si>
    <t>아산역 발차중 PSD 도어등 1개 소등</t>
    <phoneticPr fontId="3" type="noConversion"/>
  </si>
  <si>
    <t>PSD 도어등 점검 양호</t>
    <phoneticPr fontId="3" type="noConversion"/>
  </si>
  <si>
    <t>팀중복 6건 임의 지정</t>
    <phoneticPr fontId="3" type="noConversion"/>
  </si>
  <si>
    <t>STEN
(유진기공-참고)</t>
    <phoneticPr fontId="3" type="noConversion"/>
  </si>
  <si>
    <t>현대로템/STEN</t>
    <phoneticPr fontId="3" type="noConversion"/>
  </si>
  <si>
    <t>코레일/STEN</t>
    <phoneticPr fontId="3" type="noConversion"/>
  </si>
  <si>
    <t>미분류</t>
  </si>
  <si>
    <t>DU</t>
  </si>
  <si>
    <t>냉방장치</t>
  </si>
  <si>
    <t>차상PSD</t>
  </si>
  <si>
    <t>전조등</t>
  </si>
  <si>
    <t>압축기</t>
  </si>
  <si>
    <t>PCU</t>
  </si>
  <si>
    <t>-</t>
    <phoneticPr fontId="3" type="noConversion"/>
  </si>
  <si>
    <t>23.08.22 해당날짜에 아산역을 간 기록이 없음
23.08.21 17:43분경 DIR2 1초간 소자 됨</t>
    <phoneticPr fontId="3" type="noConversion"/>
  </si>
  <si>
    <t>미대상</t>
  </si>
  <si>
    <t>&lt;5/18일 회의 결과&gt; 차량 수배중
&lt;5/25일 회의 결과&gt; 현차조사 결과 출입문 자체는 정상동작, 원인 조사중 
※ PSD 채터링 문제 가능성 추정
&lt;6/8일 회의결과&gt; PSD DIR 채터링 문제로 확인됨
＊9/11 회의결과: #337 동일</t>
    <phoneticPr fontId="3" type="noConversion"/>
  </si>
  <si>
    <t>* 5/12일 현차조사 및 로그데이터 분석 결과 0호차 RF장치 채터링 확인(STEN社 로그 데이터 수집)
* 5/22일 회의결과 : 
* 5/30일 회의결과 : 문제 재발 차량
＊9/11 회의결과: #337 동일</t>
    <phoneticPr fontId="3" type="noConversion"/>
  </si>
  <si>
    <r>
      <t xml:space="preserve">* 7/17일 : 차량 수배중
* 7/24일 : 금일 조사 예정
* 8/7일 : PSD 고장 사항으로 확인됨 (초동조사 보고서 제출 완료)
* 8/14일 : 기존 문제와 동일 통신고장 사항 -- 원인검토서에 번호 추가
</t>
    </r>
    <r>
      <rPr>
        <sz val="8"/>
        <color rgb="FF3333FF"/>
        <rFont val="맑은 고딕"/>
        <family val="3"/>
        <charset val="129"/>
        <scheme val="minor"/>
      </rPr>
      <t>＊9/11 회의결과: #337 동일</t>
    </r>
    <phoneticPr fontId="3" type="noConversion"/>
  </si>
  <si>
    <r>
      <t xml:space="preserve">* 6/26일: 신속 현차조사 요함
* 7/17일 : 조사 진행중
</t>
    </r>
    <r>
      <rPr>
        <b/>
        <sz val="10"/>
        <color rgb="FFFF0000"/>
        <rFont val="맑은 고딕"/>
        <family val="3"/>
        <charset val="129"/>
        <scheme val="minor"/>
      </rPr>
      <t>* 7/24, 8/14, 9/4일 : 초동조사 결과 지상문제로 추정됨_삭제 요청 요함(연구소 로그 검토후)</t>
    </r>
    <phoneticPr fontId="3" type="noConversion"/>
  </si>
  <si>
    <t>삭제 협의중</t>
    <phoneticPr fontId="3" type="noConversion"/>
  </si>
  <si>
    <t>늦어지는 이유</t>
    <phoneticPr fontId="3" type="noConversion"/>
  </si>
  <si>
    <t>열번 미입력</t>
    <phoneticPr fontId="3" type="noConversion"/>
  </si>
  <si>
    <t>종결대기</t>
    <phoneticPr fontId="3" type="noConversion"/>
  </si>
  <si>
    <t>지상 PSD</t>
    <phoneticPr fontId="3" type="noConversion"/>
  </si>
  <si>
    <r>
      <rPr>
        <sz val="1"/>
        <color theme="1"/>
        <rFont val="맑은 고딕"/>
        <family val="3"/>
        <charset val="129"/>
        <scheme val="minor"/>
      </rPr>
      <t xml:space="preserve">&lt;4/10일 회의결과&gt;
* 로깅장치 제작완료 : 7개 편성 설치완료(과천안산선3개, 분당선 4개), 잔여 2개편성(금일 설치 예정)
* 1차 로그 수집(4/9일)해서 당사 연구소로 송부(4/9) 및 4/11일 로그분석 결과를 토대로 SW개선방안과 
일정을 (향후 조치계획서) 당사로 제출, 4/13일 코레일과 대전에서 협의 예정
=&gt; SW 5개(수정_장애발생 이력 차량), 4개(미수정) 설치해서 모니터링 1주간 실시하여 이상 없을 경우
     전편성 확대적용 예정(코레일 협의결과에 따라 일정 변경)
* 분당선 108량 3510445호 편성 고장 6회 반복 : 차량 수배하여 다른 문제점 유무 현차조사 즉시 실시 요함
&lt;4/17일 회의결과&gt;
1) 로깅장치 설치 완료, 1차(4/6일), 2차(4/11) 분석결과 토대로 4/13일 코레일과 조치 계획서 협의
    (SW확대적용 50% 적용후 일정기간 모니터링후 전체적용 계획)
    - Software 설계문서 : 설계승인 대상 문서중 승인 누락된 것이 있었다(5종: SQAP, SWRS, OSTR 등)
      → 코레일에서 누락된 문서제출 요구 (3개월 정도 소요 예상)
2) 금주내 STEN社 최종 원인검토보고서(조치일정계획 포함) 당사 연구소로 제출 예정 : ~4/21
    - 통신장애, Relay 채터링 문제 개선 및 노이즈 필터 보완
3) 분당선 108량 3510445호 편성 고장 6회 반복 
    =&gt; 분석결과 : 12분간 장치 작동불능 상태에 빠짐 (금번 SW개선방안 적용시 해결가능_STEN社
    =&gt; Detail한 분석 내용과 대책을 당사 연구소로 제출하였음
</t>
    </r>
    <r>
      <rPr>
        <b/>
        <sz val="1"/>
        <color rgb="FF0000FF"/>
        <rFont val="맑은 고딕"/>
        <family val="3"/>
        <charset val="129"/>
        <scheme val="minor"/>
      </rPr>
      <t xml:space="preserve">&lt;4/24일 회의 결과&gt;
* 원인검토서 보완하여 당사 연구소로 제출 완료(4/24일)
  → 코레일 원인검토서 제출 예정(4/24일) 및 협의 신속 추진 : ~ 4/28
&lt;5/2일 회의 결과&gt;
* 원인검토서 코레일과 협의완료(와치독 중복으로 충돌, NOISE 필터는 별도 진행)
- 금주 목요일(5/4) 시뮬레이터로 테스트 실시하고 결과 제출(5/9)후
  즉시 현차적용 모니터링 하기로 협의함(로깅장치 설치된 4개편성 적용, 2개월 : ~7/14일)
&lt;5/8일 회의결과&gt;
* SW개선방안 시뮬레이터 테스트 완료(5/4일 : 이상없음) 
   ----- 설계검토회 결과 및 시험결과보고서 코레일 제출 및 모니터링 방안 협의 예정(5/9일)
&lt;5/15일 회의 결과&gt;
* 5/11일부 SW 0.9버전으로 분당선 44편성, 52편성에 현차적용완료,  과천안산선 48호, 경인선 10호 편성 
  추가 적용하여 2개월 모니터링(5/11~ 7/14 : 2개월 모니터링) =&gt; 이후 전편성 확대적용
</t>
    </r>
    <r>
      <rPr>
        <b/>
        <sz val="1"/>
        <color rgb="FFFF0000"/>
        <rFont val="맑은 고딕"/>
        <family val="3"/>
        <charset val="129"/>
        <scheme val="minor"/>
      </rPr>
      <t xml:space="preserve">※ 분당선 52편성 SW Update한 후 채터링 발생(로깅장치 데이터 분석 즉시 실시하여 개선방안 적용 요함)
&lt;5/22일 회의결과&gt;
* 원분석 결과 연구소에 송부完, 입력/출력 전원부 모니터링 SW 준비完
   - 원인: 와치독 리셋 시간이 시험실 조건보다 길게 발생(시험실 0.1 → 차량 0.5초)
   - 대책 : 프로그램 리부팅 시간 0.5초 이내 필요(TCMS와 통신 시간 기준)
              =&gt; DS1832S 와치독 소자 펌웨어 시간 조정, 와차독 3번 리부팅, 리부팅시 CPU 데이터 클리닝
* 입출력 전원 모니터링해서 전원 필터 선정하여 적용 검토 예정
&lt;5/30일 회의결과&gt;
* 전원 모니터링 장치 수배중, 문서 제출 및 적용 예정 : ~6/12
* SW 개선방안_원인분석 내용 부족으로 코레일에 원인검토서 제출하지 못함
  → 작동중 CPU가 중단되는 문제점에 대한 원인분석이 부족하며 리셋만의 대책은 수용 어려움
  → 원인검토서 보완하여 재제출 요함 : ~6/2
&lt;6/2일 회의결과&gt;
* 전원 모니터링 장치 선정完, 문서 제출 및 적용 예정 : ~6/12 (전원 입력100V, 출력5V 노이즈 모니터링)
  → 파워업체: 오리엔탈전자에 기술지원 협조 요청함 (6/7~6/8일: 시뮬레이터로 DC-DC컨버터 테스트 예정)
  ※ 23년간 동일설계이나 부품의 소자/회로 변경이 있는 확인 필요 
      (CPU전압_2.83V 강하 원인 검토 필요---2.64V 미만시 문제)
      Derating 현상 유무 온도챔버 에이징 테스트 요함(차량전원 110V 이상 없으면 SMPS 문제)
  ※ RF 장치 사양변경 : 128량 B버전, 448량 C버전(로그 기능, TCMS 통신기능)
  ※ CPU 단종으로 변경 : STM 32F730 → STM 32F429 (SMPS 및 CPU DATA SHEET 제공 요함_STEN社)
* SW 개선방안_원인분석 내용 부족으로 코레일에 원인검토서 제출하지 못함
  → 작동중 CPU가 중단되는 문제점에 대한 원인분석이 부족하며 리셋만의 대책은 수용 어려움
  → 원인검토서 보완하여 재제출 요함 : ~6/9
&lt;6/12일 회의결과&gt;
* 파워업체와 검토 실시 : 이전과 BOM 변경된 사항은 없음, 문제 현상 정보 오리엔탈전자에 제공하였으나 문제 없다는 답변
* 원인검토서(현차 추가 모니터링을 제안을 위한 용도) 당사 연구소로 제출 : ~6/12
* 전자품질팀에서 STEN사 방문하여 시험 및 협의 예정 : 6/13
&lt;6/19일 회의결과&gt;
* 원인검토서(현차 추가 모니터링을 제안을 위한 용도) 당사 연구소로 제출 완료(6/12)
   → 연구소 요청 보완자료 제출 예정 -- 6/23일 코레일에 보완검토서 제출 예정* 모니터링 SW 및 장치 사전 준비하여 코레일 협의 완료시 즉시 적용토록 준비 요함* 485 통신라인의 신호라인 접지가 아닌 FRAME에 접지가 되어있음.
&lt;6/26일&gt;
* 7/4일 코레일 엔지니어링 센터와 협의 예정(추가 모니터링 장치 및 SW 설치) : 로템,광역차량서, 로템,우진산전
  → 전압 모니터링 장치 선정 완료 및 수급 2주 소요, 모니터링 SW 준비중
</t>
    </r>
    <r>
      <rPr>
        <b/>
        <sz val="1"/>
        <color rgb="FF3333FF"/>
        <rFont val="맑은 고딕"/>
        <family val="3"/>
        <charset val="129"/>
        <scheme val="minor"/>
      </rPr>
      <t>&lt;7/3일 회의결과&gt;
* 추가 모니터링 장치 및 SW 설치하기로 협의完(6/27일)_연구소와 코레일 협의-----세부진행계획 7/4일 협의 예정
 - 전압모니터링 장치 (미국) 금주내 입고 예정(2개 편성), Software(Ver. 0.9) 준비完  → 설치 : 차주중 즉시 실시
 - Hardware 내부 케이블 EMC BRAID 전편성 적용 예정 (모니터링중 미적용/적용 구분하여 모니터링)</t>
    </r>
    <r>
      <rPr>
        <b/>
        <sz val="9"/>
        <color rgb="FF3333FF"/>
        <rFont val="맑은 고딕"/>
        <family val="3"/>
        <charset val="129"/>
        <scheme val="minor"/>
      </rPr>
      <t xml:space="preserve">
</t>
    </r>
    <r>
      <rPr>
        <b/>
        <sz val="8"/>
        <color rgb="FF3333FF"/>
        <rFont val="맑은 고딕"/>
        <family val="3"/>
        <charset val="129"/>
        <scheme val="minor"/>
      </rPr>
      <t>&lt;7/10일, 7/17일, 7/24일 회의결과&gt;
* 448량 SW(Ver. 0.92) 전체 편성 설치계획(7/3일 코레일 회의 결과) : 7/10~7/31 (CS에서 작업계획서 코레일로 제출)
=&gt;설계검토회의(7/12일)_오재형, 정세현, 이성규/김광진 : 설치요청서(SE팀)__7/11일 RIDS에 등록完(등록시 전자우편으로 협력사에 통보됨), 협력사 작업계획서 당사 연구소로 제출(7/12일) =&gt; 차량처 의견 재확인후 순차적 설치 추진
=&gt; 광역운영처 회의록(490만 언급), 차량처 회의록 입수(금주 전편성 설치작업 착수)
* 1개 편성 전원 모니터링 장치 설치(분당선 52편성)하여 모니터링 예정(2주간) : 즉시 설치
&lt;8/7일 회의결과&gt; * SW(0.92) 및 전원 모니터링 장치 1개편성 설치하여 1주간 모니터링 결과 장애사항 미발생
  - 5V, 24V 문제 없음// 100V전원 확인 필요 ,  - 금주부터 SW 전편성 확대 적용 착수
&lt;8/14일 회의결과&gt; 분당선 9개 편성 확대적용 완료</t>
    </r>
    <r>
      <rPr>
        <b/>
        <sz val="3"/>
        <color rgb="FF3333FF"/>
        <rFont val="맑은 고딕"/>
        <family val="3"/>
        <charset val="129"/>
        <scheme val="minor"/>
      </rPr>
      <t xml:space="preserve">
</t>
    </r>
    <r>
      <rPr>
        <b/>
        <sz val="8"/>
        <color rgb="FF3333FF"/>
        <rFont val="맑은 고딕"/>
        <family val="3"/>
        <charset val="129"/>
        <scheme val="minor"/>
      </rPr>
      <t>&lt;8/25일 회의결과&gt; 10/52 편성적용完 → 신속한 조치를 위해 담당자 추가배치(총 2명) 요청</t>
    </r>
    <r>
      <rPr>
        <b/>
        <sz val="9"/>
        <color rgb="FF3333FF"/>
        <rFont val="맑은 고딕"/>
        <family val="3"/>
        <charset val="129"/>
        <scheme val="minor"/>
      </rPr>
      <t xml:space="preserve">
</t>
    </r>
    <r>
      <rPr>
        <b/>
        <sz val="9"/>
        <color rgb="FFFF0000"/>
        <rFont val="맑은 고딕"/>
        <family val="3"/>
        <charset val="129"/>
        <scheme val="minor"/>
      </rPr>
      <t>&lt;8/28일 회의결과&gt;15/52 편성完 (~9/11일)_ 금주부터 추가 인원투입 예정
&lt;9/4일&gt; 17/52개 편성 完 (차주중 완료 예정)--- 현재까지 문제 미발생
&lt;9/18일&gt; 34/52개 편성 --- 현재까지 문제 미발생</t>
    </r>
    <phoneticPr fontId="3" type="noConversion"/>
  </si>
  <si>
    <r>
      <t xml:space="preserve">&lt;6/8일 회의결과&gt; 신속 현차조사 요함
&lt;6/15일 회의결과&gt;로그 데이터 분석 및 조사 진행중, 탕정역 PSD 열림 로그
&lt;6/20일 회의결과&gt; 조사진행중
</t>
    </r>
    <r>
      <rPr>
        <b/>
        <sz val="10"/>
        <color rgb="FFFF0000"/>
        <rFont val="맑은 고딕"/>
        <family val="3"/>
        <charset val="129"/>
        <scheme val="minor"/>
      </rPr>
      <t>&lt;6/27일 회의결과&gt; PSD 사항 (탕정역, 고질반복구간 사항) --- 삭제요청 요함
&lt;9/18일&gt; 삭제요청 요함</t>
    </r>
    <phoneticPr fontId="3" type="noConversion"/>
  </si>
  <si>
    <r>
      <t xml:space="preserve">* 6/26일:  신속 현차조사 요함
</t>
    </r>
    <r>
      <rPr>
        <b/>
        <sz val="9"/>
        <color rgb="FFFF0000"/>
        <rFont val="맑은 고딕"/>
        <family val="3"/>
        <charset val="129"/>
        <scheme val="minor"/>
      </rPr>
      <t>* 7/17, 8/14, 9/4, 9/18일 : 초동조사 결과__ 기지내 사항(RF장치 없음)__ 삭제요청 요함</t>
    </r>
    <phoneticPr fontId="3" type="noConversion"/>
  </si>
  <si>
    <r>
      <t xml:space="preserve">&lt;7/6일&gt; 신속 현차조사 요함
</t>
    </r>
    <r>
      <rPr>
        <b/>
        <sz val="10"/>
        <color rgb="FF3333FF"/>
        <rFont val="맑은 고딕"/>
        <family val="3"/>
        <charset val="129"/>
        <scheme val="minor"/>
      </rPr>
      <t>&lt;7/24&gt; PSD 사항으로 추정됨 (추가 조사중)
&lt;8/7, 8/14일&gt; 800번과 동일 역사에서 발생되어 지상문제로 추정되어 확인후 삭제 요청 예정
&lt;9/18일&gt; 삭제요청 요함</t>
    </r>
    <phoneticPr fontId="3" type="noConversion"/>
  </si>
  <si>
    <r>
      <t xml:space="preserve">* 운행기록 확인후 삭제 요청 요함
* 7/24일 : 병점차량 차량수배중
 - 지상장치 오류, TCMS SW, 노선변경 오류, RF모뎀이 없는 역사의 경우 등의 문제로 인한 문제 발생 가능하므로 로그 데이터 검토 필요함
* 8/7일 : 운행로그 데이터 확보 완료, 검토후 초동조사 보고서 제출 예정(~8/8)
</t>
    </r>
    <r>
      <rPr>
        <b/>
        <sz val="8"/>
        <color rgb="FFFF0000"/>
        <rFont val="맑은 고딕"/>
        <family val="3"/>
        <charset val="129"/>
        <scheme val="minor"/>
      </rPr>
      <t>* 8/14일 : 초동조사 보고서 및 운행로그 데이터 연구소 송부하여 검토하도록 조치 요함 (지상신호 문제로 추정되나 검토 필요) : CS, 연구소
* 9/4일 : 상기사항 신속 조치 요함(CS)
* 9/18일 : 운행로그 데이터 미확보</t>
    </r>
    <phoneticPr fontId="3" type="noConversion"/>
  </si>
  <si>
    <r>
      <t xml:space="preserve">* 7/20일: 신속 현차조사 요함
* 7/24일: 지상 문제로 추정됨(이문차량 _ 금일 조사 예정)
* 8/7일 : 신속 조사 요함(로그 데이터 확보하여 STEN 송부하여 검토 요함)
</t>
    </r>
    <r>
      <rPr>
        <b/>
        <sz val="9"/>
        <color rgb="FFFF0000"/>
        <rFont val="맑은 고딕"/>
        <family val="3"/>
        <charset val="129"/>
        <scheme val="minor"/>
      </rPr>
      <t>* 8/14일 : 신속 조사 요함 (로그 데이터 확보하여 연구소 및 STEN 송부하여 검토후 초동조사 보고서 제출 요함_지상신호 문제이면 삭제 요청 요함)
* 9/4일 : 상기사항 신속 조치 요함(CS)
* 9/18일 : 로그 데이터 분석결과 지상치 오신호(초동조사 보고서 제출 및 삭제 요청 요함)</t>
    </r>
    <phoneticPr fontId="3" type="noConversion"/>
  </si>
  <si>
    <r>
      <t xml:space="preserve">* 7/24일 :  차량수배중
 - 지상장치 오류, TCMS SW, 노선변경 오류, RF모뎀이 없는 역사의 경우 등의 문제로 인한 문제 발생 가능하므로 로그 데이터 검토 필요함
* 8/7일 : 신속 조사 요함
</t>
    </r>
    <r>
      <rPr>
        <b/>
        <sz val="9"/>
        <color rgb="FFFF0000"/>
        <rFont val="맑은 고딕"/>
        <family val="3"/>
        <charset val="129"/>
        <scheme val="minor"/>
      </rPr>
      <t xml:space="preserve">* 8/14일 : 신속 조사 요함 (로그 데이터 확보하여 연구소 및 STEN 송부하여 검토후 초동조사 보고서 제출 요함_지상신호 문제이면 삭제 요청 요함)
* 8/28일 : 0.92 버전 업데이트, 메탈, 글래스 태그 수정작업(~9/11) 
* 9/4일, 9/18일 :  상기사항 신속 조치 요함(CS) </t>
    </r>
    <phoneticPr fontId="3" type="noConversion"/>
  </si>
  <si>
    <r>
      <t xml:space="preserve">* 7/24일 :  차량수배중(금일 병점기지 입고 예정)
* 8/7일 : 로그 데이터 검토중
</t>
    </r>
    <r>
      <rPr>
        <b/>
        <sz val="8"/>
        <color rgb="FFFF0000"/>
        <rFont val="맑은 고딕"/>
        <family val="3"/>
        <charset val="129"/>
        <scheme val="minor"/>
      </rPr>
      <t xml:space="preserve">* 8/14일 : 신속 조사 요함 (로그 데이터 확보하여 연구소 및 STEN 송부하여 검토후 초동조사 보고서 제출 요함_지상신호 문제이면 삭제 요청 요함)
* 8/28, 9/4일 : 상기사항 신속 조치 요함(CS)
</t>
    </r>
    <r>
      <rPr>
        <b/>
        <sz val="8"/>
        <color rgb="FF3333FF"/>
        <rFont val="맑은 고딕"/>
        <family val="3"/>
        <charset val="129"/>
        <scheme val="minor"/>
      </rPr>
      <t>* 9/18일 :  8/9일 Software update, TCMS 고장로그 미확보</t>
    </r>
    <phoneticPr fontId="3" type="noConversion"/>
  </si>
  <si>
    <r>
      <t xml:space="preserve">* 8/17일 : 신속 조사 요함
* 8/28일 : DIR2 문제 추정됨, 고장데이터 분석中, 초동보고서 (국내, 9/6일)
</t>
    </r>
    <r>
      <rPr>
        <b/>
        <sz val="12"/>
        <color rgb="FFFF0000"/>
        <rFont val="맑은 고딕"/>
        <family val="3"/>
        <charset val="129"/>
        <scheme val="minor"/>
      </rPr>
      <t>* 9/14일, 9/18일 : 신속 조사 요함</t>
    </r>
    <phoneticPr fontId="3" type="noConversion"/>
  </si>
  <si>
    <r>
      <t xml:space="preserve">&lt;8/11일&gt; 지상신호 오류 추정
</t>
    </r>
    <r>
      <rPr>
        <b/>
        <sz val="8"/>
        <color rgb="FFFF0000"/>
        <rFont val="맑은 고딕"/>
        <family val="3"/>
        <charset val="129"/>
        <scheme val="minor"/>
      </rPr>
      <t>&lt;8/14일&gt; : 신속 조사 요함 (로그 데이터 확보하여 연구소 및 STEN 송부하여 검토후 초동조사 보고서 제출 요함</t>
    </r>
    <r>
      <rPr>
        <b/>
        <sz val="10"/>
        <color rgb="FFFF0000"/>
        <rFont val="맑은 고딕"/>
        <family val="3"/>
        <charset val="129"/>
        <scheme val="minor"/>
      </rPr>
      <t>_지상신호 문제이면 삭제 요청 요함</t>
    </r>
    <r>
      <rPr>
        <b/>
        <sz val="8"/>
        <color rgb="FFFF0000"/>
        <rFont val="맑은 고딕"/>
        <family val="3"/>
        <charset val="129"/>
        <scheme val="minor"/>
      </rPr>
      <t xml:space="preserve">)
</t>
    </r>
    <r>
      <rPr>
        <b/>
        <sz val="11"/>
        <color rgb="FFFF0000"/>
        <rFont val="맑은 고딕"/>
        <family val="3"/>
        <charset val="129"/>
        <scheme val="minor"/>
      </rPr>
      <t>&lt;8/28, 9/4일, 9/18일&gt;: 상기사항 신속 조치 요함(CS), 로그데이터 검토결과 고장기록이 없음(삭제요청 요함)</t>
    </r>
    <phoneticPr fontId="3" type="noConversion"/>
  </si>
  <si>
    <r>
      <t xml:space="preserve">* 8/14일 : 신속 조사해서 삭제 요청 요함
</t>
    </r>
    <r>
      <rPr>
        <b/>
        <sz val="11"/>
        <color rgb="FFFF0000"/>
        <rFont val="맑은 고딕"/>
        <family val="3"/>
        <charset val="129"/>
        <scheme val="minor"/>
      </rPr>
      <t>* 9/18일 : 신속 조사행서 지상장치 문제이면 삭제요청 요함
※ SW update: 8/9일</t>
    </r>
    <phoneticPr fontId="3" type="noConversion"/>
  </si>
  <si>
    <r>
      <rPr>
        <b/>
        <sz val="8"/>
        <color rgb="FF3333FF"/>
        <rFont val="맑은 고딕"/>
        <family val="3"/>
        <charset val="129"/>
        <scheme val="minor"/>
      </rPr>
      <t>&lt;8/14일&gt; : 신속 조사 요함 (로그 데이터 확보하여 연구소 및 STEN 송부하여 검토후 초동조사 보고서 제출 요함_지상신호 문제이면 삭제 요청 요함)
&lt;8/28일&gt; : 지상문제로 추정됨</t>
    </r>
    <r>
      <rPr>
        <b/>
        <sz val="8"/>
        <color rgb="FFFF0000"/>
        <rFont val="맑은 고딕"/>
        <family val="3"/>
        <charset val="129"/>
        <scheme val="minor"/>
      </rPr>
      <t xml:space="preserve">
</t>
    </r>
    <r>
      <rPr>
        <b/>
        <sz val="10"/>
        <color rgb="FFFF0000"/>
        <rFont val="맑은 고딕"/>
        <family val="3"/>
        <charset val="129"/>
        <scheme val="minor"/>
      </rPr>
      <t xml:space="preserve">&lt;9/4일&gt; : 초동조사 결과 미달정차로 정차위치 수정중 발생사항(취급오류) ---삭제요청 요함
</t>
    </r>
    <r>
      <rPr>
        <b/>
        <sz val="12"/>
        <color rgb="FFFF0000"/>
        <rFont val="맑은 고딕"/>
        <family val="3"/>
        <charset val="129"/>
        <scheme val="minor"/>
      </rPr>
      <t>&lt;9/18&gt; 초동조사 보고서 제출 완료 및 삭제 추심중</t>
    </r>
    <phoneticPr fontId="3" type="noConversion"/>
  </si>
  <si>
    <r>
      <t xml:space="preserve">&lt;9/4일&gt; 신속 조사 요함
</t>
    </r>
    <r>
      <rPr>
        <b/>
        <sz val="12"/>
        <color rgb="FFFF0000"/>
        <rFont val="맑은 고딕"/>
        <family val="3"/>
        <charset val="129"/>
        <scheme val="minor"/>
      </rPr>
      <t>&lt;9/18일&gt;운행기록 확보 --- Glass Tag 오류(1호선에 배치되면서 세팅되지 않음) 
--- 초동조사 보고서에 근거자료 첨부하여 삭제요청 요함(1041번 포함, CS)</t>
    </r>
    <phoneticPr fontId="3" type="noConversion"/>
  </si>
  <si>
    <r>
      <t xml:space="preserve">&lt;9/4일&gt; 신속 조사 요함
</t>
    </r>
    <r>
      <rPr>
        <b/>
        <sz val="11"/>
        <color rgb="FFFF0000"/>
        <rFont val="맑은 고딕"/>
        <family val="3"/>
        <charset val="129"/>
        <scheme val="minor"/>
      </rPr>
      <t>&lt;9/18일&gt; DIR2 소자로 인한 도어 등 소등  -- 로그 데이터 STEN 송부 및 분석 요함, RF ID SETTING도 점검요함</t>
    </r>
    <phoneticPr fontId="3" type="noConversion"/>
  </si>
  <si>
    <t>187, 224, 269, 319, 324,
 337, 363, 398, 402, 410, 412, 418, 476, 478, 496, 593, 619, 843</t>
    <phoneticPr fontId="3" type="noConversion"/>
  </si>
  <si>
    <t>종결 187기준
10/10 회의자료
변경필요건</t>
    <phoneticPr fontId="3" type="noConversion"/>
  </si>
  <si>
    <t>삭제협의중 유형</t>
    <phoneticPr fontId="3" type="noConversion"/>
  </si>
  <si>
    <t>지상</t>
    <phoneticPr fontId="3" type="noConversion"/>
  </si>
  <si>
    <t>오취급</t>
    <phoneticPr fontId="3" type="noConversion"/>
  </si>
  <si>
    <t>448량</t>
    <phoneticPr fontId="3" type="noConversion"/>
  </si>
  <si>
    <t>128량</t>
    <phoneticPr fontId="3" type="noConversion"/>
  </si>
  <si>
    <t>기타 사유입력</t>
    <phoneticPr fontId="3" type="noConversion"/>
  </si>
  <si>
    <t>운행기록 미확보</t>
    <phoneticPr fontId="3" type="noConversion"/>
  </si>
  <si>
    <t>미확보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</si>
</sst>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 #,##0_-;_-* &quot;-&quot;_-;_-@_-"/>
    <numFmt numFmtId="176" formatCode="yy&quot;-&quot;m&quot;-&quot;d;@"/>
    <numFmt numFmtId="178" formatCode="0;[Red]0"/>
    <numFmt numFmtId="179" formatCode="\K######"/>
    <numFmt numFmtId="180" formatCode="0.0%"/>
    <numFmt numFmtId="181" formatCode="0_);[Red]\(0\)"/>
    <numFmt numFmtId="182" formatCode="0&quot;개&quot;"/>
    <numFmt numFmtId="183" formatCode="0&quot;세&quot;&quot;트&quot;"/>
  </numFmts>
  <fonts count="69" x14ac:knownFonts="1">
    <font>
      <sz val="11"/>
      <color theme="1"/>
      <name val="맑은 고딕"/>
      <family val="2"/>
      <charset val="129"/>
      <scheme val="minor"/>
    </font>
    <font>
      <sz val="11"/>
      <color theme="1"/>
      <name val="맑은 고딕"/>
      <family val="2"/>
      <charset val="129"/>
      <scheme val="minor"/>
    </font>
    <font>
      <sz val="11"/>
      <color rgb="FFFF0000"/>
      <name val="맑은 고딕"/>
      <family val="2"/>
      <charset val="129"/>
      <scheme val="minor"/>
    </font>
    <font>
      <sz val="8"/>
      <name val="맑은 고딕"/>
      <family val="2"/>
      <charset val="129"/>
      <scheme val="minor"/>
    </font>
    <font>
      <sz val="8"/>
      <color theme="1"/>
      <name val="맑은 고딕"/>
      <family val="2"/>
      <charset val="129"/>
      <scheme val="minor"/>
    </font>
    <font>
      <sz val="8"/>
      <color theme="1"/>
      <name val="맑은 고딕"/>
      <family val="3"/>
      <charset val="129"/>
      <scheme val="minor"/>
    </font>
    <font>
      <u/>
      <sz val="11"/>
      <color theme="10"/>
      <name val="맑은 고딕"/>
      <family val="2"/>
      <charset val="129"/>
      <scheme val="minor"/>
    </font>
    <font>
      <sz val="8"/>
      <name val="맑은 고딕"/>
      <family val="3"/>
      <charset val="129"/>
      <scheme val="minor"/>
    </font>
    <font>
      <sz val="10"/>
      <color theme="1"/>
      <name val="맑은 고딕"/>
      <family val="3"/>
      <charset val="129"/>
      <scheme val="minor"/>
    </font>
    <font>
      <sz val="11"/>
      <color theme="1"/>
      <name val="맑은 고딕"/>
      <family val="3"/>
      <charset val="129"/>
      <scheme val="minor"/>
    </font>
    <font>
      <b/>
      <sz val="8"/>
      <color rgb="FFFF0000"/>
      <name val="맑은 고딕"/>
      <family val="3"/>
      <charset val="129"/>
      <scheme val="minor"/>
    </font>
    <font>
      <sz val="12"/>
      <color theme="1"/>
      <name val="맑은 고딕"/>
      <family val="3"/>
      <charset val="129"/>
      <scheme val="minor"/>
    </font>
    <font>
      <sz val="22"/>
      <color theme="1"/>
      <name val="맑은 고딕"/>
      <family val="3"/>
      <charset val="129"/>
      <scheme val="minor"/>
    </font>
    <font>
      <sz val="14"/>
      <color theme="1"/>
      <name val="맑은 고딕"/>
      <family val="3"/>
      <charset val="129"/>
      <scheme val="minor"/>
    </font>
    <font>
      <sz val="10"/>
      <color theme="1"/>
      <name val="맑은 고딕"/>
      <family val="2"/>
      <charset val="129"/>
      <scheme val="minor"/>
    </font>
    <font>
      <sz val="8"/>
      <color rgb="FFFF0000"/>
      <name val="맑은 고딕"/>
      <family val="3"/>
      <charset val="129"/>
      <scheme val="minor"/>
    </font>
    <font>
      <sz val="9"/>
      <color theme="1"/>
      <name val="맑은 고딕"/>
      <family val="3"/>
      <charset val="129"/>
      <scheme val="minor"/>
    </font>
    <font>
      <sz val="11"/>
      <name val="돋움"/>
      <family val="3"/>
      <charset val="129"/>
    </font>
    <font>
      <sz val="10"/>
      <name val="돋움"/>
      <family val="3"/>
      <charset val="129"/>
    </font>
    <font>
      <sz val="8"/>
      <name val="돋움"/>
      <family val="3"/>
      <charset val="129"/>
    </font>
    <font>
      <sz val="10"/>
      <color theme="1"/>
      <name val="돋움"/>
      <family val="3"/>
      <charset val="129"/>
    </font>
    <font>
      <b/>
      <sz val="8"/>
      <color theme="1"/>
      <name val="맑은 고딕"/>
      <family val="3"/>
      <charset val="129"/>
      <scheme val="minor"/>
    </font>
    <font>
      <b/>
      <sz val="16"/>
      <name val="돋움"/>
      <family val="3"/>
      <charset val="129"/>
    </font>
    <font>
      <b/>
      <sz val="26"/>
      <color theme="1"/>
      <name val="맑은 고딕"/>
      <family val="3"/>
      <charset val="129"/>
      <scheme val="minor"/>
    </font>
    <font>
      <strike/>
      <sz val="8"/>
      <color theme="1"/>
      <name val="맑은 고딕"/>
      <family val="3"/>
      <charset val="129"/>
      <scheme val="minor"/>
    </font>
    <font>
      <strike/>
      <sz val="8"/>
      <name val="맑은 고딕"/>
      <family val="3"/>
      <charset val="129"/>
      <scheme val="minor"/>
    </font>
    <font>
      <sz val="6"/>
      <color theme="1"/>
      <name val="맑은 고딕"/>
      <family val="3"/>
      <charset val="129"/>
      <scheme val="minor"/>
    </font>
    <font>
      <b/>
      <sz val="14"/>
      <color theme="1"/>
      <name val="맑은 고딕"/>
      <family val="3"/>
      <charset val="129"/>
      <scheme val="minor"/>
    </font>
    <font>
      <sz val="9"/>
      <name val="맑은 고딕"/>
      <family val="3"/>
      <charset val="129"/>
      <scheme val="minor"/>
    </font>
    <font>
      <sz val="16"/>
      <color theme="1"/>
      <name val="맑은 고딕"/>
      <family val="3"/>
      <charset val="129"/>
    </font>
    <font>
      <sz val="8"/>
      <color rgb="FF002060"/>
      <name val="맑은 고딕"/>
      <family val="3"/>
      <charset val="129"/>
      <scheme val="minor"/>
    </font>
    <font>
      <strike/>
      <sz val="8"/>
      <color rgb="FF002060"/>
      <name val="맑은 고딕"/>
      <family val="3"/>
      <charset val="129"/>
      <scheme val="minor"/>
    </font>
    <font>
      <b/>
      <sz val="12"/>
      <color theme="1"/>
      <name val="맑은 고딕"/>
      <family val="3"/>
      <charset val="129"/>
      <scheme val="minor"/>
    </font>
    <font>
      <sz val="10"/>
      <name val="맑은 고딕"/>
      <family val="3"/>
      <charset val="129"/>
      <scheme val="minor"/>
    </font>
    <font>
      <b/>
      <sz val="10"/>
      <color rgb="FF0000FF"/>
      <name val="맑은 고딕"/>
      <family val="3"/>
      <charset val="129"/>
      <scheme val="minor"/>
    </font>
    <font>
      <sz val="10"/>
      <color rgb="FFFF0000"/>
      <name val="맑은 고딕"/>
      <family val="3"/>
      <charset val="129"/>
      <scheme val="minor"/>
    </font>
    <font>
      <strike/>
      <sz val="10"/>
      <color theme="1"/>
      <name val="맑은 고딕"/>
      <family val="3"/>
      <charset val="129"/>
      <scheme val="minor"/>
    </font>
    <font>
      <b/>
      <sz val="10"/>
      <color rgb="FFFF0000"/>
      <name val="맑은 고딕"/>
      <family val="3"/>
      <charset val="129"/>
      <scheme val="minor"/>
    </font>
    <font>
      <b/>
      <sz val="10"/>
      <name val="맑은 고딕"/>
      <family val="3"/>
      <charset val="129"/>
      <scheme val="minor"/>
    </font>
    <font>
      <strike/>
      <sz val="10"/>
      <name val="맑은 고딕"/>
      <family val="3"/>
      <charset val="129"/>
      <scheme val="minor"/>
    </font>
    <font>
      <sz val="8"/>
      <color rgb="FF0000FF"/>
      <name val="맑은 고딕"/>
      <family val="3"/>
      <charset val="129"/>
      <scheme val="minor"/>
    </font>
    <font>
      <b/>
      <sz val="9"/>
      <color rgb="FFFF0000"/>
      <name val="맑은 고딕"/>
      <family val="3"/>
      <charset val="129"/>
      <scheme val="minor"/>
    </font>
    <font>
      <b/>
      <sz val="11"/>
      <color rgb="FFFF0000"/>
      <name val="맑은 고딕"/>
      <family val="3"/>
      <charset val="129"/>
      <scheme val="minor"/>
    </font>
    <font>
      <b/>
      <sz val="12"/>
      <color rgb="FFFF0000"/>
      <name val="맑은 고딕"/>
      <family val="3"/>
      <charset val="129"/>
      <scheme val="minor"/>
    </font>
    <font>
      <b/>
      <sz val="9"/>
      <color rgb="FF0000CC"/>
      <name val="맑은 고딕"/>
      <family val="3"/>
      <charset val="129"/>
      <scheme val="minor"/>
    </font>
    <font>
      <sz val="1"/>
      <color theme="1"/>
      <name val="맑은 고딕"/>
      <family val="3"/>
      <charset val="129"/>
      <scheme val="minor"/>
    </font>
    <font>
      <b/>
      <sz val="1"/>
      <color rgb="FF0000FF"/>
      <name val="맑은 고딕"/>
      <family val="3"/>
      <charset val="129"/>
      <scheme val="minor"/>
    </font>
    <font>
      <b/>
      <sz val="11"/>
      <color rgb="FF0000CC"/>
      <name val="맑은 고딕"/>
      <family val="3"/>
      <charset val="129"/>
      <scheme val="minor"/>
    </font>
    <font>
      <sz val="11"/>
      <color indexed="8"/>
      <name val="맑은 고딕"/>
      <family val="2"/>
      <scheme val="minor"/>
    </font>
    <font>
      <sz val="16"/>
      <color indexed="8"/>
      <name val="현대하모니 M"/>
      <family val="1"/>
      <charset val="129"/>
    </font>
    <font>
      <sz val="8"/>
      <color indexed="8"/>
      <name val="맑은 고딕"/>
      <family val="2"/>
      <scheme val="minor"/>
    </font>
    <font>
      <b/>
      <sz val="10"/>
      <color indexed="8"/>
      <name val="맑은 고딕"/>
      <family val="3"/>
      <charset val="129"/>
      <scheme val="minor"/>
    </font>
    <font>
      <sz val="8"/>
      <color indexed="8"/>
      <name val="맑은 고딕"/>
      <family val="3"/>
      <charset val="129"/>
      <scheme val="minor"/>
    </font>
    <font>
      <b/>
      <sz val="11"/>
      <color indexed="8"/>
      <name val="맑은 고딕"/>
      <family val="3"/>
      <charset val="129"/>
      <scheme val="minor"/>
    </font>
    <font>
      <sz val="11"/>
      <color indexed="8"/>
      <name val="맑은 고딕"/>
      <family val="3"/>
      <charset val="129"/>
      <scheme val="minor"/>
    </font>
    <font>
      <sz val="9"/>
      <color indexed="8"/>
      <name val="맑은 고딕"/>
      <family val="3"/>
      <charset val="129"/>
      <scheme val="minor"/>
    </font>
    <font>
      <b/>
      <sz val="9"/>
      <color indexed="8"/>
      <name val="맑은 고딕"/>
      <family val="3"/>
      <charset val="129"/>
      <scheme val="minor"/>
    </font>
    <font>
      <sz val="9"/>
      <color indexed="8"/>
      <name val="맑은 고딕"/>
      <family val="2"/>
      <scheme val="minor"/>
    </font>
    <font>
      <sz val="16"/>
      <color theme="1"/>
      <name val="맑은 고딕"/>
      <family val="3"/>
      <charset val="129"/>
      <scheme val="minor"/>
    </font>
    <font>
      <b/>
      <sz val="1"/>
      <color rgb="FFFF0000"/>
      <name val="맑은 고딕"/>
      <family val="3"/>
      <charset val="129"/>
      <scheme val="minor"/>
    </font>
    <font>
      <b/>
      <sz val="9"/>
      <color rgb="FF3333FF"/>
      <name val="맑은 고딕"/>
      <family val="3"/>
      <charset val="129"/>
      <scheme val="minor"/>
    </font>
    <font>
      <b/>
      <sz val="8"/>
      <color rgb="FF3333FF"/>
      <name val="맑은 고딕"/>
      <family val="3"/>
      <charset val="129"/>
      <scheme val="minor"/>
    </font>
    <font>
      <b/>
      <sz val="10"/>
      <color rgb="FF3333FF"/>
      <name val="맑은 고딕"/>
      <family val="3"/>
      <charset val="129"/>
      <scheme val="minor"/>
    </font>
    <font>
      <sz val="8"/>
      <color rgb="FF3333FF"/>
      <name val="맑은 고딕"/>
      <family val="3"/>
      <charset val="129"/>
      <scheme val="minor"/>
    </font>
    <font>
      <b/>
      <sz val="1"/>
      <color rgb="FF3333FF"/>
      <name val="맑은 고딕"/>
      <family val="3"/>
      <charset val="129"/>
      <scheme val="minor"/>
    </font>
    <font>
      <sz val="14"/>
      <color theme="1"/>
      <name val="현대하모니 M"/>
      <family val="1"/>
      <charset val="129"/>
    </font>
    <font>
      <sz val="12"/>
      <color theme="1"/>
      <name val="현대하모니 M"/>
      <family val="1"/>
      <charset val="129"/>
    </font>
    <font>
      <sz val="16"/>
      <color theme="1"/>
      <name val="현대하모니 L"/>
      <family val="1"/>
      <charset val="129"/>
    </font>
    <font>
      <b/>
      <sz val="3"/>
      <color rgb="FF3333FF"/>
      <name val="맑은 고딕"/>
      <family val="3"/>
      <charset val="129"/>
      <scheme val="minor"/>
    </font>
  </fonts>
  <fills count="2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6600"/>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9FFCC"/>
        <bgColor indexed="64"/>
      </patternFill>
    </fill>
    <fill>
      <patternFill patternType="solid">
        <fgColor rgb="FF00B0F0"/>
        <bgColor indexed="64"/>
      </patternFill>
    </fill>
    <fill>
      <patternFill patternType="solid">
        <fgColor theme="8" tint="0.59999389629810485"/>
        <bgColor indexed="64"/>
      </patternFill>
    </fill>
    <fill>
      <patternFill patternType="solid">
        <fgColor rgb="FFF2F8EE"/>
        <bgColor indexed="64"/>
      </patternFill>
    </fill>
    <fill>
      <patternFill patternType="solid">
        <fgColor rgb="FFFFFFCC"/>
        <bgColor indexed="64"/>
      </patternFill>
    </fill>
  </fills>
  <borders count="81">
    <border>
      <left/>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diagonal/>
    </border>
    <border>
      <left/>
      <right style="thin">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theme="0" tint="-0.34998626667073579"/>
      </left>
      <right style="thin">
        <color indexed="64"/>
      </right>
      <top style="thin">
        <color theme="0" tint="-0.34998626667073579"/>
      </top>
      <bottom style="thin">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theme="0" tint="-0.34998626667073579"/>
      </right>
      <top style="thin">
        <color indexed="64"/>
      </top>
      <bottom/>
      <diagonal/>
    </border>
    <border>
      <left style="thin">
        <color theme="0" tint="-0.34998626667073579"/>
      </left>
      <right style="thin">
        <color theme="0" tint="-0.34998626667073579"/>
      </right>
      <top style="thin">
        <color indexed="64"/>
      </top>
      <bottom/>
      <diagonal/>
    </border>
    <border>
      <left style="thin">
        <color indexed="64"/>
      </left>
      <right style="thin">
        <color theme="0" tint="-0.34998626667073579"/>
      </right>
      <top/>
      <bottom style="thin">
        <color indexed="64"/>
      </bottom>
      <diagonal/>
    </border>
    <border>
      <left style="thin">
        <color theme="0" tint="-0.34998626667073579"/>
      </left>
      <right style="thin">
        <color theme="0" tint="-0.34998626667073579"/>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thin">
        <color theme="0" tint="-0.34998626667073579"/>
      </left>
      <right/>
      <top/>
      <bottom style="thin">
        <color auto="1"/>
      </bottom>
      <diagonal/>
    </border>
    <border>
      <left style="thin">
        <color theme="0" tint="-0.34998626667073579"/>
      </left>
      <right/>
      <top style="thin">
        <color auto="1"/>
      </top>
      <bottom/>
      <diagonal/>
    </border>
    <border>
      <left style="thin">
        <color theme="0" tint="-0.34998626667073579"/>
      </left>
      <right/>
      <top style="thin">
        <color theme="0" tint="-0.34998626667073579"/>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right/>
      <top/>
      <bottom style="medium">
        <color auto="1"/>
      </bottom>
      <diagonal/>
    </border>
    <border>
      <left style="thin">
        <color theme="0" tint="-0.34998626667073579"/>
      </left>
      <right/>
      <top style="medium">
        <color indexed="64"/>
      </top>
      <bottom/>
      <diagonal/>
    </border>
    <border>
      <left style="thin">
        <color theme="0" tint="-0.34998626667073579"/>
      </left>
      <right/>
      <top/>
      <bottom style="medium">
        <color auto="1"/>
      </bottom>
      <diagonal/>
    </border>
    <border>
      <left/>
      <right style="thin">
        <color theme="0" tint="-0.34998626667073579"/>
      </right>
      <top/>
      <bottom style="medium">
        <color auto="1"/>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indexed="64"/>
      </left>
      <right style="thin">
        <color indexed="64"/>
      </right>
      <top style="thin">
        <color indexed="64"/>
      </top>
      <bottom style="thick">
        <color indexed="64"/>
      </bottom>
      <diagonal/>
    </border>
    <border>
      <left/>
      <right/>
      <top/>
      <bottom style="thick">
        <color indexed="64"/>
      </bottom>
      <diagonal/>
    </border>
    <border>
      <left style="thin">
        <color indexed="64"/>
      </left>
      <right style="thin">
        <color indexed="64"/>
      </right>
      <top style="thick">
        <color indexed="64"/>
      </top>
      <bottom style="thin">
        <color indexed="64"/>
      </bottom>
      <diagonal/>
    </border>
    <border>
      <left/>
      <right/>
      <top style="thick">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indexed="64"/>
      </right>
      <top style="thick">
        <color indexed="64"/>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style="hair">
        <color auto="1"/>
      </right>
      <top style="hair">
        <color auto="1"/>
      </top>
      <bottom style="thin">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style="hair">
        <color auto="1"/>
      </left>
      <right style="thin">
        <color auto="1"/>
      </right>
      <top style="hair">
        <color auto="1"/>
      </top>
      <bottom/>
      <diagonal/>
    </border>
    <border>
      <left style="thin">
        <color auto="1"/>
      </left>
      <right style="hair">
        <color auto="1"/>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style="thin">
        <color auto="1"/>
      </bottom>
      <diagonal/>
    </border>
    <border>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bottom/>
      <diagonal/>
    </border>
    <border>
      <left style="thin">
        <color auto="1"/>
      </left>
      <right style="hair">
        <color auto="1"/>
      </right>
      <top style="hair">
        <color auto="1"/>
      </top>
      <bottom style="thin">
        <color auto="1"/>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s>
  <cellStyleXfs count="10">
    <xf numFmtId="0" fontId="0" fillId="0" borderId="0">
      <alignment vertical="center"/>
    </xf>
    <xf numFmtId="9"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7" fillId="0" borderId="0">
      <alignment vertical="center"/>
    </xf>
    <xf numFmtId="0" fontId="1" fillId="0" borderId="0">
      <alignment vertical="center"/>
    </xf>
    <xf numFmtId="0" fontId="9" fillId="0" borderId="0">
      <alignment vertical="center"/>
    </xf>
    <xf numFmtId="0" fontId="1" fillId="0" borderId="0">
      <alignment vertical="center"/>
    </xf>
    <xf numFmtId="41" fontId="1" fillId="0" borderId="0" applyFont="0" applyFill="0" applyBorder="0" applyAlignment="0" applyProtection="0">
      <alignment vertical="center"/>
    </xf>
    <xf numFmtId="0" fontId="48" fillId="0" borderId="0">
      <alignment vertical="center"/>
    </xf>
  </cellStyleXfs>
  <cellXfs count="495">
    <xf numFmtId="0" fontId="0" fillId="0" borderId="0" xfId="0">
      <alignment vertical="center"/>
    </xf>
    <xf numFmtId="0" fontId="5" fillId="0" borderId="2" xfId="0" applyFont="1" applyBorder="1" applyAlignment="1">
      <alignment horizontal="center" vertical="center"/>
    </xf>
    <xf numFmtId="0" fontId="5"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2" xfId="0" applyFont="1" applyFill="1" applyBorder="1" applyAlignment="1">
      <alignment horizontal="left" vertical="center"/>
    </xf>
    <xf numFmtId="0" fontId="12" fillId="0" borderId="0" xfId="0" applyFont="1">
      <alignment vertical="center"/>
    </xf>
    <xf numFmtId="0" fontId="7" fillId="0" borderId="16" xfId="2" applyFont="1" applyFill="1" applyBorder="1" applyAlignment="1">
      <alignment horizontal="center" vertical="center" wrapText="1"/>
    </xf>
    <xf numFmtId="14" fontId="7" fillId="0" borderId="2" xfId="0" applyNumberFormat="1" applyFont="1" applyFill="1" applyBorder="1" applyAlignment="1">
      <alignment horizontal="center" vertical="center"/>
    </xf>
    <xf numFmtId="0" fontId="5" fillId="0" borderId="2" xfId="0" quotePrefix="1" applyFont="1" applyFill="1" applyBorder="1" applyAlignment="1">
      <alignment horizontal="center" vertical="center"/>
    </xf>
    <xf numFmtId="0" fontId="5" fillId="4" borderId="2" xfId="0" applyFont="1" applyFill="1" applyBorder="1" applyAlignment="1">
      <alignment horizontal="center" vertical="center"/>
    </xf>
    <xf numFmtId="14" fontId="5" fillId="0" borderId="2" xfId="0" applyNumberFormat="1" applyFont="1" applyFill="1" applyBorder="1" applyAlignment="1">
      <alignment horizontal="center" vertical="center"/>
    </xf>
    <xf numFmtId="0" fontId="5" fillId="0" borderId="16" xfId="0" applyFont="1" applyFill="1" applyBorder="1" applyAlignment="1">
      <alignment horizontal="center" vertical="center"/>
    </xf>
    <xf numFmtId="0" fontId="5" fillId="0" borderId="16" xfId="0" applyFont="1" applyFill="1" applyBorder="1" applyAlignment="1">
      <alignment horizontal="center" vertical="center" wrapText="1"/>
    </xf>
    <xf numFmtId="0" fontId="5" fillId="2" borderId="16" xfId="0" applyFont="1" applyFill="1" applyBorder="1" applyAlignment="1">
      <alignment horizontal="center" vertical="center"/>
    </xf>
    <xf numFmtId="14" fontId="5" fillId="0" borderId="2" xfId="0" applyNumberFormat="1" applyFont="1" applyBorder="1" applyAlignment="1">
      <alignment horizontal="center" vertical="center"/>
    </xf>
    <xf numFmtId="0" fontId="5" fillId="0" borderId="2" xfId="0" applyFont="1" applyBorder="1">
      <alignment vertical="center"/>
    </xf>
    <xf numFmtId="0" fontId="18" fillId="0" borderId="0" xfId="4" applyFont="1">
      <alignment vertical="center"/>
    </xf>
    <xf numFmtId="0" fontId="18" fillId="5" borderId="2" xfId="4" applyFont="1" applyFill="1" applyBorder="1" applyAlignment="1">
      <alignment horizontal="center" vertical="center"/>
    </xf>
    <xf numFmtId="0" fontId="20" fillId="5" borderId="2" xfId="5" applyFont="1" applyFill="1" applyBorder="1" applyAlignment="1">
      <alignment horizontal="center" vertical="center"/>
    </xf>
    <xf numFmtId="0" fontId="18" fillId="5" borderId="2" xfId="5" applyFont="1" applyFill="1" applyBorder="1" applyAlignment="1">
      <alignment horizontal="center" vertical="center"/>
    </xf>
    <xf numFmtId="0" fontId="20" fillId="0" borderId="3" xfId="5" applyFont="1" applyFill="1" applyBorder="1" applyAlignment="1">
      <alignment horizontal="center" vertical="center" wrapText="1"/>
    </xf>
    <xf numFmtId="176" fontId="20" fillId="0" borderId="3" xfId="5" applyNumberFormat="1" applyFont="1" applyFill="1" applyBorder="1" applyAlignment="1">
      <alignment horizontal="center" vertical="center"/>
    </xf>
    <xf numFmtId="178" fontId="20" fillId="0" borderId="3" xfId="5" applyNumberFormat="1" applyFont="1" applyFill="1" applyBorder="1" applyAlignment="1">
      <alignment horizontal="center" vertical="center"/>
    </xf>
    <xf numFmtId="0" fontId="18" fillId="3" borderId="3" xfId="5" applyFont="1" applyFill="1" applyBorder="1" applyAlignment="1">
      <alignment horizontal="center" vertical="center" wrapText="1"/>
    </xf>
    <xf numFmtId="176" fontId="18" fillId="3" borderId="3" xfId="5" applyNumberFormat="1" applyFont="1" applyFill="1" applyBorder="1" applyAlignment="1">
      <alignment horizontal="center" vertical="center" wrapText="1"/>
    </xf>
    <xf numFmtId="178" fontId="18" fillId="3" borderId="3" xfId="5" applyNumberFormat="1" applyFont="1" applyFill="1" applyBorder="1" applyAlignment="1">
      <alignment horizontal="center" vertical="center" wrapText="1"/>
    </xf>
    <xf numFmtId="0" fontId="18" fillId="0" borderId="3" xfId="5" applyFont="1" applyFill="1" applyBorder="1" applyAlignment="1">
      <alignment horizontal="center" vertical="center" wrapText="1"/>
    </xf>
    <xf numFmtId="176" fontId="18" fillId="0" borderId="3" xfId="5" applyNumberFormat="1" applyFont="1" applyFill="1" applyBorder="1" applyAlignment="1">
      <alignment horizontal="center" vertical="center" wrapText="1"/>
    </xf>
    <xf numFmtId="178" fontId="18" fillId="0" borderId="3" xfId="5" applyNumberFormat="1" applyFont="1" applyFill="1" applyBorder="1" applyAlignment="1">
      <alignment horizontal="center" vertical="center" wrapText="1"/>
    </xf>
    <xf numFmtId="0" fontId="18" fillId="0" borderId="0" xfId="4" applyFont="1" applyFill="1">
      <alignment vertical="center"/>
    </xf>
    <xf numFmtId="0" fontId="20" fillId="0" borderId="2" xfId="5" applyFont="1" applyFill="1" applyBorder="1" applyAlignment="1">
      <alignment horizontal="center" vertical="center" wrapText="1"/>
    </xf>
    <xf numFmtId="176" fontId="20" fillId="0" borderId="2" xfId="5" applyNumberFormat="1" applyFont="1" applyFill="1" applyBorder="1" applyAlignment="1">
      <alignment horizontal="center" vertical="center"/>
    </xf>
    <xf numFmtId="178" fontId="20" fillId="0" borderId="2" xfId="5" applyNumberFormat="1" applyFont="1" applyFill="1" applyBorder="1" applyAlignment="1">
      <alignment horizontal="center" vertical="center"/>
    </xf>
    <xf numFmtId="0" fontId="18" fillId="3" borderId="2" xfId="5" applyFont="1" applyFill="1" applyBorder="1" applyAlignment="1">
      <alignment horizontal="center" vertical="center" wrapText="1"/>
    </xf>
    <xf numFmtId="176" fontId="18" fillId="3" borderId="2" xfId="5" applyNumberFormat="1" applyFont="1" applyFill="1" applyBorder="1" applyAlignment="1">
      <alignment horizontal="center" vertical="center" wrapText="1"/>
    </xf>
    <xf numFmtId="178" fontId="18" fillId="3" borderId="2" xfId="5" applyNumberFormat="1" applyFont="1" applyFill="1" applyBorder="1" applyAlignment="1">
      <alignment horizontal="center" vertical="center" wrapText="1"/>
    </xf>
    <xf numFmtId="0" fontId="18" fillId="0" borderId="2" xfId="5" applyFont="1" applyFill="1" applyBorder="1" applyAlignment="1">
      <alignment horizontal="center" vertical="center" wrapText="1"/>
    </xf>
    <xf numFmtId="176" fontId="18" fillId="0" borderId="2" xfId="5" applyNumberFormat="1" applyFont="1" applyFill="1" applyBorder="1" applyAlignment="1">
      <alignment horizontal="center" vertical="center" wrapText="1"/>
    </xf>
    <xf numFmtId="178" fontId="18" fillId="0" borderId="2" xfId="5" applyNumberFormat="1" applyFont="1" applyFill="1" applyBorder="1" applyAlignment="1">
      <alignment horizontal="center" vertical="center" wrapText="1"/>
    </xf>
    <xf numFmtId="178" fontId="20" fillId="3" borderId="3" xfId="5" applyNumberFormat="1" applyFont="1" applyFill="1" applyBorder="1" applyAlignment="1">
      <alignment horizontal="center" vertical="center"/>
    </xf>
    <xf numFmtId="178" fontId="20" fillId="3" borderId="2" xfId="5" applyNumberFormat="1" applyFont="1" applyFill="1" applyBorder="1" applyAlignment="1">
      <alignment horizontal="center" vertical="center"/>
    </xf>
    <xf numFmtId="0" fontId="18" fillId="0" borderId="2" xfId="4" applyFont="1" applyBorder="1" applyAlignment="1">
      <alignment horizontal="center" vertical="center"/>
    </xf>
    <xf numFmtId="0" fontId="18" fillId="7" borderId="2" xfId="4" applyFont="1" applyFill="1" applyBorder="1" applyAlignment="1">
      <alignment horizontal="center" vertical="center"/>
    </xf>
    <xf numFmtId="0" fontId="18" fillId="0" borderId="2" xfId="4" applyFont="1" applyFill="1" applyBorder="1" applyAlignment="1">
      <alignment horizontal="center" vertical="center"/>
    </xf>
    <xf numFmtId="0" fontId="16" fillId="4" borderId="0" xfId="6" applyFont="1" applyFill="1" applyBorder="1" applyAlignment="1">
      <alignment horizontal="center" vertical="center"/>
    </xf>
    <xf numFmtId="0" fontId="16" fillId="4" borderId="0" xfId="7" applyFont="1" applyFill="1" applyBorder="1" applyAlignment="1">
      <alignment horizontal="center" vertical="center"/>
    </xf>
    <xf numFmtId="0" fontId="16" fillId="4" borderId="0" xfId="7" applyFont="1" applyFill="1" applyBorder="1" applyAlignment="1">
      <alignment horizontal="center" vertical="center" wrapText="1"/>
    </xf>
    <xf numFmtId="0" fontId="5" fillId="0" borderId="0" xfId="0" applyFont="1">
      <alignment vertical="center"/>
    </xf>
    <xf numFmtId="0" fontId="5" fillId="0" borderId="0" xfId="0" applyFont="1" applyAlignment="1">
      <alignment horizontal="center" vertical="center"/>
    </xf>
    <xf numFmtId="9" fontId="5" fillId="0" borderId="0" xfId="1" applyFont="1" applyBorder="1" applyAlignment="1">
      <alignment horizontal="center" vertical="center"/>
    </xf>
    <xf numFmtId="0" fontId="21" fillId="0" borderId="0" xfId="0" applyFont="1" applyBorder="1" applyAlignment="1">
      <alignment horizontal="center" vertical="center"/>
    </xf>
    <xf numFmtId="0" fontId="5" fillId="2" borderId="0" xfId="0" applyFont="1" applyFill="1">
      <alignment vertical="center"/>
    </xf>
    <xf numFmtId="0" fontId="5" fillId="0" borderId="25" xfId="0" applyFont="1" applyFill="1" applyBorder="1" applyAlignment="1">
      <alignment horizontal="center" vertical="center"/>
    </xf>
    <xf numFmtId="0" fontId="7" fillId="0" borderId="25" xfId="0" applyFont="1" applyFill="1" applyBorder="1" applyAlignment="1">
      <alignment horizontal="center" vertical="center"/>
    </xf>
    <xf numFmtId="0" fontId="5" fillId="0" borderId="2" xfId="0" applyFont="1" applyFill="1" applyBorder="1">
      <alignment vertical="center"/>
    </xf>
    <xf numFmtId="0" fontId="5" fillId="0" borderId="0" xfId="0" applyFont="1" applyFill="1">
      <alignment vertical="center"/>
    </xf>
    <xf numFmtId="0" fontId="7" fillId="0" borderId="2" xfId="0" applyFont="1" applyBorder="1" applyAlignment="1">
      <alignment horizontal="center" vertical="center"/>
    </xf>
    <xf numFmtId="9" fontId="5" fillId="0" borderId="0" xfId="1" applyFont="1" applyFill="1" applyBorder="1" applyAlignment="1">
      <alignment horizontal="center" vertical="center"/>
    </xf>
    <xf numFmtId="0" fontId="5" fillId="0" borderId="0" xfId="0" applyFont="1" applyFill="1" applyAlignment="1">
      <alignment horizontal="center" vertical="center"/>
    </xf>
    <xf numFmtId="0" fontId="0" fillId="0" borderId="2" xfId="0" applyBorder="1">
      <alignment vertical="center"/>
    </xf>
    <xf numFmtId="0" fontId="16" fillId="0" borderId="0" xfId="7" applyFont="1" applyFill="1" applyBorder="1" applyAlignment="1">
      <alignment horizontal="center" vertical="center"/>
    </xf>
    <xf numFmtId="0" fontId="18" fillId="0" borderId="11" xfId="5" applyFont="1" applyFill="1" applyBorder="1" applyAlignment="1">
      <alignment horizontal="center" vertical="center" wrapText="1"/>
    </xf>
    <xf numFmtId="176" fontId="18" fillId="0" borderId="11" xfId="5" applyNumberFormat="1" applyFont="1" applyFill="1" applyBorder="1" applyAlignment="1">
      <alignment horizontal="center" vertical="center" wrapText="1"/>
    </xf>
    <xf numFmtId="178" fontId="18" fillId="0" borderId="11" xfId="5" applyNumberFormat="1" applyFont="1" applyFill="1" applyBorder="1" applyAlignment="1">
      <alignment horizontal="center" vertical="center" wrapText="1"/>
    </xf>
    <xf numFmtId="178" fontId="18" fillId="0" borderId="4" xfId="5" applyNumberFormat="1" applyFont="1" applyFill="1" applyBorder="1" applyAlignment="1">
      <alignment horizontal="center" vertical="center" wrapText="1"/>
    </xf>
    <xf numFmtId="0" fontId="5" fillId="0" borderId="27" xfId="0" applyFont="1" applyFill="1" applyBorder="1" applyAlignment="1">
      <alignment horizontal="center" vertical="center" wrapText="1"/>
    </xf>
    <xf numFmtId="0" fontId="3" fillId="0" borderId="27" xfId="0" applyFont="1" applyFill="1" applyBorder="1" applyAlignment="1">
      <alignment horizontal="center" vertical="center" wrapText="1"/>
    </xf>
    <xf numFmtId="0" fontId="5" fillId="0" borderId="2" xfId="0" applyFont="1" applyBorder="1" applyAlignment="1">
      <alignment horizontal="center" vertical="center" wrapText="1"/>
    </xf>
    <xf numFmtId="0" fontId="3" fillId="0" borderId="2" xfId="0" applyFont="1" applyFill="1" applyBorder="1" applyAlignment="1">
      <alignment horizontal="center" vertical="center"/>
    </xf>
    <xf numFmtId="0" fontId="25" fillId="0" borderId="2" xfId="0" applyFont="1" applyFill="1" applyBorder="1" applyAlignment="1">
      <alignment horizontal="center" vertical="center"/>
    </xf>
    <xf numFmtId="0" fontId="24" fillId="0" borderId="2" xfId="0" applyFont="1" applyFill="1" applyBorder="1" applyAlignment="1">
      <alignment horizontal="center" vertical="center"/>
    </xf>
    <xf numFmtId="14" fontId="7" fillId="0" borderId="2" xfId="0" applyNumberFormat="1" applyFont="1" applyBorder="1" applyAlignment="1">
      <alignment horizontal="center" vertical="center"/>
    </xf>
    <xf numFmtId="0" fontId="5" fillId="0" borderId="17" xfId="0" applyFont="1" applyFill="1" applyBorder="1" applyAlignment="1">
      <alignment horizontal="center" vertical="center"/>
    </xf>
    <xf numFmtId="14" fontId="5" fillId="0" borderId="25" xfId="0" applyNumberFormat="1" applyFont="1" applyFill="1" applyBorder="1" applyAlignment="1">
      <alignment horizontal="center" vertical="center"/>
    </xf>
    <xf numFmtId="0" fontId="5" fillId="0" borderId="25"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0" fillId="0" borderId="0" xfId="0" applyBorder="1">
      <alignment vertical="center"/>
    </xf>
    <xf numFmtId="179" fontId="7" fillId="0" borderId="2" xfId="0" applyNumberFormat="1" applyFont="1" applyFill="1" applyBorder="1" applyAlignment="1">
      <alignment horizontal="center" vertical="center" shrinkToFit="1"/>
    </xf>
    <xf numFmtId="0" fontId="3" fillId="0" borderId="2"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16" xfId="0" applyFont="1" applyFill="1" applyBorder="1" applyAlignment="1">
      <alignment horizontal="center" vertical="center"/>
    </xf>
    <xf numFmtId="0" fontId="7" fillId="0" borderId="2" xfId="0" quotePrefix="1" applyFont="1" applyFill="1" applyBorder="1" applyAlignment="1">
      <alignment horizontal="center" vertical="center"/>
    </xf>
    <xf numFmtId="0" fontId="7" fillId="0" borderId="2" xfId="0" applyFont="1" applyFill="1" applyBorder="1" applyAlignment="1">
      <alignment horizontal="center" vertical="center"/>
    </xf>
    <xf numFmtId="0" fontId="7" fillId="0" borderId="16" xfId="0" applyFont="1" applyFill="1" applyBorder="1" applyAlignment="1">
      <alignment horizontal="center" vertical="center" wrapText="1"/>
    </xf>
    <xf numFmtId="0" fontId="16" fillId="0"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7" fillId="0" borderId="0" xfId="1" applyNumberFormat="1" applyFont="1" applyFill="1" applyBorder="1" applyAlignment="1">
      <alignment horizontal="center" vertical="center"/>
    </xf>
    <xf numFmtId="0" fontId="7" fillId="0" borderId="0" xfId="0" applyFont="1" applyFill="1" applyAlignment="1">
      <alignment horizontal="center" vertical="center"/>
    </xf>
    <xf numFmtId="0" fontId="7" fillId="0" borderId="2" xfId="0" applyFont="1" applyFill="1" applyBorder="1" applyAlignment="1">
      <alignment horizontal="left" vertical="center"/>
    </xf>
    <xf numFmtId="0" fontId="5" fillId="0" borderId="2" xfId="0" applyFont="1" applyBorder="1" applyAlignment="1">
      <alignment horizontal="left" vertical="center"/>
    </xf>
    <xf numFmtId="0" fontId="5" fillId="0" borderId="2" xfId="0" applyFont="1" applyBorder="1" applyAlignment="1">
      <alignment horizontal="left" vertical="center" wrapText="1"/>
    </xf>
    <xf numFmtId="0" fontId="7" fillId="0" borderId="2" xfId="0" applyFont="1" applyFill="1" applyBorder="1" applyAlignment="1">
      <alignment horizontal="left" vertical="center" shrinkToFit="1"/>
    </xf>
    <xf numFmtId="0" fontId="7" fillId="0" borderId="2" xfId="0" applyFont="1" applyBorder="1" applyAlignment="1">
      <alignment horizontal="left" vertical="center"/>
    </xf>
    <xf numFmtId="0" fontId="7" fillId="0" borderId="11" xfId="0" applyFont="1" applyFill="1" applyBorder="1" applyAlignment="1">
      <alignment horizontal="center" vertical="center"/>
    </xf>
    <xf numFmtId="0" fontId="5" fillId="0" borderId="2" xfId="0" applyFont="1" applyFill="1" applyBorder="1" applyAlignment="1">
      <alignment horizontal="left" vertical="center" shrinkToFit="1"/>
    </xf>
    <xf numFmtId="0" fontId="7" fillId="4" borderId="2" xfId="0" applyFont="1" applyFill="1" applyBorder="1" applyAlignment="1">
      <alignment horizontal="center" vertical="center"/>
    </xf>
    <xf numFmtId="0" fontId="0" fillId="0" borderId="0" xfId="0" applyAlignment="1">
      <alignment horizontal="center" vertical="center"/>
    </xf>
    <xf numFmtId="14" fontId="0" fillId="0" borderId="2" xfId="0" applyNumberFormat="1" applyBorder="1" applyAlignment="1">
      <alignment horizontal="center" vertical="center"/>
    </xf>
    <xf numFmtId="0" fontId="5" fillId="10" borderId="3" xfId="0" applyFont="1" applyFill="1" applyBorder="1" applyAlignment="1">
      <alignment horizontal="center" vertical="center"/>
    </xf>
    <xf numFmtId="181" fontId="7" fillId="0" borderId="2" xfId="0" applyNumberFormat="1" applyFont="1" applyFill="1" applyBorder="1" applyAlignment="1">
      <alignment horizontal="center" vertical="center"/>
    </xf>
    <xf numFmtId="3" fontId="5" fillId="0" borderId="25" xfId="0" applyNumberFormat="1" applyFont="1" applyFill="1" applyBorder="1" applyAlignment="1">
      <alignment horizontal="center" vertical="center" wrapText="1"/>
    </xf>
    <xf numFmtId="0" fontId="15" fillId="0" borderId="2" xfId="2" applyFont="1" applyFill="1" applyBorder="1" applyAlignment="1">
      <alignment horizontal="center" vertical="center"/>
    </xf>
    <xf numFmtId="0" fontId="4" fillId="0" borderId="2" xfId="0" applyFont="1" applyFill="1" applyBorder="1" applyAlignment="1">
      <alignment horizontal="center" vertical="center"/>
    </xf>
    <xf numFmtId="0" fontId="0" fillId="0" borderId="0" xfId="0" applyBorder="1" applyAlignment="1">
      <alignment horizontal="center" vertical="center"/>
    </xf>
    <xf numFmtId="14" fontId="7" fillId="0" borderId="2" xfId="0" applyNumberFormat="1" applyFont="1" applyFill="1" applyBorder="1" applyAlignment="1">
      <alignment horizontal="center" vertical="center" shrinkToFit="1"/>
    </xf>
    <xf numFmtId="0" fontId="0" fillId="0" borderId="0" xfId="0" applyBorder="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0" fontId="0" fillId="0" borderId="0" xfId="0" quotePrefix="1" applyBorder="1" applyAlignment="1">
      <alignment horizontal="center" vertical="center"/>
    </xf>
    <xf numFmtId="0" fontId="0" fillId="0" borderId="38" xfId="0" applyBorder="1" applyAlignment="1">
      <alignment horizontal="center" vertical="center"/>
    </xf>
    <xf numFmtId="0" fontId="0" fillId="0" borderId="38" xfId="0" quotePrefix="1" applyBorder="1" applyAlignment="1">
      <alignment horizontal="center" vertical="center"/>
    </xf>
    <xf numFmtId="0" fontId="27" fillId="0" borderId="0" xfId="0" applyFont="1" applyAlignment="1">
      <alignment horizontal="left" vertical="center"/>
    </xf>
    <xf numFmtId="0" fontId="4" fillId="6" borderId="0" xfId="0" applyFont="1" applyFill="1" applyAlignment="1">
      <alignment horizontal="center" vertical="center"/>
    </xf>
    <xf numFmtId="0" fontId="5" fillId="6" borderId="0" xfId="0" applyFont="1" applyFill="1" applyAlignment="1">
      <alignment horizontal="center" vertical="center"/>
    </xf>
    <xf numFmtId="0" fontId="5" fillId="10" borderId="0" xfId="0" applyFont="1" applyFill="1" applyAlignment="1">
      <alignment horizontal="center" vertical="center"/>
    </xf>
    <xf numFmtId="0" fontId="26" fillId="10" borderId="0" xfId="0" applyFont="1" applyFill="1" applyAlignment="1">
      <alignment horizontal="center" vertical="center" wrapText="1"/>
    </xf>
    <xf numFmtId="0" fontId="0" fillId="0" borderId="5" xfId="0" applyBorder="1" applyAlignment="1">
      <alignment horizontal="center" vertical="center"/>
    </xf>
    <xf numFmtId="0" fontId="5" fillId="10" borderId="37" xfId="0" applyFont="1" applyFill="1"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vertical="center"/>
    </xf>
    <xf numFmtId="0" fontId="9" fillId="16" borderId="0" xfId="0" applyFont="1" applyFill="1" applyAlignment="1">
      <alignment horizontal="center" vertical="center"/>
    </xf>
    <xf numFmtId="0" fontId="26" fillId="15" borderId="37" xfId="0" applyFont="1" applyFill="1" applyBorder="1" applyAlignment="1">
      <alignment horizontal="center" vertical="center"/>
    </xf>
    <xf numFmtId="0" fontId="26" fillId="15" borderId="0" xfId="0" applyFont="1" applyFill="1" applyBorder="1" applyAlignment="1">
      <alignment horizontal="center" vertical="center"/>
    </xf>
    <xf numFmtId="0" fontId="26" fillId="15" borderId="35" xfId="0" applyFont="1" applyFill="1" applyBorder="1" applyAlignment="1">
      <alignment horizontal="center" vertical="center"/>
    </xf>
    <xf numFmtId="0" fontId="0" fillId="0" borderId="35"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7" fillId="0" borderId="2" xfId="0" applyNumberFormat="1" applyFont="1" applyFill="1" applyBorder="1" applyAlignment="1">
      <alignment horizontal="center" vertical="center"/>
    </xf>
    <xf numFmtId="0" fontId="7" fillId="0" borderId="28" xfId="0" applyFont="1" applyFill="1" applyBorder="1" applyAlignment="1">
      <alignment horizontal="center" vertical="center"/>
    </xf>
    <xf numFmtId="14" fontId="0" fillId="0" borderId="0" xfId="0" applyNumberFormat="1" applyAlignment="1">
      <alignment horizontal="center" vertical="center"/>
    </xf>
    <xf numFmtId="0" fontId="7" fillId="0" borderId="2" xfId="0" quotePrefix="1" applyNumberFormat="1" applyFont="1" applyFill="1" applyBorder="1" applyAlignment="1">
      <alignment horizontal="center" vertical="center"/>
    </xf>
    <xf numFmtId="0" fontId="25" fillId="0" borderId="2" xfId="2" quotePrefix="1" applyNumberFormat="1" applyFont="1" applyFill="1" applyBorder="1" applyAlignment="1">
      <alignment horizontal="center" vertical="center"/>
    </xf>
    <xf numFmtId="0" fontId="0" fillId="0" borderId="0" xfId="0"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9" fillId="16" borderId="0" xfId="0" applyFont="1" applyFill="1" applyAlignment="1">
      <alignment horizontal="center" vertical="center" wrapText="1"/>
    </xf>
    <xf numFmtId="0" fontId="7" fillId="0" borderId="2" xfId="0" applyNumberFormat="1" applyFont="1" applyFill="1" applyBorder="1" applyAlignment="1">
      <alignment horizontal="center" vertical="center" shrinkToFit="1"/>
    </xf>
    <xf numFmtId="14" fontId="0" fillId="0" borderId="0" xfId="0" applyNumberFormat="1" applyBorder="1" applyAlignment="1">
      <alignment horizontal="center" vertical="center"/>
    </xf>
    <xf numFmtId="181" fontId="0" fillId="0" borderId="2" xfId="0" applyNumberFormat="1" applyBorder="1" applyAlignment="1">
      <alignment horizontal="center" vertical="center"/>
    </xf>
    <xf numFmtId="14" fontId="18" fillId="0" borderId="0" xfId="4" applyNumberFormat="1" applyFont="1">
      <alignment vertical="center"/>
    </xf>
    <xf numFmtId="0" fontId="18" fillId="0" borderId="0" xfId="4" applyFont="1" applyAlignment="1">
      <alignment horizontal="center" vertical="center"/>
    </xf>
    <xf numFmtId="14" fontId="18" fillId="0" borderId="0" xfId="4" applyNumberFormat="1" applyFont="1" applyAlignment="1">
      <alignment horizontal="center" vertical="center"/>
    </xf>
    <xf numFmtId="0" fontId="18" fillId="0" borderId="3" xfId="4" applyFont="1" applyBorder="1" applyAlignment="1">
      <alignment horizontal="center" vertical="center"/>
    </xf>
    <xf numFmtId="0" fontId="18" fillId="0" borderId="3" xfId="4" applyFont="1" applyFill="1" applyBorder="1" applyAlignment="1">
      <alignment horizontal="center" vertical="center"/>
    </xf>
    <xf numFmtId="0" fontId="20" fillId="0" borderId="45" xfId="5" applyFont="1" applyFill="1" applyBorder="1" applyAlignment="1">
      <alignment horizontal="center" vertical="center" wrapText="1"/>
    </xf>
    <xf numFmtId="176" fontId="20" fillId="0" borderId="45" xfId="5" applyNumberFormat="1" applyFont="1" applyFill="1" applyBorder="1" applyAlignment="1">
      <alignment horizontal="center" vertical="center"/>
    </xf>
    <xf numFmtId="178" fontId="20" fillId="0" borderId="45" xfId="5" applyNumberFormat="1" applyFont="1" applyFill="1" applyBorder="1" applyAlignment="1">
      <alignment horizontal="center" vertical="center"/>
    </xf>
    <xf numFmtId="0" fontId="18" fillId="0" borderId="45" xfId="4" applyFont="1" applyBorder="1" applyAlignment="1">
      <alignment horizontal="center" vertical="center"/>
    </xf>
    <xf numFmtId="14" fontId="18" fillId="0" borderId="46" xfId="4" applyNumberFormat="1" applyFont="1" applyBorder="1" applyAlignment="1">
      <alignment horizontal="center" vertical="center"/>
    </xf>
    <xf numFmtId="0" fontId="18" fillId="0" borderId="45" xfId="5" applyFont="1" applyFill="1" applyBorder="1" applyAlignment="1">
      <alignment horizontal="center" vertical="center" wrapText="1"/>
    </xf>
    <xf numFmtId="176" fontId="18" fillId="0" borderId="45" xfId="5" applyNumberFormat="1" applyFont="1" applyFill="1" applyBorder="1" applyAlignment="1">
      <alignment horizontal="center" vertical="center" wrapText="1"/>
    </xf>
    <xf numFmtId="178" fontId="18" fillId="0" borderId="45" xfId="5" applyNumberFormat="1" applyFont="1" applyFill="1" applyBorder="1" applyAlignment="1">
      <alignment horizontal="center" vertical="center" wrapText="1"/>
    </xf>
    <xf numFmtId="0" fontId="18" fillId="0" borderId="45" xfId="4" applyFont="1" applyFill="1" applyBorder="1" applyAlignment="1">
      <alignment horizontal="center" vertical="center"/>
    </xf>
    <xf numFmtId="0" fontId="18" fillId="0" borderId="46" xfId="4" applyFont="1" applyBorder="1" applyAlignment="1">
      <alignment horizontal="center" vertical="center"/>
    </xf>
    <xf numFmtId="0" fontId="18" fillId="3" borderId="45" xfId="5" applyFont="1" applyFill="1" applyBorder="1" applyAlignment="1">
      <alignment horizontal="center" vertical="center" wrapText="1"/>
    </xf>
    <xf numFmtId="176" fontId="18" fillId="3" borderId="45" xfId="5" applyNumberFormat="1" applyFont="1" applyFill="1" applyBorder="1" applyAlignment="1">
      <alignment horizontal="center" vertical="center" wrapText="1"/>
    </xf>
    <xf numFmtId="178" fontId="20" fillId="3" borderId="45" xfId="5" applyNumberFormat="1" applyFont="1" applyFill="1" applyBorder="1" applyAlignment="1">
      <alignment horizontal="center" vertical="center"/>
    </xf>
    <xf numFmtId="0" fontId="18" fillId="0" borderId="47" xfId="4" applyFont="1" applyBorder="1" applyAlignment="1">
      <alignment horizontal="center" vertical="center"/>
    </xf>
    <xf numFmtId="0" fontId="18" fillId="0" borderId="48" xfId="4" applyFont="1" applyBorder="1" applyAlignment="1">
      <alignment horizontal="center" vertical="center"/>
    </xf>
    <xf numFmtId="0" fontId="18" fillId="0" borderId="0" xfId="4" applyFont="1" applyBorder="1" applyAlignment="1">
      <alignment horizontal="center" vertical="center"/>
    </xf>
    <xf numFmtId="14" fontId="18" fillId="0" borderId="0" xfId="4" applyNumberFormat="1" applyFont="1" applyFill="1" applyAlignment="1">
      <alignment horizontal="center" vertical="center"/>
    </xf>
    <xf numFmtId="14" fontId="18" fillId="0" borderId="46" xfId="4" applyNumberFormat="1" applyFont="1" applyFill="1" applyBorder="1" applyAlignment="1">
      <alignment horizontal="center" vertical="center"/>
    </xf>
    <xf numFmtId="14" fontId="18" fillId="0" borderId="2" xfId="4" applyNumberFormat="1" applyFont="1" applyBorder="1" applyAlignment="1">
      <alignment horizontal="center" vertical="center"/>
    </xf>
    <xf numFmtId="182" fontId="9" fillId="0" borderId="0" xfId="0" applyNumberFormat="1" applyFont="1" applyAlignment="1">
      <alignment horizontal="center" vertical="center"/>
    </xf>
    <xf numFmtId="183" fontId="9" fillId="0" borderId="0" xfId="0" applyNumberFormat="1" applyFont="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5" fillId="0" borderId="28" xfId="0" applyFont="1" applyFill="1" applyBorder="1" applyAlignment="1">
      <alignment horizontal="center" vertical="center"/>
    </xf>
    <xf numFmtId="0" fontId="28" fillId="0" borderId="2" xfId="0" applyFont="1" applyFill="1" applyBorder="1" applyAlignment="1">
      <alignment horizontal="center" vertical="center"/>
    </xf>
    <xf numFmtId="0" fontId="5" fillId="6" borderId="2" xfId="0" applyFont="1" applyFill="1" applyBorder="1" applyAlignment="1">
      <alignment horizontal="center" vertical="center"/>
    </xf>
    <xf numFmtId="0" fontId="0" fillId="6" borderId="2" xfId="0" applyFill="1" applyBorder="1" applyAlignment="1">
      <alignment horizontal="center" vertical="center"/>
    </xf>
    <xf numFmtId="0" fontId="5" fillId="10" borderId="3" xfId="0" applyFont="1" applyFill="1" applyBorder="1" applyAlignment="1">
      <alignment horizontal="center" vertical="center"/>
    </xf>
    <xf numFmtId="179" fontId="28" fillId="0" borderId="2" xfId="0" applyNumberFormat="1" applyFont="1" applyFill="1" applyBorder="1" applyAlignment="1">
      <alignment horizontal="center" vertical="center" shrinkToFit="1"/>
    </xf>
    <xf numFmtId="181" fontId="5" fillId="0" borderId="2" xfId="0" applyNumberFormat="1" applyFont="1" applyFill="1" applyBorder="1" applyAlignment="1">
      <alignment horizontal="center" vertical="center"/>
    </xf>
    <xf numFmtId="14" fontId="5" fillId="0" borderId="2" xfId="0" applyNumberFormat="1" applyFont="1" applyFill="1" applyBorder="1" applyAlignment="1">
      <alignment horizontal="center" vertical="center" shrinkToFit="1"/>
    </xf>
    <xf numFmtId="0" fontId="5" fillId="0" borderId="2" xfId="0" applyNumberFormat="1" applyFont="1" applyFill="1" applyBorder="1" applyAlignment="1">
      <alignment horizontal="center" vertical="center" shrinkToFit="1"/>
    </xf>
    <xf numFmtId="179" fontId="16" fillId="0" borderId="2" xfId="0" applyNumberFormat="1" applyFont="1" applyFill="1" applyBorder="1" applyAlignment="1">
      <alignment horizontal="center" vertical="center" shrinkToFit="1"/>
    </xf>
    <xf numFmtId="0" fontId="16" fillId="0" borderId="2" xfId="0" applyFont="1" applyFill="1" applyBorder="1" applyAlignment="1">
      <alignment horizontal="left" vertical="center" shrinkToFit="1"/>
    </xf>
    <xf numFmtId="0" fontId="16" fillId="4" borderId="2" xfId="0" applyFont="1" applyFill="1" applyBorder="1" applyAlignment="1">
      <alignment horizontal="left" vertical="center" shrinkToFit="1"/>
    </xf>
    <xf numFmtId="14" fontId="5" fillId="0" borderId="0" xfId="0" applyNumberFormat="1" applyFont="1" applyAlignment="1">
      <alignment horizontal="center" vertical="center"/>
    </xf>
    <xf numFmtId="0" fontId="5" fillId="9" borderId="2" xfId="0" applyFont="1" applyFill="1" applyBorder="1" applyAlignment="1">
      <alignment horizontal="center" vertical="center"/>
    </xf>
    <xf numFmtId="0" fontId="5" fillId="9" borderId="16" xfId="0" applyFont="1" applyFill="1" applyBorder="1" applyAlignment="1">
      <alignment horizontal="center" vertical="center"/>
    </xf>
    <xf numFmtId="0" fontId="29" fillId="4" borderId="50" xfId="0" applyFont="1" applyFill="1" applyBorder="1" applyAlignment="1">
      <alignment horizontal="center" vertical="center"/>
    </xf>
    <xf numFmtId="0" fontId="30" fillId="0" borderId="2" xfId="0" applyFont="1" applyFill="1" applyBorder="1" applyAlignment="1">
      <alignment horizontal="center" vertical="center"/>
    </xf>
    <xf numFmtId="0" fontId="31" fillId="0" borderId="2" xfId="0" applyFont="1" applyFill="1" applyBorder="1" applyAlignment="1">
      <alignment horizontal="center" vertical="center"/>
    </xf>
    <xf numFmtId="0" fontId="0" fillId="0" borderId="0" xfId="0" applyAlignment="1">
      <alignment horizontal="center" vertical="center"/>
    </xf>
    <xf numFmtId="0" fontId="5" fillId="0" borderId="2" xfId="0" applyNumberFormat="1" applyFont="1" applyBorder="1" applyAlignment="1">
      <alignment horizontal="center" vertical="center"/>
    </xf>
    <xf numFmtId="0" fontId="0" fillId="0" borderId="48"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48" xfId="0" applyBorder="1">
      <alignment vertical="center"/>
    </xf>
    <xf numFmtId="0" fontId="0" fillId="0" borderId="0" xfId="0" applyAlignment="1">
      <alignment horizontal="center" vertical="center"/>
    </xf>
    <xf numFmtId="0" fontId="7" fillId="0" borderId="2" xfId="0" applyNumberFormat="1" applyFont="1" applyBorder="1" applyAlignment="1">
      <alignment horizontal="center" vertical="center"/>
    </xf>
    <xf numFmtId="0" fontId="0" fillId="0" borderId="0" xfId="0" applyAlignment="1">
      <alignment horizontal="center" vertical="center"/>
    </xf>
    <xf numFmtId="0" fontId="0" fillId="6" borderId="2" xfId="0" applyFill="1" applyBorder="1" applyAlignment="1">
      <alignment horizontal="center" vertical="center" wrapText="1"/>
    </xf>
    <xf numFmtId="0" fontId="0" fillId="0" borderId="0" xfId="0" applyAlignment="1">
      <alignment horizontal="center" vertical="center"/>
    </xf>
    <xf numFmtId="0" fontId="9" fillId="20" borderId="0" xfId="0" applyFont="1" applyFill="1" applyAlignment="1">
      <alignment horizontal="center" vertical="center" wrapText="1"/>
    </xf>
    <xf numFmtId="0" fontId="0" fillId="20" borderId="0" xfId="0" applyFill="1" applyAlignment="1">
      <alignment horizontal="center" vertical="center"/>
    </xf>
    <xf numFmtId="0" fontId="0" fillId="0" borderId="4" xfId="0" applyFill="1" applyBorder="1" applyAlignment="1">
      <alignment horizontal="center" vertical="center"/>
    </xf>
    <xf numFmtId="0" fontId="5" fillId="2" borderId="28" xfId="0" applyFont="1" applyFill="1" applyBorder="1" applyAlignment="1">
      <alignment horizontal="center" vertical="center"/>
    </xf>
    <xf numFmtId="0" fontId="32" fillId="19" borderId="1" xfId="0" applyFont="1" applyFill="1" applyBorder="1" applyAlignment="1">
      <alignment horizontal="center" vertical="center"/>
    </xf>
    <xf numFmtId="0" fontId="8" fillId="19" borderId="2" xfId="0" applyFont="1" applyFill="1" applyBorder="1" applyAlignment="1">
      <alignment horizontal="center" vertical="center"/>
    </xf>
    <xf numFmtId="0" fontId="11" fillId="0" borderId="5" xfId="0" applyFont="1" applyFill="1" applyBorder="1" applyAlignment="1">
      <alignment horizontal="center" vertical="center"/>
    </xf>
    <xf numFmtId="0" fontId="8" fillId="0" borderId="16" xfId="0" applyFont="1" applyFill="1" applyBorder="1" applyAlignment="1">
      <alignment horizontal="center" vertical="center"/>
    </xf>
    <xf numFmtId="179" fontId="5" fillId="0" borderId="2" xfId="0" applyNumberFormat="1" applyFont="1" applyFill="1" applyBorder="1" applyAlignment="1">
      <alignment horizontal="center" vertical="center" shrinkToFit="1"/>
    </xf>
    <xf numFmtId="0" fontId="8" fillId="19" borderId="28" xfId="0" applyFont="1" applyFill="1" applyBorder="1" applyAlignment="1">
      <alignment horizontal="center" vertical="center"/>
    </xf>
    <xf numFmtId="0" fontId="8" fillId="4" borderId="2" xfId="0" applyFont="1" applyFill="1" applyBorder="1" applyAlignment="1">
      <alignment horizontal="left" vertical="center" wrapText="1"/>
    </xf>
    <xf numFmtId="0" fontId="8" fillId="4" borderId="2" xfId="0" quotePrefix="1" applyFont="1" applyFill="1" applyBorder="1" applyAlignment="1">
      <alignment horizontal="left" vertical="center" wrapText="1"/>
    </xf>
    <xf numFmtId="0" fontId="8" fillId="0" borderId="2" xfId="0" applyFont="1" applyFill="1" applyBorder="1" applyAlignment="1">
      <alignment horizontal="left" vertical="center"/>
    </xf>
    <xf numFmtId="0" fontId="8" fillId="0" borderId="2" xfId="0" applyFont="1" applyBorder="1" applyAlignment="1">
      <alignment horizontal="center" vertical="center"/>
    </xf>
    <xf numFmtId="0" fontId="33" fillId="0" borderId="2" xfId="0" applyFont="1" applyBorder="1" applyAlignment="1">
      <alignment horizontal="center" vertical="center"/>
    </xf>
    <xf numFmtId="0" fontId="8" fillId="0" borderId="2" xfId="0" applyFont="1" applyFill="1" applyBorder="1" applyAlignment="1">
      <alignment horizontal="center" vertical="center"/>
    </xf>
    <xf numFmtId="0" fontId="36" fillId="0" borderId="2" xfId="0" applyFont="1" applyBorder="1" applyAlignment="1">
      <alignment horizontal="center" vertical="center"/>
    </xf>
    <xf numFmtId="0" fontId="36" fillId="0" borderId="2" xfId="0" applyFont="1" applyFill="1" applyBorder="1" applyAlignment="1">
      <alignment horizontal="center" vertical="center"/>
    </xf>
    <xf numFmtId="0" fontId="39" fillId="0" borderId="2" xfId="0" applyFont="1" applyBorder="1" applyAlignment="1">
      <alignment horizontal="center" vertical="center"/>
    </xf>
    <xf numFmtId="0" fontId="8" fillId="0" borderId="11" xfId="0" applyFont="1" applyBorder="1" applyAlignment="1">
      <alignment horizontal="center" vertical="center"/>
    </xf>
    <xf numFmtId="0" fontId="33" fillId="0" borderId="2" xfId="0" applyFont="1" applyFill="1" applyBorder="1" applyAlignment="1">
      <alignment horizontal="center" vertical="center"/>
    </xf>
    <xf numFmtId="0" fontId="39" fillId="0" borderId="2" xfId="0" applyFont="1" applyFill="1" applyBorder="1" applyAlignment="1">
      <alignment horizontal="center" vertical="center"/>
    </xf>
    <xf numFmtId="0" fontId="0" fillId="0" borderId="0" xfId="0" applyAlignment="1">
      <alignment horizontal="center" vertical="center"/>
    </xf>
    <xf numFmtId="0" fontId="33" fillId="0" borderId="2" xfId="0" applyFont="1" applyFill="1" applyBorder="1" applyAlignment="1">
      <alignment horizontal="left" vertical="center" wrapText="1"/>
    </xf>
    <xf numFmtId="0" fontId="33" fillId="0" borderId="2" xfId="0" applyFont="1" applyFill="1" applyBorder="1" applyAlignment="1">
      <alignment horizontal="left" vertical="center"/>
    </xf>
    <xf numFmtId="0" fontId="8" fillId="0" borderId="2" xfId="0"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vertical="center" wrapText="1"/>
    </xf>
    <xf numFmtId="0" fontId="8" fillId="0" borderId="2" xfId="0" quotePrefix="1" applyFont="1" applyFill="1" applyBorder="1" applyAlignment="1">
      <alignment horizontal="left" vertical="center" wrapText="1"/>
    </xf>
    <xf numFmtId="0" fontId="8" fillId="0" borderId="2" xfId="0" quotePrefix="1" applyFont="1" applyFill="1" applyBorder="1" applyAlignment="1">
      <alignment horizontal="left" vertical="center"/>
    </xf>
    <xf numFmtId="0" fontId="8" fillId="19" borderId="16" xfId="0" applyFont="1" applyFill="1" applyBorder="1" applyAlignment="1">
      <alignment horizontal="center" vertical="center"/>
    </xf>
    <xf numFmtId="0" fontId="32" fillId="19" borderId="5" xfId="0" applyFont="1" applyFill="1" applyBorder="1" applyAlignment="1">
      <alignment horizontal="center" vertical="center"/>
    </xf>
    <xf numFmtId="0" fontId="0" fillId="0" borderId="5" xfId="0" applyBorder="1">
      <alignment vertical="center"/>
    </xf>
    <xf numFmtId="0" fontId="0" fillId="0" borderId="38" xfId="0" applyBorder="1">
      <alignment vertical="center"/>
    </xf>
    <xf numFmtId="0" fontId="7" fillId="4" borderId="2" xfId="0" applyFont="1" applyFill="1" applyBorder="1" applyAlignment="1">
      <alignment horizontal="left" vertical="center"/>
    </xf>
    <xf numFmtId="0" fontId="33" fillId="4" borderId="2" xfId="0" applyFont="1" applyFill="1" applyBorder="1" applyAlignment="1">
      <alignment horizontal="left" vertical="center"/>
    </xf>
    <xf numFmtId="0" fontId="34" fillId="4" borderId="2" xfId="0" quotePrefix="1" applyFont="1" applyFill="1" applyBorder="1" applyAlignment="1">
      <alignment horizontal="left" vertical="center" wrapText="1"/>
    </xf>
    <xf numFmtId="0" fontId="40" fillId="4" borderId="2" xfId="0" applyFont="1" applyFill="1" applyBorder="1" applyAlignment="1">
      <alignment vertical="center"/>
    </xf>
    <xf numFmtId="0" fontId="33" fillId="4" borderId="2" xfId="0" applyFont="1" applyFill="1" applyBorder="1" applyAlignment="1">
      <alignment horizontal="center" vertical="center"/>
    </xf>
    <xf numFmtId="0" fontId="5" fillId="4" borderId="2" xfId="0" applyFont="1" applyFill="1" applyBorder="1" applyAlignment="1">
      <alignment horizontal="left" vertical="center"/>
    </xf>
    <xf numFmtId="0" fontId="0" fillId="0" borderId="0" xfId="0" applyAlignment="1">
      <alignment horizontal="center" vertical="center"/>
    </xf>
    <xf numFmtId="181" fontId="7" fillId="4" borderId="2" xfId="0" applyNumberFormat="1" applyFont="1" applyFill="1" applyBorder="1" applyAlignment="1">
      <alignment horizontal="center" vertical="center"/>
    </xf>
    <xf numFmtId="14" fontId="7" fillId="4" borderId="2" xfId="0" applyNumberFormat="1" applyFont="1" applyFill="1" applyBorder="1" applyAlignment="1">
      <alignment horizontal="center" vertical="center"/>
    </xf>
    <xf numFmtId="14" fontId="7" fillId="4" borderId="2" xfId="0" applyNumberFormat="1" applyFont="1" applyFill="1" applyBorder="1" applyAlignment="1">
      <alignment horizontal="center" vertical="center" shrinkToFit="1"/>
    </xf>
    <xf numFmtId="0" fontId="7" fillId="4" borderId="2" xfId="0" applyNumberFormat="1" applyFont="1" applyFill="1" applyBorder="1" applyAlignment="1">
      <alignment horizontal="center" vertical="center" shrinkToFit="1"/>
    </xf>
    <xf numFmtId="14" fontId="5" fillId="4" borderId="2" xfId="0" applyNumberFormat="1" applyFont="1" applyFill="1" applyBorder="1" applyAlignment="1">
      <alignment horizontal="center" vertical="center"/>
    </xf>
    <xf numFmtId="0" fontId="7" fillId="4" borderId="0" xfId="0" applyFont="1" applyFill="1">
      <alignment vertical="center"/>
    </xf>
    <xf numFmtId="0" fontId="8" fillId="2" borderId="16" xfId="0" applyFont="1" applyFill="1" applyBorder="1" applyAlignment="1">
      <alignment horizontal="center" vertical="center"/>
    </xf>
    <xf numFmtId="0" fontId="33" fillId="0" borderId="11" xfId="0" applyFont="1" applyFill="1" applyBorder="1" applyAlignment="1">
      <alignment horizontal="center" vertical="center"/>
    </xf>
    <xf numFmtId="0" fontId="5" fillId="4" borderId="2" xfId="0" applyFont="1" applyFill="1" applyBorder="1" applyAlignment="1">
      <alignment horizontal="left" vertical="center" shrinkToFit="1"/>
    </xf>
    <xf numFmtId="0" fontId="5" fillId="4" borderId="2" xfId="0" applyFont="1" applyFill="1" applyBorder="1" applyAlignment="1">
      <alignment horizontal="center" vertical="center" shrinkToFit="1"/>
    </xf>
    <xf numFmtId="0" fontId="8" fillId="11" borderId="2" xfId="0" applyFont="1" applyFill="1" applyBorder="1" applyAlignment="1">
      <alignment horizontal="left" vertical="center" wrapText="1"/>
    </xf>
    <xf numFmtId="0" fontId="7" fillId="21" borderId="2" xfId="0" applyFont="1" applyFill="1" applyBorder="1" applyAlignment="1">
      <alignment horizontal="left" vertical="center" wrapText="1"/>
    </xf>
    <xf numFmtId="0" fontId="5" fillId="21" borderId="2" xfId="0" applyFont="1" applyFill="1" applyBorder="1" applyAlignment="1">
      <alignment horizontal="left" vertical="center" wrapText="1"/>
    </xf>
    <xf numFmtId="0" fontId="7" fillId="11" borderId="11" xfId="0" applyFont="1" applyFill="1" applyBorder="1" applyAlignment="1">
      <alignment horizontal="left" vertical="center" wrapText="1"/>
    </xf>
    <xf numFmtId="0" fontId="7" fillId="11" borderId="2" xfId="0" quotePrefix="1" applyFont="1" applyFill="1" applyBorder="1" applyAlignment="1">
      <alignment horizontal="left" vertical="center" wrapText="1"/>
    </xf>
    <xf numFmtId="0" fontId="43" fillId="11" borderId="2" xfId="0" applyFont="1" applyFill="1" applyBorder="1" applyAlignment="1">
      <alignment horizontal="left" vertical="center" wrapText="1"/>
    </xf>
    <xf numFmtId="0" fontId="5" fillId="0" borderId="8" xfId="0" applyFont="1" applyFill="1" applyBorder="1" applyAlignment="1">
      <alignment horizontal="center" vertical="center"/>
    </xf>
    <xf numFmtId="0" fontId="0" fillId="0" borderId="0" xfId="0" applyAlignment="1">
      <alignment horizontal="center" vertical="center"/>
    </xf>
    <xf numFmtId="41" fontId="7" fillId="0" borderId="2" xfId="8" applyFont="1" applyFill="1" applyBorder="1" applyAlignment="1">
      <alignment horizontal="left" vertical="center" shrinkToFit="1"/>
    </xf>
    <xf numFmtId="0" fontId="16" fillId="3" borderId="2" xfId="0" applyFont="1" applyFill="1" applyBorder="1" applyAlignment="1">
      <alignment horizontal="left" vertical="center" wrapText="1"/>
    </xf>
    <xf numFmtId="180" fontId="0" fillId="0" borderId="0" xfId="0" applyNumberFormat="1">
      <alignment vertical="center"/>
    </xf>
    <xf numFmtId="0" fontId="5" fillId="3" borderId="16" xfId="0" applyFont="1" applyFill="1" applyBorder="1" applyAlignment="1">
      <alignment horizontal="center" vertical="center"/>
    </xf>
    <xf numFmtId="0" fontId="5" fillId="3" borderId="2" xfId="0" applyFont="1" applyFill="1" applyBorder="1" applyAlignment="1">
      <alignment horizontal="center" vertical="center"/>
    </xf>
    <xf numFmtId="0" fontId="7" fillId="22" borderId="2" xfId="0" applyFont="1" applyFill="1" applyBorder="1" applyAlignment="1">
      <alignment horizontal="center" vertical="center"/>
    </xf>
    <xf numFmtId="0" fontId="7" fillId="0" borderId="27" xfId="2" applyFont="1" applyFill="1" applyBorder="1" applyAlignment="1">
      <alignment horizontal="center" vertical="center" wrapText="1"/>
    </xf>
    <xf numFmtId="0" fontId="7" fillId="0" borderId="0" xfId="0" applyFont="1" applyFill="1" applyBorder="1" applyAlignment="1">
      <alignment horizontal="center" vertical="center"/>
    </xf>
    <xf numFmtId="0" fontId="42" fillId="21" borderId="2" xfId="0" applyFont="1" applyFill="1" applyBorder="1" applyAlignment="1">
      <alignment horizontal="left" vertical="center" wrapText="1"/>
    </xf>
    <xf numFmtId="0" fontId="11" fillId="2" borderId="49" xfId="0" applyFont="1" applyFill="1" applyBorder="1" applyAlignment="1">
      <alignment horizontal="center" vertical="center" wrapText="1"/>
    </xf>
    <xf numFmtId="0" fontId="8" fillId="23" borderId="16" xfId="0" applyFont="1" applyFill="1" applyBorder="1" applyAlignment="1">
      <alignment horizontal="center" vertical="center"/>
    </xf>
    <xf numFmtId="0" fontId="49" fillId="0" borderId="0" xfId="9" applyFont="1">
      <alignment vertical="center"/>
    </xf>
    <xf numFmtId="0" fontId="48" fillId="0" borderId="0" xfId="9">
      <alignment vertical="center"/>
    </xf>
    <xf numFmtId="14" fontId="50" fillId="0" borderId="0" xfId="9" applyNumberFormat="1" applyFont="1" applyAlignment="1"/>
    <xf numFmtId="0" fontId="51" fillId="2" borderId="57" xfId="9" applyFont="1" applyFill="1" applyBorder="1" applyAlignment="1">
      <alignment horizontal="center" vertical="center"/>
    </xf>
    <xf numFmtId="0" fontId="51" fillId="2" borderId="58" xfId="9" applyFont="1" applyFill="1" applyBorder="1" applyAlignment="1">
      <alignment horizontal="center" vertical="center"/>
    </xf>
    <xf numFmtId="0" fontId="51" fillId="2" borderId="59" xfId="9" applyFont="1" applyFill="1" applyBorder="1" applyAlignment="1">
      <alignment horizontal="center" vertical="center" wrapText="1"/>
    </xf>
    <xf numFmtId="0" fontId="51" fillId="2" borderId="57" xfId="9" applyFont="1" applyFill="1" applyBorder="1" applyAlignment="1">
      <alignment horizontal="center" vertical="center" wrapText="1"/>
    </xf>
    <xf numFmtId="0" fontId="54" fillId="0" borderId="62" xfId="9" applyFont="1" applyBorder="1" applyAlignment="1">
      <alignment horizontal="center" vertical="center"/>
    </xf>
    <xf numFmtId="0" fontId="54" fillId="0" borderId="63" xfId="9" applyFont="1" applyBorder="1" applyAlignment="1">
      <alignment horizontal="center" vertical="center"/>
    </xf>
    <xf numFmtId="0" fontId="56" fillId="0" borderId="60" xfId="9" applyFont="1" applyBorder="1" applyAlignment="1">
      <alignment horizontal="center" vertical="center"/>
    </xf>
    <xf numFmtId="0" fontId="54" fillId="0" borderId="64" xfId="9" applyFont="1" applyBorder="1" applyAlignment="1">
      <alignment horizontal="center" vertical="center"/>
    </xf>
    <xf numFmtId="0" fontId="54" fillId="0" borderId="65" xfId="9" applyFont="1" applyBorder="1" applyAlignment="1">
      <alignment horizontal="center" vertical="center"/>
    </xf>
    <xf numFmtId="0" fontId="48" fillId="0" borderId="7" xfId="9" applyBorder="1" applyAlignment="1">
      <alignment horizontal="center" vertical="center"/>
    </xf>
    <xf numFmtId="0" fontId="55" fillId="0" borderId="68" xfId="9" applyFont="1" applyBorder="1" applyAlignment="1">
      <alignment horizontal="center" vertical="center"/>
    </xf>
    <xf numFmtId="0" fontId="55" fillId="0" borderId="66" xfId="9" applyFont="1" applyBorder="1" applyAlignment="1">
      <alignment horizontal="center" vertical="center"/>
    </xf>
    <xf numFmtId="0" fontId="53" fillId="24" borderId="64" xfId="9" applyFont="1" applyFill="1" applyBorder="1" applyAlignment="1">
      <alignment horizontal="center" vertical="center"/>
    </xf>
    <xf numFmtId="0" fontId="53" fillId="24" borderId="65" xfId="9" applyFont="1" applyFill="1" applyBorder="1" applyAlignment="1">
      <alignment horizontal="center" vertical="center"/>
    </xf>
    <xf numFmtId="0" fontId="53" fillId="24" borderId="68" xfId="9" applyFont="1" applyFill="1" applyBorder="1" applyAlignment="1">
      <alignment horizontal="center" vertical="center"/>
    </xf>
    <xf numFmtId="0" fontId="53" fillId="24" borderId="66" xfId="9" applyFont="1" applyFill="1" applyBorder="1" applyAlignment="1">
      <alignment horizontal="center" vertical="center"/>
    </xf>
    <xf numFmtId="0" fontId="53" fillId="0" borderId="67" xfId="9" applyFont="1" applyFill="1" applyBorder="1">
      <alignment vertical="center"/>
    </xf>
    <xf numFmtId="0" fontId="54" fillId="0" borderId="64" xfId="9" applyFont="1" applyFill="1" applyBorder="1">
      <alignment vertical="center"/>
    </xf>
    <xf numFmtId="0" fontId="54" fillId="0" borderId="65" xfId="9" applyFont="1" applyFill="1" applyBorder="1" applyAlignment="1">
      <alignment horizontal="center" vertical="center"/>
    </xf>
    <xf numFmtId="0" fontId="48" fillId="0" borderId="68" xfId="9" applyFill="1" applyBorder="1" applyAlignment="1">
      <alignment horizontal="center" vertical="center"/>
    </xf>
    <xf numFmtId="0" fontId="48" fillId="0" borderId="66" xfId="9" applyFill="1" applyBorder="1">
      <alignment vertical="center"/>
    </xf>
    <xf numFmtId="0" fontId="53" fillId="24" borderId="71" xfId="9" applyFont="1" applyFill="1" applyBorder="1" applyAlignment="1">
      <alignment horizontal="center" vertical="center"/>
    </xf>
    <xf numFmtId="0" fontId="53" fillId="24" borderId="70" xfId="9" applyFont="1" applyFill="1" applyBorder="1" applyAlignment="1">
      <alignment horizontal="center" vertical="center"/>
    </xf>
    <xf numFmtId="0" fontId="53" fillId="24" borderId="72" xfId="9" applyFont="1" applyFill="1" applyBorder="1" applyAlignment="1">
      <alignment horizontal="center" vertical="center"/>
    </xf>
    <xf numFmtId="0" fontId="53" fillId="24" borderId="73" xfId="9" applyFont="1" applyFill="1" applyBorder="1" applyAlignment="1">
      <alignment horizontal="center" vertical="center"/>
    </xf>
    <xf numFmtId="0" fontId="53" fillId="25" borderId="62" xfId="9" applyFont="1" applyFill="1" applyBorder="1" applyAlignment="1">
      <alignment horizontal="center" vertical="center"/>
    </xf>
    <xf numFmtId="0" fontId="53" fillId="25" borderId="63" xfId="9" applyFont="1" applyFill="1" applyBorder="1" applyAlignment="1">
      <alignment horizontal="center" vertical="center"/>
    </xf>
    <xf numFmtId="0" fontId="53" fillId="25" borderId="75" xfId="9" applyFont="1" applyFill="1" applyBorder="1" applyAlignment="1">
      <alignment horizontal="center" vertical="center"/>
    </xf>
    <xf numFmtId="0" fontId="53" fillId="25" borderId="76" xfId="9" applyFont="1" applyFill="1" applyBorder="1" applyAlignment="1">
      <alignment horizontal="center" vertical="center"/>
    </xf>
    <xf numFmtId="0" fontId="53" fillId="25" borderId="77" xfId="9" applyFont="1" applyFill="1" applyBorder="1" applyAlignment="1">
      <alignment horizontal="center" vertical="center"/>
    </xf>
    <xf numFmtId="0" fontId="53" fillId="25" borderId="74" xfId="9" applyFont="1" applyFill="1" applyBorder="1" applyAlignment="1">
      <alignment horizontal="center" vertical="center"/>
    </xf>
    <xf numFmtId="0" fontId="53" fillId="25" borderId="59" xfId="9" applyFont="1" applyFill="1" applyBorder="1" applyAlignment="1">
      <alignment horizontal="center" vertical="center"/>
    </xf>
    <xf numFmtId="0" fontId="53" fillId="25" borderId="57" xfId="9" applyFont="1" applyFill="1" applyBorder="1" applyAlignment="1">
      <alignment horizontal="center" vertical="center"/>
    </xf>
    <xf numFmtId="0" fontId="53" fillId="25" borderId="78" xfId="9" applyFont="1" applyFill="1" applyBorder="1" applyAlignment="1">
      <alignment horizontal="center" vertical="center"/>
    </xf>
    <xf numFmtId="0" fontId="48" fillId="0" borderId="0" xfId="9" applyAlignment="1">
      <alignment horizontal="center" vertical="center"/>
    </xf>
    <xf numFmtId="0" fontId="53" fillId="0" borderId="61" xfId="9" applyFont="1" applyBorder="1" applyAlignment="1">
      <alignment horizontal="center" vertical="center"/>
    </xf>
    <xf numFmtId="0" fontId="53" fillId="0" borderId="67" xfId="9" applyFont="1" applyBorder="1" applyAlignment="1">
      <alignment horizontal="center" vertical="center"/>
    </xf>
    <xf numFmtId="0" fontId="53" fillId="0" borderId="69" xfId="9" applyFont="1" applyBorder="1" applyAlignment="1">
      <alignment horizontal="center" vertical="center"/>
    </xf>
    <xf numFmtId="0" fontId="11" fillId="2" borderId="33" xfId="0" applyFont="1" applyFill="1" applyBorder="1" applyAlignment="1">
      <alignment horizontal="center" vertical="center" wrapText="1"/>
    </xf>
    <xf numFmtId="0" fontId="13" fillId="2" borderId="44" xfId="0" applyFont="1" applyFill="1" applyBorder="1" applyAlignment="1">
      <alignment horizontal="center" vertical="center"/>
    </xf>
    <xf numFmtId="0" fontId="38" fillId="2" borderId="57" xfId="9" applyFont="1" applyFill="1" applyBorder="1" applyAlignment="1">
      <alignment horizontal="center" vertical="center"/>
    </xf>
    <xf numFmtId="0" fontId="11" fillId="23" borderId="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pivotButton="1">
      <alignment vertical="center"/>
    </xf>
    <xf numFmtId="0" fontId="0" fillId="0" borderId="0" xfId="0" applyNumberFormat="1">
      <alignment vertical="center"/>
    </xf>
    <xf numFmtId="0" fontId="0" fillId="0" borderId="0" xfId="0" applyAlignment="1">
      <alignment horizontal="center" vertical="center" wrapText="1"/>
    </xf>
    <xf numFmtId="0" fontId="0" fillId="0" borderId="16" xfId="0" applyBorder="1" applyAlignment="1">
      <alignment horizontal="center" vertical="center"/>
    </xf>
    <xf numFmtId="0" fontId="0" fillId="0" borderId="25"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79" xfId="0" applyBorder="1" applyAlignment="1">
      <alignment horizontal="center" vertical="center"/>
    </xf>
    <xf numFmtId="0" fontId="0" fillId="0" borderId="47" xfId="0" applyBorder="1" applyAlignment="1">
      <alignment horizontal="center" vertical="center"/>
    </xf>
    <xf numFmtId="0" fontId="0" fillId="0" borderId="80" xfId="0" applyBorder="1" applyAlignment="1">
      <alignment horizontal="center" vertical="center"/>
    </xf>
    <xf numFmtId="0" fontId="0" fillId="2" borderId="16" xfId="0" applyFill="1" applyBorder="1" applyAlignment="1">
      <alignment horizontal="center" vertical="center"/>
    </xf>
    <xf numFmtId="9" fontId="0" fillId="0" borderId="2" xfId="0" applyNumberFormat="1" applyBorder="1" applyAlignment="1">
      <alignment horizontal="center" vertical="center"/>
    </xf>
    <xf numFmtId="0" fontId="9" fillId="0" borderId="2" xfId="0" applyFont="1" applyBorder="1" applyAlignment="1">
      <alignment horizontal="center" vertical="center"/>
    </xf>
    <xf numFmtId="0" fontId="0" fillId="6" borderId="3" xfId="0" applyFill="1" applyBorder="1" applyAlignment="1">
      <alignment horizontal="center" vertical="center"/>
    </xf>
    <xf numFmtId="0" fontId="0" fillId="6" borderId="11" xfId="0" applyFill="1" applyBorder="1" applyAlignment="1">
      <alignment horizontal="center" vertical="center"/>
    </xf>
    <xf numFmtId="0" fontId="0" fillId="6" borderId="47" xfId="0" applyFill="1" applyBorder="1" applyAlignment="1">
      <alignment horizontal="center" vertical="center"/>
    </xf>
    <xf numFmtId="9" fontId="0" fillId="0" borderId="47" xfId="0" applyNumberFormat="1" applyBorder="1" applyAlignment="1">
      <alignment horizontal="center" vertical="center"/>
    </xf>
    <xf numFmtId="0" fontId="0" fillId="0" borderId="2" xfId="0" applyNumberFormat="1" applyBorder="1" applyAlignment="1">
      <alignment horizontal="center" vertical="center"/>
    </xf>
    <xf numFmtId="0" fontId="0" fillId="6" borderId="2" xfId="0" applyNumberFormat="1" applyFill="1" applyBorder="1" applyAlignment="1">
      <alignment horizontal="center" vertical="center"/>
    </xf>
    <xf numFmtId="0" fontId="10" fillId="0" borderId="2" xfId="0" applyFont="1" applyBorder="1" applyAlignment="1">
      <alignment horizontal="left" vertical="center" wrapText="1"/>
    </xf>
    <xf numFmtId="0" fontId="7" fillId="0" borderId="2" xfId="0" applyNumberFormat="1" applyFont="1" applyFill="1" applyBorder="1" applyAlignment="1">
      <alignment horizontal="left" vertical="center" shrinkToFit="1"/>
    </xf>
    <xf numFmtId="0" fontId="0" fillId="6" borderId="2" xfId="0" applyFill="1" applyBorder="1">
      <alignment vertical="center"/>
    </xf>
    <xf numFmtId="0" fontId="5" fillId="0" borderId="0" xfId="0" applyFont="1" applyFill="1" applyBorder="1" applyAlignment="1">
      <alignment horizontal="center" vertical="center"/>
    </xf>
    <xf numFmtId="0" fontId="7" fillId="3" borderId="2" xfId="0" applyFont="1" applyFill="1" applyBorder="1" applyAlignment="1">
      <alignment horizontal="center" vertical="center"/>
    </xf>
    <xf numFmtId="0" fontId="0" fillId="0" borderId="0" xfId="0" applyFill="1" applyBorder="1" applyAlignment="1">
      <alignment horizontal="center" vertical="center"/>
    </xf>
    <xf numFmtId="0" fontId="5" fillId="0" borderId="27" xfId="0" applyFont="1" applyFill="1" applyBorder="1" applyAlignment="1">
      <alignment horizontal="center" vertical="center"/>
    </xf>
    <xf numFmtId="0" fontId="5" fillId="3" borderId="2" xfId="0" applyFont="1" applyFill="1" applyBorder="1" applyAlignment="1">
      <alignment horizontal="left" vertical="center" wrapText="1"/>
    </xf>
    <xf numFmtId="0" fontId="5" fillId="22" borderId="2" xfId="0" applyFont="1" applyFill="1" applyBorder="1" applyAlignment="1">
      <alignment horizontal="center" vertical="center"/>
    </xf>
    <xf numFmtId="0" fontId="0" fillId="6" borderId="2" xfId="0" applyFill="1" applyBorder="1" applyAlignment="1">
      <alignment horizontal="center" vertical="center"/>
    </xf>
    <xf numFmtId="0" fontId="9" fillId="0" borderId="0" xfId="0" applyFont="1" applyFill="1" applyBorder="1" applyAlignment="1">
      <alignment vertical="center"/>
    </xf>
    <xf numFmtId="0" fontId="9" fillId="6" borderId="2" xfId="0" applyFont="1" applyFill="1" applyBorder="1" applyAlignment="1">
      <alignment horizontal="center" vertical="center"/>
    </xf>
    <xf numFmtId="0" fontId="5" fillId="10" borderId="3" xfId="0" applyNumberFormat="1" applyFont="1" applyFill="1" applyBorder="1" applyAlignment="1">
      <alignment horizontal="center" vertical="center"/>
    </xf>
    <xf numFmtId="0" fontId="0" fillId="19" borderId="0" xfId="0" applyFill="1">
      <alignment vertical="center"/>
    </xf>
    <xf numFmtId="0" fontId="0" fillId="19" borderId="0" xfId="0" applyNumberFormat="1" applyFill="1">
      <alignment vertical="center"/>
    </xf>
    <xf numFmtId="0" fontId="5" fillId="0" borderId="0" xfId="0" applyFont="1" applyFill="1" applyBorder="1" applyAlignment="1">
      <alignment horizontal="center" vertical="center" wrapText="1"/>
    </xf>
    <xf numFmtId="0" fontId="33"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7" fillId="0" borderId="0" xfId="0" applyFont="1" applyBorder="1" applyAlignment="1">
      <alignment horizontal="center" vertical="center"/>
    </xf>
    <xf numFmtId="0" fontId="7" fillId="3" borderId="2" xfId="0" applyFont="1" applyFill="1" applyBorder="1" applyAlignment="1">
      <alignment horizontal="left" vertical="center" wrapText="1"/>
    </xf>
    <xf numFmtId="0" fontId="8" fillId="0" borderId="2" xfId="0" applyFont="1" applyBorder="1" applyAlignment="1">
      <alignment horizontal="left" vertical="center" wrapText="1"/>
    </xf>
    <xf numFmtId="0" fontId="5" fillId="0" borderId="2" xfId="0" quotePrefix="1" applyFont="1" applyBorder="1" applyAlignment="1">
      <alignment horizontal="center" vertical="center"/>
    </xf>
    <xf numFmtId="0" fontId="0" fillId="0" borderId="0" xfId="0" applyAlignment="1">
      <alignment horizontal="left" vertical="center"/>
    </xf>
    <xf numFmtId="0" fontId="0" fillId="6" borderId="2" xfId="0" applyFill="1" applyBorder="1" applyAlignment="1">
      <alignment horizontal="center" vertical="center"/>
    </xf>
    <xf numFmtId="0" fontId="0" fillId="0" borderId="0" xfId="0" applyAlignment="1">
      <alignment horizontal="left" vertical="center" indent="1"/>
    </xf>
    <xf numFmtId="0" fontId="0" fillId="0" borderId="0" xfId="0" applyAlignment="1">
      <alignment horizontal="left" vertical="center" indent="2"/>
    </xf>
    <xf numFmtId="0" fontId="0" fillId="0" borderId="0" xfId="0" applyAlignment="1">
      <alignment horizontal="left" vertical="center"/>
    </xf>
    <xf numFmtId="0" fontId="0" fillId="0" borderId="0" xfId="0" applyAlignment="1">
      <alignment horizontal="center" vertical="center"/>
    </xf>
    <xf numFmtId="0" fontId="0" fillId="6" borderId="0" xfId="0" applyFill="1" applyAlignment="1">
      <alignment horizontal="center" vertical="center"/>
    </xf>
    <xf numFmtId="0" fontId="0" fillId="0" borderId="8" xfId="0" applyBorder="1" applyAlignment="1">
      <alignment horizontal="center" vertical="center"/>
    </xf>
    <xf numFmtId="0" fontId="0" fillId="6" borderId="2" xfId="0" applyFill="1" applyBorder="1" applyAlignment="1">
      <alignment horizontal="center" vertical="center"/>
    </xf>
    <xf numFmtId="0" fontId="0" fillId="0" borderId="12" xfId="0" applyBorder="1" applyAlignment="1">
      <alignment horizontal="center" vertical="center"/>
    </xf>
    <xf numFmtId="0" fontId="5" fillId="5" borderId="2" xfId="0" applyFont="1" applyFill="1" applyBorder="1" applyAlignment="1">
      <alignment horizontal="left" vertical="center" wrapText="1"/>
    </xf>
    <xf numFmtId="0" fontId="44" fillId="5" borderId="2" xfId="0" applyFont="1" applyFill="1" applyBorder="1" applyAlignment="1">
      <alignment horizontal="left" vertical="center" wrapText="1"/>
    </xf>
    <xf numFmtId="0" fontId="47" fillId="5" borderId="11" xfId="0" applyFont="1" applyFill="1" applyBorder="1" applyAlignment="1">
      <alignment horizontal="left" vertical="center" wrapText="1"/>
    </xf>
    <xf numFmtId="0" fontId="66" fillId="2" borderId="31" xfId="0" applyFont="1" applyFill="1" applyBorder="1" applyAlignment="1">
      <alignment horizontal="center" vertical="center"/>
    </xf>
    <xf numFmtId="0" fontId="66" fillId="2" borderId="14" xfId="0" applyFont="1" applyFill="1" applyBorder="1" applyAlignment="1">
      <alignment horizontal="center" vertical="center"/>
    </xf>
    <xf numFmtId="0" fontId="66" fillId="2" borderId="12" xfId="0" applyFont="1" applyFill="1" applyBorder="1" applyAlignment="1">
      <alignment horizontal="center" vertical="center"/>
    </xf>
    <xf numFmtId="0" fontId="65" fillId="2" borderId="34" xfId="0" applyFont="1" applyFill="1" applyBorder="1" applyAlignment="1">
      <alignment horizontal="center" vertical="center"/>
    </xf>
    <xf numFmtId="0" fontId="65" fillId="2" borderId="13" xfId="0" applyFont="1" applyFill="1" applyBorder="1" applyAlignment="1">
      <alignment horizontal="center" vertical="center"/>
    </xf>
    <xf numFmtId="0" fontId="9" fillId="0" borderId="2" xfId="0" applyFont="1" applyBorder="1" applyAlignment="1">
      <alignment horizontal="left" vertical="center" wrapText="1"/>
    </xf>
    <xf numFmtId="0" fontId="7" fillId="3" borderId="2" xfId="0" applyFont="1" applyFill="1" applyBorder="1" applyAlignment="1">
      <alignment horizontal="center" vertical="center" wrapText="1"/>
    </xf>
    <xf numFmtId="14" fontId="18" fillId="0" borderId="0" xfId="4" applyNumberFormat="1" applyFont="1" applyFill="1">
      <alignment vertical="center"/>
    </xf>
    <xf numFmtId="0" fontId="8" fillId="5" borderId="16" xfId="0" applyFont="1" applyFill="1" applyBorder="1" applyAlignment="1">
      <alignment horizontal="center" vertical="center"/>
    </xf>
    <xf numFmtId="0" fontId="0" fillId="0" borderId="0" xfId="0"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0" fillId="0" borderId="0" xfId="0" applyFill="1" applyBorder="1" applyAlignment="1">
      <alignment horizontal="left" vertical="center" wrapText="1"/>
    </xf>
    <xf numFmtId="0" fontId="0" fillId="0" borderId="0" xfId="0" applyFill="1"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67" fillId="0" borderId="19" xfId="0" applyFont="1" applyFill="1" applyBorder="1" applyAlignment="1">
      <alignment horizontal="center" vertical="center"/>
    </xf>
    <xf numFmtId="0" fontId="67" fillId="0" borderId="21" xfId="0" applyFont="1" applyFill="1" applyBorder="1" applyAlignment="1">
      <alignment horizontal="center" vertical="center"/>
    </xf>
    <xf numFmtId="0" fontId="65" fillId="2" borderId="9" xfId="0" applyFont="1" applyFill="1" applyBorder="1" applyAlignment="1">
      <alignment horizontal="center" vertical="center"/>
    </xf>
    <xf numFmtId="0" fontId="65" fillId="2" borderId="0" xfId="0" applyFont="1" applyFill="1" applyBorder="1" applyAlignment="1">
      <alignment horizontal="center" vertical="center"/>
    </xf>
    <xf numFmtId="0" fontId="67" fillId="0" borderId="9" xfId="0" applyFont="1" applyFill="1" applyBorder="1" applyAlignment="1">
      <alignment horizontal="center" vertical="center"/>
    </xf>
    <xf numFmtId="0" fontId="67" fillId="0" borderId="15" xfId="0" applyFont="1" applyFill="1" applyBorder="1" applyAlignment="1">
      <alignment horizontal="center" vertical="center"/>
    </xf>
    <xf numFmtId="0" fontId="65" fillId="2" borderId="8" xfId="0" applyFont="1" applyFill="1" applyBorder="1" applyAlignment="1">
      <alignment horizontal="center" vertical="center"/>
    </xf>
    <xf numFmtId="0" fontId="65" fillId="2" borderId="7" xfId="0" applyFont="1" applyFill="1" applyBorder="1" applyAlignment="1">
      <alignment horizontal="center" vertical="center"/>
    </xf>
    <xf numFmtId="0" fontId="67" fillId="0" borderId="18" xfId="0" applyFont="1" applyFill="1" applyBorder="1" applyAlignment="1">
      <alignment horizontal="center" vertical="center"/>
    </xf>
    <xf numFmtId="0" fontId="67" fillId="0" borderId="20" xfId="0" applyFont="1" applyFill="1" applyBorder="1" applyAlignment="1">
      <alignment horizontal="center" vertical="center"/>
    </xf>
    <xf numFmtId="0" fontId="67" fillId="0" borderId="30" xfId="0" applyFont="1" applyFill="1" applyBorder="1" applyAlignment="1">
      <alignment horizontal="center" vertical="center"/>
    </xf>
    <xf numFmtId="0" fontId="67" fillId="0" borderId="29" xfId="0" applyFont="1" applyFill="1" applyBorder="1" applyAlignment="1">
      <alignment horizontal="center" vertical="center"/>
    </xf>
    <xf numFmtId="0" fontId="0" fillId="0" borderId="9" xfId="0" applyBorder="1" applyAlignment="1">
      <alignment horizontal="center" vertical="center"/>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xf>
    <xf numFmtId="0" fontId="5" fillId="10" borderId="1" xfId="0" applyFont="1" applyFill="1" applyBorder="1" applyAlignment="1">
      <alignment horizontal="center" vertical="center" wrapText="1"/>
    </xf>
    <xf numFmtId="0" fontId="5" fillId="10" borderId="3" xfId="0" applyFont="1" applyFill="1" applyBorder="1" applyAlignment="1">
      <alignment horizontal="center" vertical="center"/>
    </xf>
    <xf numFmtId="0" fontId="5" fillId="12" borderId="22" xfId="0" applyFont="1" applyFill="1" applyBorder="1" applyAlignment="1">
      <alignment horizontal="center" vertical="center"/>
    </xf>
    <xf numFmtId="0" fontId="5" fillId="12" borderId="23" xfId="0" applyFont="1" applyFill="1" applyBorder="1" applyAlignment="1">
      <alignment horizontal="center" vertical="center"/>
    </xf>
    <xf numFmtId="0" fontId="5" fillId="12" borderId="24" xfId="0" applyFont="1" applyFill="1" applyBorder="1" applyAlignment="1">
      <alignment horizontal="center" vertical="center"/>
    </xf>
    <xf numFmtId="14" fontId="9" fillId="2" borderId="1" xfId="0" applyNumberFormat="1" applyFont="1" applyFill="1" applyBorder="1" applyAlignment="1">
      <alignment horizontal="center" vertical="center"/>
    </xf>
    <xf numFmtId="14" fontId="9" fillId="2" borderId="3" xfId="0" applyNumberFormat="1" applyFont="1" applyFill="1" applyBorder="1" applyAlignment="1">
      <alignment horizontal="center" vertical="center"/>
    </xf>
    <xf numFmtId="0" fontId="9" fillId="13" borderId="23" xfId="0" applyFont="1" applyFill="1" applyBorder="1" applyAlignment="1">
      <alignment horizontal="center" vertical="center"/>
    </xf>
    <xf numFmtId="0" fontId="9" fillId="13" borderId="24"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3" xfId="0" applyFont="1" applyFill="1" applyBorder="1" applyAlignment="1">
      <alignment horizontal="center" vertical="center"/>
    </xf>
    <xf numFmtId="0" fontId="9" fillId="8" borderId="23" xfId="0" applyFont="1" applyFill="1" applyBorder="1" applyAlignment="1">
      <alignment horizontal="center" vertical="center"/>
    </xf>
    <xf numFmtId="0" fontId="8" fillId="10" borderId="22" xfId="0" applyFont="1" applyFill="1" applyBorder="1" applyAlignment="1">
      <alignment horizontal="center" vertical="center" wrapText="1"/>
    </xf>
    <xf numFmtId="0" fontId="8" fillId="10" borderId="23" xfId="0" applyFont="1" applyFill="1" applyBorder="1" applyAlignment="1">
      <alignment horizontal="center" vertical="center" wrapText="1"/>
    </xf>
    <xf numFmtId="0" fontId="26" fillId="10" borderId="24"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7" fillId="18" borderId="3" xfId="0" applyFont="1" applyFill="1" applyBorder="1" applyAlignment="1">
      <alignment horizontal="center" vertical="center" wrapText="1"/>
    </xf>
    <xf numFmtId="0" fontId="9" fillId="8" borderId="26" xfId="0" applyFont="1" applyFill="1" applyBorder="1" applyAlignment="1">
      <alignment horizontal="center" vertical="center"/>
    </xf>
    <xf numFmtId="0" fontId="9" fillId="13" borderId="26" xfId="0" applyFont="1" applyFill="1" applyBorder="1" applyAlignment="1">
      <alignment horizontal="center" vertical="center"/>
    </xf>
    <xf numFmtId="0" fontId="5" fillId="14" borderId="22" xfId="0" applyFont="1" applyFill="1" applyBorder="1" applyAlignment="1">
      <alignment horizontal="center" vertical="center"/>
    </xf>
    <xf numFmtId="0" fontId="5" fillId="14" borderId="23" xfId="0" applyFont="1" applyFill="1" applyBorder="1" applyAlignment="1">
      <alignment horizontal="center" vertical="center"/>
    </xf>
    <xf numFmtId="0" fontId="5" fillId="14" borderId="24" xfId="0" applyFont="1" applyFill="1" applyBorder="1" applyAlignment="1">
      <alignment horizontal="center" vertical="center"/>
    </xf>
    <xf numFmtId="0" fontId="5" fillId="11" borderId="1" xfId="0" applyFont="1" applyFill="1" applyBorder="1" applyAlignment="1">
      <alignment horizontal="center" vertical="center"/>
    </xf>
    <xf numFmtId="0" fontId="5" fillId="11" borderId="3" xfId="0" applyFont="1" applyFill="1" applyBorder="1" applyAlignment="1">
      <alignment horizontal="center" vertical="center"/>
    </xf>
    <xf numFmtId="0" fontId="5" fillId="12" borderId="54" xfId="0" applyFont="1" applyFill="1" applyBorder="1" applyAlignment="1">
      <alignment horizontal="center" vertical="center"/>
    </xf>
    <xf numFmtId="0" fontId="5" fillId="12" borderId="55" xfId="0" applyFont="1" applyFill="1" applyBorder="1" applyAlignment="1">
      <alignment horizontal="center" vertical="center"/>
    </xf>
    <xf numFmtId="0" fontId="5" fillId="12" borderId="56" xfId="0" applyFont="1" applyFill="1" applyBorder="1" applyAlignment="1">
      <alignment horizontal="center" vertical="center"/>
    </xf>
    <xf numFmtId="0" fontId="5" fillId="17" borderId="1" xfId="0" applyFont="1" applyFill="1" applyBorder="1" applyAlignment="1">
      <alignment horizontal="center" vertical="center" wrapText="1"/>
    </xf>
    <xf numFmtId="0" fontId="5" fillId="17" borderId="3" xfId="0" applyFont="1" applyFill="1" applyBorder="1" applyAlignment="1">
      <alignment horizontal="center" vertical="center" wrapText="1"/>
    </xf>
    <xf numFmtId="0" fontId="5" fillId="2" borderId="1" xfId="0" applyFont="1" applyFill="1" applyBorder="1" applyAlignment="1">
      <alignment horizontal="center" vertical="center"/>
    </xf>
    <xf numFmtId="0" fontId="23" fillId="0" borderId="0" xfId="0" applyFont="1" applyAlignment="1">
      <alignment horizontal="center" vertical="center"/>
    </xf>
    <xf numFmtId="0" fontId="21" fillId="0" borderId="0" xfId="0" applyFont="1" applyAlignment="1">
      <alignment horizontal="center" vertical="center"/>
    </xf>
    <xf numFmtId="0" fontId="9"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17" xfId="0" applyFont="1" applyFill="1" applyBorder="1" applyAlignment="1">
      <alignment horizontal="center" vertical="center"/>
    </xf>
    <xf numFmtId="0" fontId="5" fillId="17" borderId="3" xfId="0" applyFont="1" applyFill="1" applyBorder="1" applyAlignment="1">
      <alignment horizontal="center" vertical="center"/>
    </xf>
    <xf numFmtId="0" fontId="8" fillId="2" borderId="1" xfId="0" applyFont="1" applyFill="1" applyBorder="1" applyAlignment="1">
      <alignment horizontal="center" vertical="center" wrapText="1"/>
    </xf>
    <xf numFmtId="0" fontId="8" fillId="2" borderId="3" xfId="0" applyFont="1" applyFill="1" applyBorder="1" applyAlignment="1">
      <alignment horizontal="center" vertical="center"/>
    </xf>
    <xf numFmtId="0" fontId="8" fillId="2" borderId="1" xfId="0" applyFont="1" applyFill="1" applyBorder="1" applyAlignment="1">
      <alignment horizontal="center" vertical="center"/>
    </xf>
    <xf numFmtId="0" fontId="5" fillId="2" borderId="3"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17" borderId="1" xfId="0" applyFont="1" applyFill="1" applyBorder="1" applyAlignment="1">
      <alignment horizontal="center" vertical="center"/>
    </xf>
    <xf numFmtId="0" fontId="8" fillId="9" borderId="22" xfId="0" applyFont="1" applyFill="1" applyBorder="1" applyAlignment="1">
      <alignment horizontal="center" vertical="center"/>
    </xf>
    <xf numFmtId="0" fontId="8" fillId="9" borderId="23" xfId="0" applyFont="1" applyFill="1" applyBorder="1" applyAlignment="1">
      <alignment horizontal="center" vertical="center"/>
    </xf>
    <xf numFmtId="0" fontId="9" fillId="8" borderId="22" xfId="0" applyFont="1" applyFill="1" applyBorder="1" applyAlignment="1">
      <alignment horizontal="center" vertical="center"/>
    </xf>
    <xf numFmtId="0" fontId="0" fillId="2" borderId="25" xfId="0" applyFill="1" applyBorder="1" applyAlignment="1">
      <alignment horizontal="center" vertical="center"/>
    </xf>
    <xf numFmtId="0" fontId="0" fillId="0" borderId="8" xfId="0" applyBorder="1" applyAlignment="1">
      <alignment horizontal="center" vertical="center"/>
    </xf>
    <xf numFmtId="0" fontId="0" fillId="2" borderId="2" xfId="0" applyFill="1" applyBorder="1" applyAlignment="1">
      <alignment horizontal="center" vertical="center"/>
    </xf>
    <xf numFmtId="0" fontId="0" fillId="2" borderId="2" xfId="0" applyFill="1" applyBorder="1" applyAlignment="1">
      <alignment horizontal="center" vertical="center" wrapText="1"/>
    </xf>
    <xf numFmtId="0" fontId="0" fillId="6" borderId="11" xfId="0" applyFill="1" applyBorder="1" applyAlignment="1">
      <alignment horizontal="center" vertical="center"/>
    </xf>
    <xf numFmtId="0" fontId="0" fillId="6" borderId="2" xfId="0" applyFill="1" applyBorder="1" applyAlignment="1">
      <alignment horizontal="center" vertical="center"/>
    </xf>
    <xf numFmtId="0" fontId="0" fillId="6" borderId="16" xfId="0" applyFill="1" applyBorder="1" applyAlignment="1">
      <alignment horizontal="center" vertical="center"/>
    </xf>
    <xf numFmtId="0" fontId="13" fillId="2" borderId="42" xfId="0" applyFont="1" applyFill="1" applyBorder="1" applyAlignment="1">
      <alignment horizontal="center" vertical="center" wrapText="1"/>
    </xf>
    <xf numFmtId="0" fontId="13" fillId="2" borderId="43" xfId="0" applyFont="1" applyFill="1" applyBorder="1" applyAlignment="1">
      <alignment horizontal="center" vertical="center" wrapText="1"/>
    </xf>
    <xf numFmtId="0" fontId="13" fillId="2" borderId="44" xfId="0" applyFont="1" applyFill="1" applyBorder="1" applyAlignment="1">
      <alignment horizontal="center" vertical="center" wrapText="1"/>
    </xf>
    <xf numFmtId="0" fontId="58" fillId="4" borderId="35" xfId="0" applyFont="1" applyFill="1" applyBorder="1" applyAlignment="1">
      <alignment horizontal="center" vertical="center"/>
    </xf>
    <xf numFmtId="0" fontId="58" fillId="4" borderId="52" xfId="0" applyFont="1" applyFill="1" applyBorder="1" applyAlignment="1">
      <alignment horizontal="center" vertical="center"/>
    </xf>
    <xf numFmtId="0" fontId="58" fillId="2" borderId="36" xfId="0" applyFont="1" applyFill="1" applyBorder="1" applyAlignment="1">
      <alignment horizontal="center" vertical="center"/>
    </xf>
    <xf numFmtId="0" fontId="58" fillId="2" borderId="53" xfId="0" applyFont="1" applyFill="1" applyBorder="1" applyAlignment="1">
      <alignment horizontal="center" vertical="center"/>
    </xf>
    <xf numFmtId="0" fontId="58" fillId="4" borderId="49" xfId="0" applyFont="1" applyFill="1" applyBorder="1" applyAlignment="1">
      <alignment horizontal="center" vertical="center"/>
    </xf>
    <xf numFmtId="0" fontId="58" fillId="4" borderId="32" xfId="0" applyFont="1" applyFill="1" applyBorder="1" applyAlignment="1">
      <alignment horizontal="center" vertical="center"/>
    </xf>
    <xf numFmtId="0" fontId="58" fillId="4" borderId="53" xfId="0" applyFont="1" applyFill="1" applyBorder="1" applyAlignment="1">
      <alignment horizontal="center" vertical="center"/>
    </xf>
    <xf numFmtId="0" fontId="58" fillId="4" borderId="42" xfId="0" applyFont="1" applyFill="1" applyBorder="1" applyAlignment="1">
      <alignment horizontal="center" vertical="center"/>
    </xf>
    <xf numFmtId="0" fontId="58" fillId="4" borderId="51" xfId="0" applyFont="1" applyFill="1" applyBorder="1" applyAlignment="1">
      <alignment horizontal="center" vertical="center"/>
    </xf>
    <xf numFmtId="0" fontId="53" fillId="25" borderId="8" xfId="9" applyFont="1" applyFill="1" applyBorder="1" applyAlignment="1">
      <alignment horizontal="center" vertical="center"/>
    </xf>
    <xf numFmtId="0" fontId="53" fillId="25" borderId="9" xfId="9" applyFont="1" applyFill="1" applyBorder="1" applyAlignment="1">
      <alignment horizontal="center" vertical="center"/>
    </xf>
    <xf numFmtId="0" fontId="53" fillId="25" borderId="7" xfId="9" applyFont="1" applyFill="1" applyBorder="1" applyAlignment="1">
      <alignment horizontal="center" vertical="center"/>
    </xf>
    <xf numFmtId="0" fontId="53" fillId="25" borderId="0" xfId="9" applyFont="1" applyFill="1" applyBorder="1" applyAlignment="1">
      <alignment horizontal="center" vertical="center"/>
    </xf>
    <xf numFmtId="0" fontId="53" fillId="25" borderId="12" xfId="9" applyFont="1" applyFill="1" applyBorder="1" applyAlignment="1">
      <alignment horizontal="center" vertical="center"/>
    </xf>
    <xf numFmtId="0" fontId="53" fillId="25" borderId="15" xfId="9" applyFont="1" applyFill="1" applyBorder="1" applyAlignment="1">
      <alignment horizontal="center" vertical="center"/>
    </xf>
    <xf numFmtId="0" fontId="53" fillId="0" borderId="66" xfId="9" applyFont="1" applyBorder="1" applyAlignment="1">
      <alignment horizontal="center" vertical="center"/>
    </xf>
    <xf numFmtId="0" fontId="53" fillId="0" borderId="67" xfId="9" applyFont="1" applyBorder="1" applyAlignment="1">
      <alignment horizontal="center" vertical="center"/>
    </xf>
    <xf numFmtId="0" fontId="53" fillId="0" borderId="69" xfId="9" applyFont="1" applyBorder="1" applyAlignment="1">
      <alignment horizontal="center" vertical="center"/>
    </xf>
    <xf numFmtId="0" fontId="53" fillId="0" borderId="67" xfId="9" applyFont="1" applyBorder="1" applyAlignment="1">
      <alignment vertical="center"/>
    </xf>
    <xf numFmtId="0" fontId="57" fillId="0" borderId="66" xfId="9" applyFont="1" applyFill="1" applyBorder="1" applyAlignment="1">
      <alignment horizontal="center" vertical="center"/>
    </xf>
    <xf numFmtId="0" fontId="55" fillId="0" borderId="66" xfId="9" applyFont="1" applyFill="1" applyBorder="1" applyAlignment="1">
      <alignment horizontal="center" vertical="center"/>
    </xf>
    <xf numFmtId="0" fontId="53" fillId="24" borderId="65" xfId="9" applyFont="1" applyFill="1" applyBorder="1" applyAlignment="1">
      <alignment horizontal="center" vertical="center"/>
    </xf>
    <xf numFmtId="0" fontId="53" fillId="24" borderId="70" xfId="9" applyFont="1" applyFill="1" applyBorder="1" applyAlignment="1">
      <alignment horizontal="center" vertical="center"/>
    </xf>
    <xf numFmtId="0" fontId="53" fillId="24" borderId="74" xfId="9" applyFont="1" applyFill="1" applyBorder="1" applyAlignment="1">
      <alignment horizontal="center" vertical="center"/>
    </xf>
    <xf numFmtId="0" fontId="51" fillId="2" borderId="16" xfId="9" applyFont="1" applyFill="1" applyBorder="1" applyAlignment="1">
      <alignment horizontal="center" vertical="center" wrapText="1"/>
    </xf>
    <xf numFmtId="0" fontId="51" fillId="2" borderId="25" xfId="9" applyFont="1" applyFill="1" applyBorder="1" applyAlignment="1">
      <alignment horizontal="center" vertical="center"/>
    </xf>
    <xf numFmtId="0" fontId="53" fillId="0" borderId="60" xfId="9" applyFont="1" applyBorder="1" applyAlignment="1">
      <alignment horizontal="center" vertical="center"/>
    </xf>
    <xf numFmtId="0" fontId="53" fillId="0" borderId="61" xfId="9" applyFont="1" applyBorder="1" applyAlignment="1">
      <alignment vertical="center"/>
    </xf>
    <xf numFmtId="0" fontId="22" fillId="0" borderId="2" xfId="4" applyFont="1" applyFill="1" applyBorder="1" applyAlignment="1">
      <alignment horizontal="center" vertical="center"/>
    </xf>
    <xf numFmtId="0" fontId="22" fillId="0" borderId="2" xfId="4" applyFont="1" applyBorder="1" applyAlignment="1">
      <alignment horizontal="center" vertical="center"/>
    </xf>
    <xf numFmtId="0" fontId="16" fillId="4" borderId="0" xfId="6" applyFont="1" applyFill="1" applyBorder="1" applyAlignment="1">
      <alignment horizontal="center" vertical="center"/>
    </xf>
    <xf numFmtId="0" fontId="16" fillId="4" borderId="0" xfId="7" applyFont="1" applyFill="1" applyBorder="1" applyAlignment="1">
      <alignment horizontal="center" vertical="center"/>
    </xf>
    <xf numFmtId="0" fontId="18" fillId="5" borderId="11" xfId="4" applyFont="1" applyFill="1" applyBorder="1" applyAlignment="1">
      <alignment horizontal="center" vertical="center"/>
    </xf>
    <xf numFmtId="0" fontId="18" fillId="5" borderId="3" xfId="4" applyFont="1" applyFill="1" applyBorder="1" applyAlignment="1">
      <alignment horizontal="center" vertical="center"/>
    </xf>
    <xf numFmtId="0" fontId="18" fillId="5" borderId="16" xfId="4" applyFont="1" applyFill="1" applyBorder="1" applyAlignment="1">
      <alignment horizontal="center" vertical="center"/>
    </xf>
    <xf numFmtId="0" fontId="18" fillId="5" borderId="28" xfId="4" applyFont="1" applyFill="1" applyBorder="1" applyAlignment="1">
      <alignment horizontal="center" vertical="center"/>
    </xf>
    <xf numFmtId="0" fontId="18" fillId="5" borderId="25" xfId="4" applyFont="1" applyFill="1" applyBorder="1" applyAlignment="1">
      <alignment horizontal="center" vertical="center"/>
    </xf>
    <xf numFmtId="0" fontId="20" fillId="5" borderId="2" xfId="5" applyFont="1" applyFill="1" applyBorder="1" applyAlignment="1">
      <alignment horizontal="center" vertical="center"/>
    </xf>
    <xf numFmtId="0" fontId="18" fillId="5" borderId="2" xfId="5" applyFont="1" applyFill="1" applyBorder="1" applyAlignment="1">
      <alignment horizontal="center" vertical="center"/>
    </xf>
  </cellXfs>
  <cellStyles count="10">
    <cellStyle name="경고문" xfId="2" builtinId="11"/>
    <cellStyle name="백분율" xfId="1" builtinId="5"/>
    <cellStyle name="쉼표 [0]" xfId="8" builtinId="6"/>
    <cellStyle name="표준" xfId="0" builtinId="0"/>
    <cellStyle name="표준 2" xfId="4"/>
    <cellStyle name="표준 2 2" xfId="5"/>
    <cellStyle name="표준 3" xfId="9"/>
    <cellStyle name="표준 9" xfId="7"/>
    <cellStyle name="표준 9 2" xfId="6"/>
    <cellStyle name="하이퍼링크 2" xfId="3"/>
  </cellStyles>
  <dxfs count="178">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theme="9" tint="0.39994506668294322"/>
        </patternFill>
      </fill>
    </dxf>
    <dxf>
      <fill>
        <patternFill>
          <bgColor theme="7" tint="0.39994506668294322"/>
        </patternFill>
      </fill>
    </dxf>
    <dxf>
      <font>
        <color rgb="FF9C0006"/>
      </font>
      <fill>
        <patternFill>
          <bgColor rgb="FFFFC7CE"/>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alignment horizontal="center" readingOrder="0"/>
    </dxf>
    <dxf>
      <alignment horizontal="center" readingOrder="0"/>
    </dxf>
    <dxf>
      <alignment horizontal="center" readingOrder="0"/>
    </dxf>
    <dxf>
      <alignment horizontal="center" readingOrder="0"/>
    </dxf>
    <dxf>
      <alignment horizontal="right" readingOrder="0"/>
    </dxf>
    <dxf>
      <alignment horizontal="right" readingOrder="0"/>
    </dxf>
    <dxf>
      <alignment horizontal="right" readingOrder="0"/>
    </dxf>
    <dxf>
      <alignment horizontal="right" readingOrder="0"/>
    </dxf>
    <dxf>
      <alignment horizontal="center" readingOrder="0"/>
    </dxf>
    <dxf>
      <alignment horizontal="center" readingOrder="0"/>
    </dxf>
    <dxf>
      <alignment horizontal="center" readingOrder="0"/>
    </dxf>
    <dxf>
      <alignment horizontal="center" readingOrder="0"/>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border>
    </dxf>
    <dxf>
      <alignment horizontal="center" readingOrder="0"/>
    </dxf>
    <dxf>
      <alignment horizontal="center" readingOrder="0"/>
    </dxf>
    <dxf>
      <alignment horizontal="center" readingOrder="0"/>
    </dxf>
    <dxf>
      <alignment horizontal="left" readingOrder="0"/>
    </dxf>
    <dxf>
      <alignment horizontal="left" readingOrder="0"/>
    </dxf>
    <dxf>
      <alignment horizontal="left" readingOrder="0"/>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alignment horizontal="center" readingOrder="0"/>
    </dxf>
    <dxf>
      <alignment horizontal="center" readingOrder="0"/>
    </dxf>
    <dxf>
      <alignment horizontal="right" readingOrder="0"/>
    </dxf>
    <dxf>
      <alignment horizontal="right" readingOrder="0"/>
    </dxf>
    <dxf>
      <border>
        <left style="thin">
          <color indexed="64"/>
        </left>
      </border>
    </dxf>
    <dxf>
      <border>
        <left style="thin">
          <color indexed="64"/>
        </left>
      </border>
    </dxf>
    <dxf>
      <alignment horizontal="center" readingOrder="0"/>
    </dxf>
    <dxf>
      <alignment horizontal="center" readingOrder="0"/>
    </dxf>
    <dxf>
      <alignment horizontal="center" readingOrder="0"/>
    </dxf>
    <dxf>
      <alignment horizontal="center" readingOrder="0"/>
    </dxf>
    <dxf>
      <alignment horizontal="left" readingOrder="0"/>
    </dxf>
    <dxf>
      <alignment horizontal="left" readingOrder="0"/>
    </dxf>
    <dxf>
      <alignment horizontal="left" readingOrder="0"/>
    </dxf>
    <dxf>
      <alignment horizontal="left" readingOrder="0"/>
    </dxf>
    <dxf>
      <border>
        <left style="thin">
          <color indexed="64"/>
        </left>
      </border>
    </dxf>
    <dxf>
      <alignment horizontal="center" readingOrder="0"/>
    </dxf>
    <dxf>
      <alignment horizontal="general" readingOrder="0"/>
    </dxf>
    <dxf>
      <alignment horizontal="center" readingOrder="0"/>
    </dxf>
    <dxf>
      <alignment horizontal="center" readingOrder="0"/>
    </dxf>
    <dxf>
      <alignment horizontal="general" readingOrder="0"/>
    </dxf>
    <dxf>
      <alignment horizontal="general" readingOrder="0"/>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0" tint="-0.14999847407452621"/>
        </patternFill>
      </fill>
    </dxf>
    <dxf>
      <fill>
        <patternFill patternType="solid">
          <bgColor theme="0" tint="-0.14999847407452621"/>
        </patternFill>
      </fill>
    </dxf>
    <dxf>
      <alignment horizontal="center" readingOrder="0"/>
    </dxf>
    <dxf>
      <alignment horizontal="center" readingOrder="0"/>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s>
  <tableStyles count="0" defaultTableStyle="TableStyleMedium2" defaultPivotStyle="PivotStyleLight16"/>
  <colors>
    <mruColors>
      <color rgb="FF3333FF"/>
      <color rgb="FF3399FF"/>
      <color rgb="FF000099"/>
      <color rgb="FF003399"/>
      <color rgb="FF0033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'처리 현황'!$BG$81:$BL$81</c:f>
              <c:strCache>
                <c:ptCount val="6"/>
                <c:pt idx="0">
                  <c:v>경원선 18량</c:v>
                </c:pt>
                <c:pt idx="1">
                  <c:v>과천안산선 70량</c:v>
                </c:pt>
                <c:pt idx="2">
                  <c:v>1호선 40량</c:v>
                </c:pt>
                <c:pt idx="3">
                  <c:v>경인선 80량</c:v>
                </c:pt>
                <c:pt idx="4">
                  <c:v>과천안산선 180량</c:v>
                </c:pt>
                <c:pt idx="5">
                  <c:v>분당선 108량</c:v>
                </c:pt>
              </c:strCache>
            </c:strRef>
          </c:cat>
          <c:val>
            <c:numRef>
              <c:f>'처리 현황'!$BG$82:$BL$82</c:f>
              <c:numCache>
                <c:formatCode>General</c:formatCode>
                <c:ptCount val="6"/>
                <c:pt idx="0">
                  <c:v>8</c:v>
                </c:pt>
                <c:pt idx="1">
                  <c:v>61</c:v>
                </c:pt>
                <c:pt idx="2">
                  <c:v>26</c:v>
                </c:pt>
                <c:pt idx="3">
                  <c:v>84</c:v>
                </c:pt>
                <c:pt idx="4">
                  <c:v>65</c:v>
                </c:pt>
                <c:pt idx="5">
                  <c:v>29</c:v>
                </c:pt>
              </c:numCache>
            </c:numRef>
          </c:val>
          <c:extLst>
            <c:ext xmlns:c16="http://schemas.microsoft.com/office/drawing/2014/chart" uri="{C3380CC4-5D6E-409C-BE32-E72D297353CC}">
              <c16:uniqueId val="{00000000-F939-48D8-8A2B-0527641EBFBF}"/>
            </c:ext>
          </c:extLst>
        </c:ser>
        <c:dLbls>
          <c:showLegendKey val="0"/>
          <c:showVal val="0"/>
          <c:showCatName val="0"/>
          <c:showSerName val="0"/>
          <c:showPercent val="0"/>
          <c:showBubbleSize val="0"/>
        </c:dLbls>
        <c:gapWidth val="182"/>
        <c:axId val="784532120"/>
        <c:axId val="784526544"/>
      </c:barChart>
      <c:catAx>
        <c:axId val="784532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84526544"/>
        <c:crosses val="autoZero"/>
        <c:auto val="1"/>
        <c:lblAlgn val="ctr"/>
        <c:lblOffset val="100"/>
        <c:noMultiLvlLbl val="0"/>
      </c:catAx>
      <c:valAx>
        <c:axId val="784526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84532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'처리 현황'!$BR$35</c:f>
              <c:strCache>
                <c:ptCount val="1"/>
                <c:pt idx="0">
                  <c:v>밸브</c:v>
                </c:pt>
              </c:strCache>
            </c:strRef>
          </c:tx>
          <c:spPr>
            <a:solidFill>
              <a:schemeClr val="accent1"/>
            </a:solidFill>
            <a:ln>
              <a:noFill/>
            </a:ln>
            <a:effectLst/>
          </c:spPr>
          <c:invertIfNegative val="0"/>
          <c:cat>
            <c:numRef>
              <c:f>'처리 현황'!$BJ$36:$BJ$47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'처리 현황'!$BR$36:$BR$47</c:f>
              <c:numCache>
                <c:formatCode>General</c:formatCode>
                <c:ptCount val="12"/>
                <c:pt idx="0">
                  <c:v>1</c:v>
                </c:pt>
                <c:pt idx="1">
                  <c:v>0</c:v>
                </c:pt>
                <c:pt idx="2">
                  <c:v>7</c:v>
                </c:pt>
                <c:pt idx="3">
                  <c:v>4</c:v>
                </c:pt>
                <c:pt idx="4">
                  <c:v>6</c:v>
                </c:pt>
                <c:pt idx="5">
                  <c:v>5</c:v>
                </c:pt>
                <c:pt idx="6">
                  <c:v>2</c:v>
                </c:pt>
                <c:pt idx="7">
                  <c:v>0</c:v>
                </c:pt>
                <c:pt idx="8">
                  <c:v>0</c:v>
                </c:pt>
                <c:pt idx="9">
                  <c:v>0</c:v>
                </c:pt>
                <c:pt idx="10">
                  <c:v>0</c:v>
                </c:pt>
                <c:pt idx="11">
                  <c:v>0</c:v>
                </c:pt>
              </c:numCache>
            </c:numRef>
          </c:val>
          <c:extLst>
            <c:ext xmlns:c16="http://schemas.microsoft.com/office/drawing/2014/chart" uri="{C3380CC4-5D6E-409C-BE32-E72D297353CC}">
              <c16:uniqueId val="{00000000-3BB3-4C43-85CA-A9E675DEC105}"/>
            </c:ext>
          </c:extLst>
        </c:ser>
        <c:dLbls>
          <c:showLegendKey val="0"/>
          <c:showVal val="0"/>
          <c:showCatName val="0"/>
          <c:showSerName val="0"/>
          <c:showPercent val="0"/>
          <c:showBubbleSize val="0"/>
        </c:dLbls>
        <c:gapWidth val="219"/>
        <c:overlap val="-27"/>
        <c:axId val="573983200"/>
        <c:axId val="573977296"/>
      </c:barChart>
      <c:catAx>
        <c:axId val="57398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73977296"/>
        <c:crosses val="autoZero"/>
        <c:auto val="1"/>
        <c:lblAlgn val="ctr"/>
        <c:lblOffset val="100"/>
        <c:noMultiLvlLbl val="0"/>
      </c:catAx>
      <c:valAx>
        <c:axId val="57397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73983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'트랜드 분석_15일'!$F$18</c:f>
              <c:strCache>
                <c:ptCount val="1"/>
                <c:pt idx="0">
                  <c:v>경과일</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'트랜드 분석_15일'!$G$18:$CH$18</c:f>
              <c:numCache>
                <c:formatCode>0_);[Red]\(0\)</c:formatCode>
                <c:ptCount val="80"/>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numCache>
            </c:numRef>
          </c:cat>
          <c:val>
            <c:numRef>
              <c:f>'트랜드 분석_15일'!$G$18:$CH$18</c:f>
              <c:numCache>
                <c:formatCode>0_);[Red]\(0\)</c:formatCode>
                <c:ptCount val="80"/>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numCache>
            </c:numRef>
          </c:val>
          <c:smooth val="0"/>
          <c:extLst>
            <c:ext xmlns:c16="http://schemas.microsoft.com/office/drawing/2014/chart" uri="{C3380CC4-5D6E-409C-BE32-E72D297353CC}">
              <c16:uniqueId val="{00000000-E0E4-4375-A9DE-408DFFE072E0}"/>
            </c:ext>
          </c:extLst>
        </c:ser>
        <c:ser>
          <c:idx val="1"/>
          <c:order val="1"/>
          <c:tx>
            <c:strRef>
              <c:f>'트랜드 분석_15일'!$F$23</c:f>
              <c:strCache>
                <c:ptCount val="1"/>
                <c:pt idx="0">
                  <c:v>단품불량</c:v>
                </c:pt>
              </c:strCache>
            </c:strRef>
          </c:tx>
          <c:spPr>
            <a:ln w="28575" cap="rnd">
              <a:noFill/>
              <a:round/>
            </a:ln>
            <a:effectLst/>
          </c:spPr>
          <c:marker>
            <c:symbol val="circle"/>
            <c:size val="10"/>
            <c:spPr>
              <a:solidFill>
                <a:schemeClr val="accent2"/>
              </a:solidFill>
              <a:ln w="9525">
                <a:solidFill>
                  <a:schemeClr val="accent2"/>
                </a:solidFill>
              </a:ln>
              <a:effectLst/>
            </c:spPr>
          </c:marker>
          <c:cat>
            <c:numRef>
              <c:f>'트랜드 분석_15일'!$G$18:$CH$18</c:f>
              <c:numCache>
                <c:formatCode>0_);[Red]\(0\)</c:formatCode>
                <c:ptCount val="80"/>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numCache>
            </c:numRef>
          </c:cat>
          <c:val>
            <c:numRef>
              <c:f>'트랜드 분석_15일'!$G$23:$CH$23</c:f>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1-E0E4-4375-A9DE-408DFFE072E0}"/>
            </c:ext>
          </c:extLst>
        </c:ser>
        <c:dLbls>
          <c:showLegendKey val="0"/>
          <c:showVal val="0"/>
          <c:showCatName val="0"/>
          <c:showSerName val="0"/>
          <c:showPercent val="0"/>
          <c:showBubbleSize val="0"/>
        </c:dLbls>
        <c:marker val="1"/>
        <c:smooth val="0"/>
        <c:axId val="1017454592"/>
        <c:axId val="1017451968"/>
      </c:lineChart>
      <c:catAx>
        <c:axId val="1017454592"/>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17451968"/>
        <c:crosses val="autoZero"/>
        <c:auto val="1"/>
        <c:lblAlgn val="ctr"/>
        <c:lblOffset val="100"/>
        <c:noMultiLvlLbl val="0"/>
      </c:catAx>
      <c:valAx>
        <c:axId val="1017451968"/>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17454592"/>
        <c:crosses val="autoZero"/>
        <c:crossBetween val="between"/>
        <c:majorUnit val="1"/>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'트랜드 분석_15일'!$F$18</c:f>
              <c:strCache>
                <c:ptCount val="1"/>
                <c:pt idx="0">
                  <c:v>경과일</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'트랜드 분석_15일'!$G$18:$CH$18</c:f>
              <c:numCache>
                <c:formatCode>0_);[Red]\(0\)</c:formatCode>
                <c:ptCount val="80"/>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numCache>
            </c:numRef>
          </c:cat>
          <c:val>
            <c:numRef>
              <c:f>'트랜드 분석_15일'!$G$18:$CH$18</c:f>
              <c:numCache>
                <c:formatCode>0_);[Red]\(0\)</c:formatCode>
                <c:ptCount val="80"/>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numCache>
            </c:numRef>
          </c:val>
          <c:smooth val="0"/>
          <c:extLst>
            <c:ext xmlns:c16="http://schemas.microsoft.com/office/drawing/2014/chart" uri="{C3380CC4-5D6E-409C-BE32-E72D297353CC}">
              <c16:uniqueId val="{00000000-2265-4033-8BD9-F1079C113E40}"/>
            </c:ext>
          </c:extLst>
        </c:ser>
        <c:ser>
          <c:idx val="1"/>
          <c:order val="1"/>
          <c:tx>
            <c:strRef>
              <c:f>'트랜드 분석_15일'!$F$32</c:f>
              <c:strCache>
                <c:ptCount val="1"/>
                <c:pt idx="0">
                  <c:v>단품불량</c:v>
                </c:pt>
              </c:strCache>
            </c:strRef>
          </c:tx>
          <c:spPr>
            <a:ln w="28575" cap="rnd">
              <a:noFill/>
              <a:round/>
            </a:ln>
            <a:effectLst/>
          </c:spPr>
          <c:marker>
            <c:symbol val="circle"/>
            <c:size val="10"/>
            <c:spPr>
              <a:solidFill>
                <a:schemeClr val="accent2"/>
              </a:solidFill>
              <a:ln w="9525">
                <a:solidFill>
                  <a:schemeClr val="accent2"/>
                </a:solidFill>
              </a:ln>
              <a:effectLst/>
            </c:spPr>
          </c:marker>
          <c:cat>
            <c:numRef>
              <c:f>'트랜드 분석_15일'!$G$18:$CH$18</c:f>
              <c:numCache>
                <c:formatCode>0_);[Red]\(0\)</c:formatCode>
                <c:ptCount val="80"/>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numCache>
            </c:numRef>
          </c:cat>
          <c:val>
            <c:numRef>
              <c:f>'트랜드 분석_15일'!$G$32:$CH$32</c:f>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1-2265-4033-8BD9-F1079C113E40}"/>
            </c:ext>
          </c:extLst>
        </c:ser>
        <c:dLbls>
          <c:showLegendKey val="0"/>
          <c:showVal val="0"/>
          <c:showCatName val="0"/>
          <c:showSerName val="0"/>
          <c:showPercent val="0"/>
          <c:showBubbleSize val="0"/>
        </c:dLbls>
        <c:marker val="1"/>
        <c:smooth val="0"/>
        <c:axId val="1017454592"/>
        <c:axId val="1017451968"/>
      </c:lineChart>
      <c:catAx>
        <c:axId val="1017454592"/>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17451968"/>
        <c:crosses val="autoZero"/>
        <c:auto val="1"/>
        <c:lblAlgn val="ctr"/>
        <c:lblOffset val="100"/>
        <c:noMultiLvlLbl val="0"/>
      </c:catAx>
      <c:valAx>
        <c:axId val="1017451968"/>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17454592"/>
        <c:crosses val="autoZero"/>
        <c:crossBetween val="between"/>
        <c:majorUnit val="1"/>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2"/>
          <c:tx>
            <c:strRef>
              <c:f>'트랜드 분석_15일'!$F$103</c:f>
              <c:strCache>
                <c:ptCount val="1"/>
                <c:pt idx="0">
                  <c:v>단품불량</c:v>
                </c:pt>
              </c:strCache>
            </c:strRef>
          </c:tx>
          <c:spPr>
            <a:ln w="28575" cap="rnd">
              <a:noFill/>
              <a:round/>
            </a:ln>
            <a:effectLst/>
          </c:spPr>
          <c:marker>
            <c:symbol val="circle"/>
            <c:size val="15"/>
            <c:spPr>
              <a:solidFill>
                <a:schemeClr val="accent1"/>
              </a:solidFill>
              <a:ln w="9525">
                <a:solidFill>
                  <a:schemeClr val="accent3"/>
                </a:solidFill>
              </a:ln>
              <a:effectLst/>
            </c:spPr>
          </c:marker>
          <c:cat>
            <c:numRef>
              <c:f>'트랜드 분석_15일'!$G$98:$CQ$98</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분석_15일'!$G$103:$CQ$103</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2-AF0B-4E1E-8DE8-105220D89DB2}"/>
            </c:ext>
          </c:extLst>
        </c:ser>
        <c:dLbls>
          <c:showLegendKey val="0"/>
          <c:showVal val="0"/>
          <c:showCatName val="0"/>
          <c:showSerName val="0"/>
          <c:showPercent val="0"/>
          <c:showBubbleSize val="0"/>
        </c:dLbls>
        <c:marker val="1"/>
        <c:smooth val="0"/>
        <c:axId val="428602696"/>
        <c:axId val="428603680"/>
        <c:extLst>
          <c:ext xmlns:c15="http://schemas.microsoft.com/office/drawing/2012/chart" uri="{02D57815-91ED-43cb-92C2-25804820EDAC}">
            <c15:filteredLineSeries>
              <c15:ser>
                <c:idx val="0"/>
                <c:order val="0"/>
                <c:tx>
                  <c:strRef>
                    <c:extLst>
                      <c:ext uri="{02D57815-91ED-43cb-92C2-25804820EDAC}">
                        <c15:formulaRef>
                          <c15:sqref>'트랜드 분석_15일'!$F$99</c15:sqref>
                        </c15:formulaRef>
                      </c:ext>
                    </c:extLst>
                    <c:strCache>
                      <c:ptCount val="1"/>
                      <c:pt idx="0">
                        <c:v>총건수</c:v>
                      </c:pt>
                    </c:strCache>
                  </c:strRef>
                </c:tx>
                <c:spPr>
                  <a:ln w="28575" cap="rnd">
                    <a:noFill/>
                    <a:round/>
                  </a:ln>
                  <a:effectLst/>
                </c:spPr>
                <c:marker>
                  <c:symbol val="square"/>
                  <c:size val="16"/>
                  <c:spPr>
                    <a:solidFill>
                      <a:schemeClr val="accent1"/>
                    </a:solidFill>
                    <a:ln w="9525">
                      <a:solidFill>
                        <a:schemeClr val="accent1"/>
                      </a:solidFill>
                    </a:ln>
                    <a:effectLst/>
                  </c:spPr>
                </c:marker>
                <c:cat>
                  <c:numRef>
                    <c:extLst>
                      <c:ext uri="{02D57815-91ED-43cb-92C2-25804820EDAC}">
                        <c15:formulaRef>
                          <c15:sqref>'트랜드 분석_15일'!$G$98:$CQ$98</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c:ext uri="{02D57815-91ED-43cb-92C2-25804820EDAC}">
                        <c15:formulaRef>
                          <c15:sqref>'트랜드 분석_15일'!$G$99:$CH$99</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0-AF0B-4E1E-8DE8-105220D89DB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'트랜드 분석_15일'!$F$102</c15:sqref>
                        </c15:formulaRef>
                      </c:ext>
                    </c:extLst>
                    <c:strCache>
                      <c:ptCount val="1"/>
                      <c:pt idx="0">
                        <c:v>초기 안정화</c:v>
                      </c:pt>
                    </c:strCache>
                  </c:strRef>
                </c:tx>
                <c:spPr>
                  <a:ln w="28575" cap="rnd">
                    <a:noFill/>
                    <a:round/>
                  </a:ln>
                  <a:effectLst/>
                </c:spPr>
                <c:marker>
                  <c:symbol val="circle"/>
                  <c:size val="1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'트랜드 분석_15일'!$G$98:$CQ$98</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분석_15일'!$G$102:$CH$102</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1-AF0B-4E1E-8DE8-105220D89DB2}"/>
                  </c:ext>
                </c:extLst>
              </c15:ser>
            </c15:filteredLineSeries>
          </c:ext>
        </c:extLst>
      </c:lineChart>
      <c:catAx>
        <c:axId val="428602696"/>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28603680"/>
        <c:crosses val="autoZero"/>
        <c:auto val="1"/>
        <c:lblAlgn val="ctr"/>
        <c:lblOffset val="100"/>
        <c:noMultiLvlLbl val="0"/>
      </c:catAx>
      <c:valAx>
        <c:axId val="428603680"/>
        <c:scaling>
          <c:orientation val="minMax"/>
          <c:max val="1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28602696"/>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'트랜드 분석_15일'!$F$102</c:f>
              <c:strCache>
                <c:ptCount val="1"/>
                <c:pt idx="0">
                  <c:v>초기 안정화</c:v>
                </c:pt>
              </c:strCache>
              <c:extLst xmlns:c15="http://schemas.microsoft.com/office/drawing/2012/chart"/>
            </c:strRef>
          </c:tx>
          <c:spPr>
            <a:ln w="28575" cap="rnd">
              <a:noFill/>
              <a:round/>
            </a:ln>
            <a:effectLst/>
          </c:spPr>
          <c:marker>
            <c:symbol val="circle"/>
            <c:size val="15"/>
            <c:spPr>
              <a:solidFill>
                <a:schemeClr val="accent2"/>
              </a:solidFill>
              <a:ln w="9525">
                <a:solidFill>
                  <a:schemeClr val="accent2"/>
                </a:solidFill>
              </a:ln>
              <a:effectLst/>
            </c:spPr>
          </c:marker>
          <c:cat>
            <c:numRef>
              <c:f>'트랜드 분석_15일'!$G$98:$CQ$98</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분석_15일'!$G$102:$CQ$102</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2-8AEA-40BC-A57D-2886214408F9}"/>
            </c:ext>
          </c:extLst>
        </c:ser>
        <c:dLbls>
          <c:showLegendKey val="0"/>
          <c:showVal val="0"/>
          <c:showCatName val="0"/>
          <c:showSerName val="0"/>
          <c:showPercent val="0"/>
          <c:showBubbleSize val="0"/>
        </c:dLbls>
        <c:marker val="1"/>
        <c:smooth val="0"/>
        <c:axId val="428602696"/>
        <c:axId val="428603680"/>
        <c:extLst>
          <c:ext xmlns:c15="http://schemas.microsoft.com/office/drawing/2012/chart" uri="{02D57815-91ED-43cb-92C2-25804820EDAC}">
            <c15:filteredLineSeries>
              <c15:ser>
                <c:idx val="0"/>
                <c:order val="0"/>
                <c:tx>
                  <c:strRef>
                    <c:extLst>
                      <c:ext uri="{02D57815-91ED-43cb-92C2-25804820EDAC}">
                        <c15:formulaRef>
                          <c15:sqref>'트랜드 분석_15일'!$F$99</c15:sqref>
                        </c15:formulaRef>
                      </c:ext>
                    </c:extLst>
                    <c:strCache>
                      <c:ptCount val="1"/>
                      <c:pt idx="0">
                        <c:v>총건수</c:v>
                      </c:pt>
                    </c:strCache>
                  </c:strRef>
                </c:tx>
                <c:spPr>
                  <a:ln w="28575" cap="rnd">
                    <a:noFill/>
                    <a:round/>
                  </a:ln>
                  <a:effectLst/>
                </c:spPr>
                <c:marker>
                  <c:symbol val="square"/>
                  <c:size val="16"/>
                  <c:spPr>
                    <a:solidFill>
                      <a:schemeClr val="accent1"/>
                    </a:solidFill>
                    <a:ln w="9525">
                      <a:solidFill>
                        <a:schemeClr val="accent1"/>
                      </a:solidFill>
                    </a:ln>
                    <a:effectLst/>
                  </c:spPr>
                </c:marker>
                <c:cat>
                  <c:numRef>
                    <c:extLst>
                      <c:ext uri="{02D57815-91ED-43cb-92C2-25804820EDAC}">
                        <c15:formulaRef>
                          <c15:sqref>'트랜드 분석_15일'!$G$98:$CQ$98</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c:ext uri="{02D57815-91ED-43cb-92C2-25804820EDAC}">
                        <c15:formulaRef>
                          <c15:sqref>'트랜드 분석_15일'!$G$99:$CH$99</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1-8AEA-40BC-A57D-2886214408F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'트랜드 분석_15일'!$F$103</c15:sqref>
                        </c15:formulaRef>
                      </c:ext>
                    </c:extLst>
                    <c:strCache>
                      <c:ptCount val="1"/>
                      <c:pt idx="0">
                        <c:v>단품불량</c:v>
                      </c:pt>
                    </c:strCache>
                  </c:strRef>
                </c:tx>
                <c:spPr>
                  <a:ln w="28575" cap="rnd">
                    <a:noFill/>
                    <a:round/>
                  </a:ln>
                  <a:effectLst/>
                </c:spPr>
                <c:marker>
                  <c:symbol val="circle"/>
                  <c:size val="15"/>
                  <c:spPr>
                    <a:solidFill>
                      <a:schemeClr val="accent1"/>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'트랜드 분석_15일'!$G$98:$CQ$98</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분석_15일'!$G$103:$CH$103</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0-8AEA-40BC-A57D-2886214408F9}"/>
                  </c:ext>
                </c:extLst>
              </c15:ser>
            </c15:filteredLineSeries>
          </c:ext>
        </c:extLst>
      </c:lineChart>
      <c:catAx>
        <c:axId val="428602696"/>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28603680"/>
        <c:crosses val="autoZero"/>
        <c:auto val="1"/>
        <c:lblAlgn val="ctr"/>
        <c:lblOffset val="100"/>
        <c:noMultiLvlLbl val="0"/>
      </c:catAx>
      <c:valAx>
        <c:axId val="428603680"/>
        <c:scaling>
          <c:orientation val="minMax"/>
          <c:max val="1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28602696"/>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4"/>
          <c:order val="4"/>
          <c:tx>
            <c:strRef>
              <c:f>'트랜드 분석_15일'!$F$113</c:f>
              <c:strCache>
                <c:ptCount val="1"/>
                <c:pt idx="0">
                  <c:v>단품불량</c:v>
                </c:pt>
              </c:strCache>
            </c:strRef>
          </c:tx>
          <c:spPr>
            <a:ln w="28575" cap="rnd">
              <a:noFill/>
              <a:round/>
            </a:ln>
            <a:effectLst/>
          </c:spPr>
          <c:marker>
            <c:symbol val="circle"/>
            <c:size val="15"/>
            <c:spPr>
              <a:solidFill>
                <a:schemeClr val="accent1"/>
              </a:solidFill>
              <a:ln w="9525">
                <a:noFill/>
              </a:ln>
              <a:effectLst/>
            </c:spPr>
          </c:marker>
          <c:cat>
            <c:numRef>
              <c:f>'트랜드 분석_15일'!$G$108:$CQ$108</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분석_15일'!$G$113:$CQ$113</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4-D212-432B-A13F-C5B68A8DFC48}"/>
            </c:ext>
          </c:extLst>
        </c:ser>
        <c:dLbls>
          <c:showLegendKey val="0"/>
          <c:showVal val="0"/>
          <c:showCatName val="0"/>
          <c:showSerName val="0"/>
          <c:showPercent val="0"/>
          <c:showBubbleSize val="0"/>
        </c:dLbls>
        <c:marker val="1"/>
        <c:smooth val="0"/>
        <c:axId val="619031840"/>
        <c:axId val="619032168"/>
        <c:extLst>
          <c:ext xmlns:c15="http://schemas.microsoft.com/office/drawing/2012/chart" uri="{02D57815-91ED-43cb-92C2-25804820EDAC}">
            <c15:filteredLineSeries>
              <c15:ser>
                <c:idx val="0"/>
                <c:order val="0"/>
                <c:tx>
                  <c:strRef>
                    <c:extLst>
                      <c:ext uri="{02D57815-91ED-43cb-92C2-25804820EDAC}">
                        <c15:formulaRef>
                          <c15:sqref>'트랜드 분석_15일'!$F$109</c15:sqref>
                        </c15:formulaRef>
                      </c:ext>
                    </c:extLst>
                    <c:strCache>
                      <c:ptCount val="1"/>
                      <c:pt idx="0">
                        <c:v>총건수</c:v>
                      </c:pt>
                    </c:strCache>
                  </c:strRef>
                </c:tx>
                <c:spPr>
                  <a:ln w="28575" cap="rnd">
                    <a:solidFill>
                      <a:schemeClr val="accent1"/>
                    </a:solidFill>
                    <a:round/>
                  </a:ln>
                  <a:effectLst/>
                </c:spPr>
                <c:marker>
                  <c:symbol val="none"/>
                </c:marker>
                <c:cat>
                  <c:numRef>
                    <c:extLst>
                      <c:ext uri="{02D57815-91ED-43cb-92C2-25804820EDAC}">
                        <c15:formulaRef>
                          <c15:sqref>'트랜드 분석_15일'!$G$108:$CQ$108</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c:ext uri="{02D57815-91ED-43cb-92C2-25804820EDAC}">
                        <c15:formulaRef>
                          <c15:sqref>'트랜드 분석_15일'!$G$109:$CH$109</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2</c:v>
                      </c:pt>
                      <c:pt idx="12">
                        <c:v>2</c:v>
                      </c:pt>
                      <c:pt idx="13">
                        <c:v>0</c:v>
                      </c:pt>
                      <c:pt idx="14">
                        <c:v>0</c:v>
                      </c:pt>
                      <c:pt idx="15">
                        <c:v>0</c:v>
                      </c:pt>
                      <c:pt idx="16">
                        <c:v>2</c:v>
                      </c:pt>
                      <c:pt idx="17">
                        <c:v>0</c:v>
                      </c:pt>
                      <c:pt idx="18">
                        <c:v>2</c:v>
                      </c:pt>
                      <c:pt idx="19">
                        <c:v>3</c:v>
                      </c:pt>
                      <c:pt idx="20">
                        <c:v>0</c:v>
                      </c:pt>
                      <c:pt idx="21">
                        <c:v>2</c:v>
                      </c:pt>
                      <c:pt idx="22">
                        <c:v>1</c:v>
                      </c:pt>
                      <c:pt idx="23">
                        <c:v>0</c:v>
                      </c:pt>
                      <c:pt idx="24">
                        <c:v>1</c:v>
                      </c:pt>
                      <c:pt idx="25">
                        <c:v>2</c:v>
                      </c:pt>
                      <c:pt idx="26">
                        <c:v>0</c:v>
                      </c:pt>
                      <c:pt idx="27">
                        <c:v>0</c:v>
                      </c:pt>
                      <c:pt idx="28">
                        <c:v>0</c:v>
                      </c:pt>
                      <c:pt idx="29">
                        <c:v>0</c:v>
                      </c:pt>
                      <c:pt idx="30">
                        <c:v>1</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0-D212-432B-A13F-C5B68A8DFC48}"/>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'트랜드 분석_15일'!$F$110</c15:sqref>
                        </c15:formulaRef>
                      </c:ext>
                    </c:extLst>
                    <c:strCache>
                      <c:ptCount val="1"/>
                      <c:pt idx="0">
                        <c:v>설계불량</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'트랜드 분석_15일'!$G$108:$CQ$108</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분석_15일'!$G$110:$CH$110</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1-D212-432B-A13F-C5B68A8DFC48}"/>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'트랜드 분석_15일'!$F$111</c15:sqref>
                        </c15:formulaRef>
                      </c:ext>
                    </c:extLst>
                    <c:strCache>
                      <c:ptCount val="1"/>
                      <c:pt idx="0">
                        <c:v>S/W불량</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'트랜드 분석_15일'!$G$108:$CQ$108</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분석_15일'!$G$111:$CH$111</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2</c:v>
                      </c:pt>
                      <c:pt idx="12">
                        <c:v>2</c:v>
                      </c:pt>
                      <c:pt idx="13">
                        <c:v>0</c:v>
                      </c:pt>
                      <c:pt idx="14">
                        <c:v>0</c:v>
                      </c:pt>
                      <c:pt idx="15">
                        <c:v>0</c:v>
                      </c:pt>
                      <c:pt idx="16">
                        <c:v>2</c:v>
                      </c:pt>
                      <c:pt idx="17">
                        <c:v>0</c:v>
                      </c:pt>
                      <c:pt idx="18">
                        <c:v>2</c:v>
                      </c:pt>
                      <c:pt idx="19">
                        <c:v>3</c:v>
                      </c:pt>
                      <c:pt idx="20">
                        <c:v>0</c:v>
                      </c:pt>
                      <c:pt idx="21">
                        <c:v>2</c:v>
                      </c:pt>
                      <c:pt idx="22">
                        <c:v>1</c:v>
                      </c:pt>
                      <c:pt idx="23">
                        <c:v>0</c:v>
                      </c:pt>
                      <c:pt idx="24">
                        <c:v>1</c:v>
                      </c:pt>
                      <c:pt idx="25">
                        <c:v>2</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2-D212-432B-A13F-C5B68A8DFC48}"/>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'트랜드 분석_15일'!$F$112</c15:sqref>
                        </c15:formulaRef>
                      </c:ext>
                    </c:extLst>
                    <c:strCache>
                      <c:ptCount val="1"/>
                      <c:pt idx="0">
                        <c:v>초기 안정화</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'트랜드 분석_15일'!$G$108:$CQ$108</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분석_15일'!$G$112:$CH$112</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2</c:v>
                      </c:pt>
                      <c:pt idx="12">
                        <c:v>2</c:v>
                      </c:pt>
                      <c:pt idx="13">
                        <c:v>0</c:v>
                      </c:pt>
                      <c:pt idx="14">
                        <c:v>0</c:v>
                      </c:pt>
                      <c:pt idx="15">
                        <c:v>0</c:v>
                      </c:pt>
                      <c:pt idx="16">
                        <c:v>2</c:v>
                      </c:pt>
                      <c:pt idx="17">
                        <c:v>0</c:v>
                      </c:pt>
                      <c:pt idx="18">
                        <c:v>2</c:v>
                      </c:pt>
                      <c:pt idx="19">
                        <c:v>3</c:v>
                      </c:pt>
                      <c:pt idx="20">
                        <c:v>0</c:v>
                      </c:pt>
                      <c:pt idx="21">
                        <c:v>2</c:v>
                      </c:pt>
                      <c:pt idx="22">
                        <c:v>1</c:v>
                      </c:pt>
                      <c:pt idx="23">
                        <c:v>0</c:v>
                      </c:pt>
                      <c:pt idx="24">
                        <c:v>1</c:v>
                      </c:pt>
                      <c:pt idx="25">
                        <c:v>2</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3-D212-432B-A13F-C5B68A8DFC48}"/>
                  </c:ext>
                </c:extLst>
              </c15:ser>
            </c15:filteredLineSeries>
          </c:ext>
        </c:extLst>
      </c:lineChart>
      <c:catAx>
        <c:axId val="619031840"/>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9032168"/>
        <c:crosses val="autoZero"/>
        <c:auto val="1"/>
        <c:lblAlgn val="ctr"/>
        <c:lblOffset val="100"/>
        <c:noMultiLvlLbl val="0"/>
      </c:catAx>
      <c:valAx>
        <c:axId val="619032168"/>
        <c:scaling>
          <c:orientation val="minMax"/>
          <c:max val="1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9031840"/>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3"/>
          <c:order val="3"/>
          <c:tx>
            <c:strRef>
              <c:f>'트랜드 분석_15일'!$F$112</c:f>
              <c:strCache>
                <c:ptCount val="1"/>
                <c:pt idx="0">
                  <c:v>초기 안정화</c:v>
                </c:pt>
              </c:strCache>
              <c:extLst xmlns:c15="http://schemas.microsoft.com/office/drawing/2012/chart"/>
            </c:strRef>
          </c:tx>
          <c:spPr>
            <a:ln w="28575" cap="rnd">
              <a:noFill/>
              <a:round/>
            </a:ln>
            <a:effectLst/>
          </c:spPr>
          <c:marker>
            <c:symbol val="circle"/>
            <c:size val="15"/>
            <c:spPr>
              <a:solidFill>
                <a:schemeClr val="accent2"/>
              </a:solidFill>
              <a:ln w="9525">
                <a:noFill/>
              </a:ln>
              <a:effectLst/>
            </c:spPr>
          </c:marker>
          <c:cat>
            <c:numRef>
              <c:f>'트랜드 분석_15일'!$G$108:$CQ$108</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분석_15일'!$G$112:$CQ$112</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2</c:v>
                </c:pt>
                <c:pt idx="12">
                  <c:v>2</c:v>
                </c:pt>
                <c:pt idx="13">
                  <c:v>0</c:v>
                </c:pt>
                <c:pt idx="14">
                  <c:v>0</c:v>
                </c:pt>
                <c:pt idx="15">
                  <c:v>0</c:v>
                </c:pt>
                <c:pt idx="16">
                  <c:v>2</c:v>
                </c:pt>
                <c:pt idx="17">
                  <c:v>0</c:v>
                </c:pt>
                <c:pt idx="18">
                  <c:v>2</c:v>
                </c:pt>
                <c:pt idx="19">
                  <c:v>3</c:v>
                </c:pt>
                <c:pt idx="20">
                  <c:v>0</c:v>
                </c:pt>
                <c:pt idx="21">
                  <c:v>2</c:v>
                </c:pt>
                <c:pt idx="22">
                  <c:v>1</c:v>
                </c:pt>
                <c:pt idx="23">
                  <c:v>0</c:v>
                </c:pt>
                <c:pt idx="24">
                  <c:v>1</c:v>
                </c:pt>
                <c:pt idx="25">
                  <c:v>2</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4-33BD-4D17-9AE6-09B642AABCE3}"/>
            </c:ext>
          </c:extLst>
        </c:ser>
        <c:dLbls>
          <c:showLegendKey val="0"/>
          <c:showVal val="0"/>
          <c:showCatName val="0"/>
          <c:showSerName val="0"/>
          <c:showPercent val="0"/>
          <c:showBubbleSize val="0"/>
        </c:dLbls>
        <c:marker val="1"/>
        <c:smooth val="0"/>
        <c:axId val="619031840"/>
        <c:axId val="619032168"/>
        <c:extLst>
          <c:ext xmlns:c15="http://schemas.microsoft.com/office/drawing/2012/chart" uri="{02D57815-91ED-43cb-92C2-25804820EDAC}">
            <c15:filteredLineSeries>
              <c15:ser>
                <c:idx val="0"/>
                <c:order val="0"/>
                <c:tx>
                  <c:strRef>
                    <c:extLst>
                      <c:ext uri="{02D57815-91ED-43cb-92C2-25804820EDAC}">
                        <c15:formulaRef>
                          <c15:sqref>'트랜드 분석_15일'!$F$109</c15:sqref>
                        </c15:formulaRef>
                      </c:ext>
                    </c:extLst>
                    <c:strCache>
                      <c:ptCount val="1"/>
                      <c:pt idx="0">
                        <c:v>총건수</c:v>
                      </c:pt>
                    </c:strCache>
                  </c:strRef>
                </c:tx>
                <c:spPr>
                  <a:ln w="28575" cap="rnd">
                    <a:solidFill>
                      <a:schemeClr val="accent1"/>
                    </a:solidFill>
                    <a:round/>
                  </a:ln>
                  <a:effectLst/>
                </c:spPr>
                <c:marker>
                  <c:symbol val="none"/>
                </c:marker>
                <c:cat>
                  <c:numRef>
                    <c:extLst>
                      <c:ext uri="{02D57815-91ED-43cb-92C2-25804820EDAC}">
                        <c15:formulaRef>
                          <c15:sqref>'트랜드 분석_15일'!$G$108:$CQ$108</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c:ext uri="{02D57815-91ED-43cb-92C2-25804820EDAC}">
                        <c15:formulaRef>
                          <c15:sqref>'트랜드 분석_15일'!$G$109:$CH$109</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2</c:v>
                      </c:pt>
                      <c:pt idx="12">
                        <c:v>2</c:v>
                      </c:pt>
                      <c:pt idx="13">
                        <c:v>0</c:v>
                      </c:pt>
                      <c:pt idx="14">
                        <c:v>0</c:v>
                      </c:pt>
                      <c:pt idx="15">
                        <c:v>0</c:v>
                      </c:pt>
                      <c:pt idx="16">
                        <c:v>2</c:v>
                      </c:pt>
                      <c:pt idx="17">
                        <c:v>0</c:v>
                      </c:pt>
                      <c:pt idx="18">
                        <c:v>2</c:v>
                      </c:pt>
                      <c:pt idx="19">
                        <c:v>3</c:v>
                      </c:pt>
                      <c:pt idx="20">
                        <c:v>0</c:v>
                      </c:pt>
                      <c:pt idx="21">
                        <c:v>2</c:v>
                      </c:pt>
                      <c:pt idx="22">
                        <c:v>1</c:v>
                      </c:pt>
                      <c:pt idx="23">
                        <c:v>0</c:v>
                      </c:pt>
                      <c:pt idx="24">
                        <c:v>1</c:v>
                      </c:pt>
                      <c:pt idx="25">
                        <c:v>2</c:v>
                      </c:pt>
                      <c:pt idx="26">
                        <c:v>0</c:v>
                      </c:pt>
                      <c:pt idx="27">
                        <c:v>0</c:v>
                      </c:pt>
                      <c:pt idx="28">
                        <c:v>0</c:v>
                      </c:pt>
                      <c:pt idx="29">
                        <c:v>0</c:v>
                      </c:pt>
                      <c:pt idx="30">
                        <c:v>1</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1-33BD-4D17-9AE6-09B642AABCE3}"/>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'트랜드 분석_15일'!$F$110</c15:sqref>
                        </c15:formulaRef>
                      </c:ext>
                    </c:extLst>
                    <c:strCache>
                      <c:ptCount val="1"/>
                      <c:pt idx="0">
                        <c:v>설계불량</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'트랜드 분석_15일'!$G$108:$CQ$108</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분석_15일'!$G$110:$CH$110</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2-33BD-4D17-9AE6-09B642AABCE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'트랜드 분석_15일'!$F$111</c15:sqref>
                        </c15:formulaRef>
                      </c:ext>
                    </c:extLst>
                    <c:strCache>
                      <c:ptCount val="1"/>
                      <c:pt idx="0">
                        <c:v>S/W불량</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'트랜드 분석_15일'!$G$108:$CQ$108</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분석_15일'!$G$111:$CH$111</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2</c:v>
                      </c:pt>
                      <c:pt idx="12">
                        <c:v>2</c:v>
                      </c:pt>
                      <c:pt idx="13">
                        <c:v>0</c:v>
                      </c:pt>
                      <c:pt idx="14">
                        <c:v>0</c:v>
                      </c:pt>
                      <c:pt idx="15">
                        <c:v>0</c:v>
                      </c:pt>
                      <c:pt idx="16">
                        <c:v>2</c:v>
                      </c:pt>
                      <c:pt idx="17">
                        <c:v>0</c:v>
                      </c:pt>
                      <c:pt idx="18">
                        <c:v>2</c:v>
                      </c:pt>
                      <c:pt idx="19">
                        <c:v>3</c:v>
                      </c:pt>
                      <c:pt idx="20">
                        <c:v>0</c:v>
                      </c:pt>
                      <c:pt idx="21">
                        <c:v>2</c:v>
                      </c:pt>
                      <c:pt idx="22">
                        <c:v>1</c:v>
                      </c:pt>
                      <c:pt idx="23">
                        <c:v>0</c:v>
                      </c:pt>
                      <c:pt idx="24">
                        <c:v>1</c:v>
                      </c:pt>
                      <c:pt idx="25">
                        <c:v>2</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3-33BD-4D17-9AE6-09B642AABCE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'트랜드 분석_15일'!$F$113</c15:sqref>
                        </c15:formulaRef>
                      </c:ext>
                    </c:extLst>
                    <c:strCache>
                      <c:ptCount val="1"/>
                      <c:pt idx="0">
                        <c:v>단품불량</c:v>
                      </c:pt>
                    </c:strCache>
                  </c:strRef>
                </c:tx>
                <c:spPr>
                  <a:ln w="28575" cap="rnd">
                    <a:noFill/>
                    <a:round/>
                  </a:ln>
                  <a:effectLst/>
                </c:spPr>
                <c:marker>
                  <c:symbol val="circle"/>
                  <c:size val="15"/>
                  <c:spPr>
                    <a:solidFill>
                      <a:schemeClr val="accent1"/>
                    </a:solidFill>
                    <a:ln w="9525">
                      <a:noFill/>
                    </a:ln>
                    <a:effectLst/>
                  </c:spPr>
                </c:marker>
                <c:cat>
                  <c:numRef>
                    <c:extLst xmlns:c15="http://schemas.microsoft.com/office/drawing/2012/chart">
                      <c:ext xmlns:c15="http://schemas.microsoft.com/office/drawing/2012/chart" uri="{02D57815-91ED-43cb-92C2-25804820EDAC}">
                        <c15:formulaRef>
                          <c15:sqref>'트랜드 분석_15일'!$G$108:$CQ$108</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분석_15일'!$G$113:$CH$113</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0-33BD-4D17-9AE6-09B642AABCE3}"/>
                  </c:ext>
                </c:extLst>
              </c15:ser>
            </c15:filteredLineSeries>
          </c:ext>
        </c:extLst>
      </c:lineChart>
      <c:catAx>
        <c:axId val="619031840"/>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9032168"/>
        <c:crosses val="autoZero"/>
        <c:auto val="1"/>
        <c:lblAlgn val="ctr"/>
        <c:lblOffset val="100"/>
        <c:noMultiLvlLbl val="0"/>
      </c:catAx>
      <c:valAx>
        <c:axId val="619032168"/>
        <c:scaling>
          <c:orientation val="minMax"/>
          <c:max val="1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9031840"/>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3"/>
          <c:order val="3"/>
          <c:tx>
            <c:strRef>
              <c:f>'트랜드 분석_15일'!$F$225</c:f>
              <c:strCache>
                <c:ptCount val="1"/>
                <c:pt idx="0">
                  <c:v>초기 안정화</c:v>
                </c:pt>
              </c:strCache>
            </c:strRef>
          </c:tx>
          <c:spPr>
            <a:ln w="28575" cap="rnd">
              <a:noFill/>
              <a:round/>
            </a:ln>
            <a:effectLst/>
          </c:spPr>
          <c:marker>
            <c:symbol val="none"/>
          </c:marker>
          <c:dPt>
            <c:idx val="72"/>
            <c:marker>
              <c:symbol val="none"/>
            </c:marker>
            <c:bubble3D val="0"/>
            <c:extLst>
              <c:ext xmlns:c16="http://schemas.microsoft.com/office/drawing/2014/chart" uri="{C3380CC4-5D6E-409C-BE32-E72D297353CC}">
                <c16:uniqueId val="{00000006-963A-45EC-AD2C-E550999D3682}"/>
              </c:ext>
            </c:extLst>
          </c:dPt>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분석_15일'!$G$225:$CQ$225</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3-963A-45EC-AD2C-E550999D3682}"/>
            </c:ext>
          </c:extLst>
        </c:ser>
        <c:ser>
          <c:idx val="4"/>
          <c:order val="4"/>
          <c:tx>
            <c:strRef>
              <c:f>'트랜드 분석_15일'!$F$226</c:f>
              <c:strCache>
                <c:ptCount val="1"/>
                <c:pt idx="0">
                  <c:v>단품불량</c:v>
                </c:pt>
              </c:strCache>
            </c:strRef>
          </c:tx>
          <c:spPr>
            <a:ln w="28575" cap="rnd">
              <a:noFill/>
              <a:round/>
            </a:ln>
            <a:effectLst/>
          </c:spPr>
          <c:marker>
            <c:symbol val="circle"/>
            <c:size val="15"/>
            <c:spPr>
              <a:solidFill>
                <a:schemeClr val="accent1"/>
              </a:solidFill>
              <a:ln w="9525">
                <a:noFill/>
              </a:ln>
              <a:effectLst/>
            </c:spPr>
          </c:marker>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분석_15일'!$G$226:$CQ$226</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4-963A-45EC-AD2C-E550999D3682}"/>
            </c:ext>
          </c:extLst>
        </c:ser>
        <c:dLbls>
          <c:showLegendKey val="0"/>
          <c:showVal val="0"/>
          <c:showCatName val="0"/>
          <c:showSerName val="0"/>
          <c:showPercent val="0"/>
          <c:showBubbleSize val="0"/>
        </c:dLbls>
        <c:smooth val="0"/>
        <c:axId val="612404248"/>
        <c:axId val="612406544"/>
        <c:extLst>
          <c:ext xmlns:c15="http://schemas.microsoft.com/office/drawing/2012/chart" uri="{02D57815-91ED-43cb-92C2-25804820EDAC}">
            <c15:filteredLineSeries>
              <c15:ser>
                <c:idx val="0"/>
                <c:order val="0"/>
                <c:tx>
                  <c:strRef>
                    <c:extLst>
                      <c:ext uri="{02D57815-91ED-43cb-92C2-25804820EDAC}">
                        <c15:formulaRef>
                          <c15:sqref>'트랜드 분석_15일'!$F$222</c15:sqref>
                        </c15:formulaRef>
                      </c:ext>
                    </c:extLst>
                    <c:strCache>
                      <c:ptCount val="1"/>
                      <c:pt idx="0">
                        <c:v>총건수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c:ext uri="{02D57815-91ED-43cb-92C2-25804820EDAC}">
                        <c15:formulaRef>
                          <c15:sqref>'트랜드 분석_15일'!$G$222:$CQ$222</c15:sqref>
                        </c15:formulaRef>
                      </c:ext>
                    </c:extLst>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0-963A-45EC-AD2C-E550999D368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'트랜드 분석_15일'!$F$223</c15:sqref>
                        </c15:formulaRef>
                      </c:ext>
                    </c:extLst>
                    <c:strCache>
                      <c:ptCount val="1"/>
                      <c:pt idx="0">
                        <c:v>설계불량</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분석_15일'!$G$223:$CH$223</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1-963A-45EC-AD2C-E550999D368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'트랜드 분석_15일'!$F$224</c15:sqref>
                        </c15:formulaRef>
                      </c:ext>
                    </c:extLst>
                    <c:strCache>
                      <c:ptCount val="1"/>
                      <c:pt idx="0">
                        <c:v>S/W불량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분석_15일'!$G$224:$CH$224</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2-963A-45EC-AD2C-E550999D3682}"/>
                  </c:ext>
                </c:extLst>
              </c15:ser>
            </c15:filteredLineSeries>
          </c:ext>
        </c:extLst>
      </c:lineChart>
      <c:catAx>
        <c:axId val="612404248"/>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6544"/>
        <c:crosses val="autoZero"/>
        <c:auto val="1"/>
        <c:lblAlgn val="ctr"/>
        <c:lblOffset val="100"/>
        <c:noMultiLvlLbl val="0"/>
      </c:catAx>
      <c:valAx>
        <c:axId val="612406544"/>
        <c:scaling>
          <c:orientation val="minMax"/>
          <c:max val="1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424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3"/>
          <c:order val="3"/>
          <c:tx>
            <c:strRef>
              <c:f>'트랜드 분석_15일'!$F$234</c:f>
              <c:strCache>
                <c:ptCount val="1"/>
                <c:pt idx="0">
                  <c:v>초기 안정화</c:v>
                </c:pt>
              </c:strCache>
            </c:strRef>
          </c:tx>
          <c:spPr>
            <a:ln w="28575" cap="rnd">
              <a:noFill/>
              <a:round/>
            </a:ln>
            <a:effectLst/>
          </c:spPr>
          <c:marker>
            <c:symbol val="none"/>
          </c:marker>
          <c:cat>
            <c:numRef>
              <c:f>'트랜드 분석_15일'!$G$230:$CQ$230</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분석_15일'!$G$234:$CQ$234</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3-2045-40BC-8A3E-972E06CDF14A}"/>
            </c:ext>
          </c:extLst>
        </c:ser>
        <c:ser>
          <c:idx val="4"/>
          <c:order val="4"/>
          <c:tx>
            <c:strRef>
              <c:f>'트랜드 분석_15일'!$F$235</c:f>
              <c:strCache>
                <c:ptCount val="1"/>
                <c:pt idx="0">
                  <c:v>단품불량</c:v>
                </c:pt>
              </c:strCache>
            </c:strRef>
          </c:tx>
          <c:spPr>
            <a:ln w="28575" cap="rnd">
              <a:noFill/>
              <a:round/>
            </a:ln>
            <a:effectLst/>
          </c:spPr>
          <c:marker>
            <c:symbol val="circle"/>
            <c:size val="15"/>
            <c:spPr>
              <a:solidFill>
                <a:schemeClr val="accent2"/>
              </a:solidFill>
              <a:ln w="9525">
                <a:noFill/>
              </a:ln>
              <a:effectLst/>
            </c:spPr>
          </c:marker>
          <c:cat>
            <c:numRef>
              <c:f>'트랜드 분석_15일'!$G$230:$CQ$230</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분석_15일'!$G$235:$CQ$235</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4-2045-40BC-8A3E-972E06CDF14A}"/>
            </c:ext>
          </c:extLst>
        </c:ser>
        <c:dLbls>
          <c:showLegendKey val="0"/>
          <c:showVal val="0"/>
          <c:showCatName val="0"/>
          <c:showSerName val="0"/>
          <c:showPercent val="0"/>
          <c:showBubbleSize val="0"/>
        </c:dLbls>
        <c:smooth val="0"/>
        <c:axId val="402104416"/>
        <c:axId val="402104744"/>
        <c:extLst>
          <c:ext xmlns:c15="http://schemas.microsoft.com/office/drawing/2012/chart" uri="{02D57815-91ED-43cb-92C2-25804820EDAC}">
            <c15:filteredLineSeries>
              <c15:ser>
                <c:idx val="0"/>
                <c:order val="0"/>
                <c:tx>
                  <c:strRef>
                    <c:extLst>
                      <c:ext uri="{02D57815-91ED-43cb-92C2-25804820EDAC}">
                        <c15:formulaRef>
                          <c15:sqref>'트랜드 분석_15일'!$F$231</c15:sqref>
                        </c15:formulaRef>
                      </c:ext>
                    </c:extLst>
                    <c:strCache>
                      <c:ptCount val="1"/>
                      <c:pt idx="0">
                        <c:v>총건수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'트랜드 분석_15일'!$G$230:$CQ$230</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c:ext uri="{02D57815-91ED-43cb-92C2-25804820EDAC}">
                        <c15:formulaRef>
                          <c15:sqref>'트랜드 분석_15일'!$G$231:$CQ$231</c15:sqref>
                        </c15:formulaRef>
                      </c:ext>
                    </c:extLst>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0-2045-40BC-8A3E-972E06CDF14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'트랜드 분석_15일'!$F$232</c15:sqref>
                        </c15:formulaRef>
                      </c:ext>
                    </c:extLst>
                    <c:strCache>
                      <c:ptCount val="1"/>
                      <c:pt idx="0">
                        <c:v>설계불량</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'트랜드 분석_15일'!$G$230:$CQ$230</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분석_15일'!$G$232:$CH$232</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1-2045-40BC-8A3E-972E06CDF14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'트랜드 분석_15일'!$F$233</c15:sqref>
                        </c15:formulaRef>
                      </c:ext>
                    </c:extLst>
                    <c:strCache>
                      <c:ptCount val="1"/>
                      <c:pt idx="0">
                        <c:v>S/W불량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'트랜드 분석_15일'!$G$230:$CQ$230</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분석_15일'!$G$233:$CH$233</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2-2045-40BC-8A3E-972E06CDF14A}"/>
                  </c:ext>
                </c:extLst>
              </c15:ser>
            </c15:filteredLineSeries>
          </c:ext>
        </c:extLst>
      </c:lineChart>
      <c:catAx>
        <c:axId val="402104416"/>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02104744"/>
        <c:crosses val="autoZero"/>
        <c:auto val="1"/>
        <c:lblAlgn val="ctr"/>
        <c:lblOffset val="100"/>
        <c:noMultiLvlLbl val="0"/>
      </c:catAx>
      <c:valAx>
        <c:axId val="402104744"/>
        <c:scaling>
          <c:orientation val="minMax"/>
          <c:max val="1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02104416"/>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3"/>
          <c:order val="3"/>
          <c:tx>
            <c:strRef>
              <c:f>'트랜드 분석_15일'!$F$291</c:f>
              <c:strCache>
                <c:ptCount val="1"/>
                <c:pt idx="0">
                  <c:v>초기 안정화</c:v>
                </c:pt>
              </c:strCache>
            </c:strRef>
          </c:tx>
          <c:spPr>
            <a:ln w="28575" cap="rnd">
              <a:noFill/>
              <a:round/>
            </a:ln>
            <a:effectLst/>
          </c:spPr>
          <c:marker>
            <c:symbol val="none"/>
          </c:marker>
          <c:dPt>
            <c:idx val="72"/>
            <c:marker>
              <c:symbol val="none"/>
            </c:marker>
            <c:bubble3D val="0"/>
            <c:extLst>
              <c:ext xmlns:c16="http://schemas.microsoft.com/office/drawing/2014/chart" uri="{C3380CC4-5D6E-409C-BE32-E72D297353CC}">
                <c16:uniqueId val="{00000000-699D-40FB-B344-C63C21CA94AA}"/>
              </c:ext>
            </c:extLst>
          </c:dPt>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분석_15일'!$G$291:$CQ$291</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1-699D-40FB-B344-C63C21CA94AA}"/>
            </c:ext>
          </c:extLst>
        </c:ser>
        <c:ser>
          <c:idx val="4"/>
          <c:order val="4"/>
          <c:tx>
            <c:strRef>
              <c:f>'트랜드 분석_15일'!$F$292</c:f>
              <c:strCache>
                <c:ptCount val="1"/>
                <c:pt idx="0">
                  <c:v>단품불량</c:v>
                </c:pt>
              </c:strCache>
            </c:strRef>
          </c:tx>
          <c:spPr>
            <a:ln w="28575" cap="rnd">
              <a:noFill/>
              <a:round/>
            </a:ln>
            <a:effectLst/>
          </c:spPr>
          <c:marker>
            <c:symbol val="circle"/>
            <c:size val="15"/>
            <c:spPr>
              <a:solidFill>
                <a:schemeClr val="accent1"/>
              </a:solidFill>
              <a:ln w="9525">
                <a:noFill/>
              </a:ln>
              <a:effectLst/>
            </c:spPr>
          </c:marker>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분석_15일'!$G$292:$CQ$292</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2-699D-40FB-B344-C63C21CA94AA}"/>
            </c:ext>
          </c:extLst>
        </c:ser>
        <c:dLbls>
          <c:showLegendKey val="0"/>
          <c:showVal val="0"/>
          <c:showCatName val="0"/>
          <c:showSerName val="0"/>
          <c:showPercent val="0"/>
          <c:showBubbleSize val="0"/>
        </c:dLbls>
        <c:smooth val="0"/>
        <c:axId val="612404248"/>
        <c:axId val="612406544"/>
        <c:extLst>
          <c:ext xmlns:c15="http://schemas.microsoft.com/office/drawing/2012/chart" uri="{02D57815-91ED-43cb-92C2-25804820EDAC}">
            <c15:filteredLineSeries>
              <c15:ser>
                <c:idx val="0"/>
                <c:order val="0"/>
                <c:tx>
                  <c:strRef>
                    <c:extLst>
                      <c:ext uri="{02D57815-91ED-43cb-92C2-25804820EDAC}">
                        <c15:formulaRef>
                          <c15:sqref>'트랜드 분석_15일'!$F$288</c15:sqref>
                        </c15:formulaRef>
                      </c:ext>
                    </c:extLst>
                    <c:strCache>
                      <c:ptCount val="1"/>
                      <c:pt idx="0">
                        <c:v>총건수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c:ext uri="{02D57815-91ED-43cb-92C2-25804820EDAC}">
                        <c15:formulaRef>
                          <c15:sqref>'트랜드 분석_15일'!$G$288:$CH$288</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3-699D-40FB-B344-C63C21CA94A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'트랜드 분석_15일'!$F$289</c15:sqref>
                        </c15:formulaRef>
                      </c:ext>
                    </c:extLst>
                    <c:strCache>
                      <c:ptCount val="1"/>
                      <c:pt idx="0">
                        <c:v>설계불량</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분석_15일'!$G$289:$CH$289</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4-699D-40FB-B344-C63C21CA94A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'트랜드 분석_15일'!$F$290</c15:sqref>
                        </c15:formulaRef>
                      </c:ext>
                    </c:extLst>
                    <c:strCache>
                      <c:ptCount val="1"/>
                      <c:pt idx="0">
                        <c:v>S/W불량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분석_15일'!$G$290:$CH$290</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5-699D-40FB-B344-C63C21CA94AA}"/>
                  </c:ext>
                </c:extLst>
              </c15:ser>
            </c15:filteredLineSeries>
          </c:ext>
        </c:extLst>
      </c:lineChart>
      <c:catAx>
        <c:axId val="612404248"/>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6544"/>
        <c:crosses val="autoZero"/>
        <c:auto val="1"/>
        <c:lblAlgn val="ctr"/>
        <c:lblOffset val="100"/>
        <c:noMultiLvlLbl val="0"/>
      </c:catAx>
      <c:valAx>
        <c:axId val="612406544"/>
        <c:scaling>
          <c:orientation val="minMax"/>
          <c:max val="1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424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'처리 현황'!$BK$35</c:f>
              <c:strCache>
                <c:ptCount val="1"/>
                <c:pt idx="0">
                  <c:v>발생</c:v>
                </c:pt>
              </c:strCache>
            </c:strRef>
          </c:tx>
          <c:spPr>
            <a:solidFill>
              <a:schemeClr val="accent1"/>
            </a:solidFill>
            <a:ln>
              <a:noFill/>
            </a:ln>
            <a:effectLst/>
          </c:spPr>
          <c:invertIfNegative val="0"/>
          <c:cat>
            <c:numRef>
              <c:f>'처리 현황'!$BJ$36:$BJ$47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'처리 현황'!$BK$36:$BK$47</c:f>
              <c:numCache>
                <c:formatCode>General</c:formatCode>
                <c:ptCount val="12"/>
                <c:pt idx="0">
                  <c:v>97</c:v>
                </c:pt>
                <c:pt idx="1">
                  <c:v>94</c:v>
                </c:pt>
                <c:pt idx="2">
                  <c:v>93</c:v>
                </c:pt>
                <c:pt idx="3">
                  <c:v>108</c:v>
                </c:pt>
                <c:pt idx="4">
                  <c:v>139</c:v>
                </c:pt>
                <c:pt idx="5">
                  <c:v>106</c:v>
                </c:pt>
                <c:pt idx="6">
                  <c:v>117</c:v>
                </c:pt>
                <c:pt idx="7">
                  <c:v>142</c:v>
                </c:pt>
                <c:pt idx="8">
                  <c:v>0</c:v>
                </c:pt>
                <c:pt idx="9">
                  <c:v>0</c:v>
                </c:pt>
                <c:pt idx="10">
                  <c:v>0</c:v>
                </c:pt>
                <c:pt idx="11">
                  <c:v>0</c:v>
                </c:pt>
              </c:numCache>
            </c:numRef>
          </c:val>
          <c:extLst>
            <c:ext xmlns:c16="http://schemas.microsoft.com/office/drawing/2014/chart" uri="{C3380CC4-5D6E-409C-BE32-E72D297353CC}">
              <c16:uniqueId val="{00000000-694D-4C9D-BE73-E643A2AD2DA2}"/>
            </c:ext>
          </c:extLst>
        </c:ser>
        <c:dLbls>
          <c:showLegendKey val="0"/>
          <c:showVal val="0"/>
          <c:showCatName val="0"/>
          <c:showSerName val="0"/>
          <c:showPercent val="0"/>
          <c:showBubbleSize val="0"/>
        </c:dLbls>
        <c:gapWidth val="219"/>
        <c:overlap val="-27"/>
        <c:axId val="1031365488"/>
        <c:axId val="1031363848"/>
      </c:barChart>
      <c:catAx>
        <c:axId val="103136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31363848"/>
        <c:crosses val="autoZero"/>
        <c:auto val="1"/>
        <c:lblAlgn val="ctr"/>
        <c:lblOffset val="100"/>
        <c:noMultiLvlLbl val="0"/>
      </c:catAx>
      <c:valAx>
        <c:axId val="1031363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31365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3"/>
          <c:order val="3"/>
          <c:tx>
            <c:strRef>
              <c:f>'트랜드 분석_15일'!$F$300</c:f>
              <c:strCache>
                <c:ptCount val="1"/>
                <c:pt idx="0">
                  <c:v>초기 안정화</c:v>
                </c:pt>
              </c:strCache>
            </c:strRef>
          </c:tx>
          <c:spPr>
            <a:ln w="28575" cap="rnd">
              <a:noFill/>
              <a:round/>
            </a:ln>
            <a:effectLst/>
          </c:spPr>
          <c:marker>
            <c:symbol val="none"/>
          </c:marker>
          <c:dPt>
            <c:idx val="72"/>
            <c:marker>
              <c:symbol val="none"/>
            </c:marker>
            <c:bubble3D val="0"/>
            <c:extLst>
              <c:ext xmlns:c16="http://schemas.microsoft.com/office/drawing/2014/chart" uri="{C3380CC4-5D6E-409C-BE32-E72D297353CC}">
                <c16:uniqueId val="{00000000-E6B1-4FF9-8415-DF1D6E0BED75}"/>
              </c:ext>
            </c:extLst>
          </c:dPt>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분석_15일'!$G$300:$CQ$300</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1-E6B1-4FF9-8415-DF1D6E0BED75}"/>
            </c:ext>
          </c:extLst>
        </c:ser>
        <c:ser>
          <c:idx val="4"/>
          <c:order val="4"/>
          <c:tx>
            <c:strRef>
              <c:f>'트랜드 분석_15일'!$F$301</c:f>
              <c:strCache>
                <c:ptCount val="1"/>
                <c:pt idx="0">
                  <c:v>단품불량</c:v>
                </c:pt>
              </c:strCache>
            </c:strRef>
          </c:tx>
          <c:spPr>
            <a:ln w="28575" cap="rnd">
              <a:noFill/>
              <a:round/>
            </a:ln>
            <a:effectLst/>
          </c:spPr>
          <c:marker>
            <c:symbol val="circle"/>
            <c:size val="15"/>
            <c:spPr>
              <a:solidFill>
                <a:schemeClr val="accent1"/>
              </a:solidFill>
              <a:ln w="9525">
                <a:noFill/>
              </a:ln>
              <a:effectLst/>
            </c:spPr>
          </c:marker>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분석_15일'!$G$301:$CQ$301</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2-E6B1-4FF9-8415-DF1D6E0BED75}"/>
            </c:ext>
          </c:extLst>
        </c:ser>
        <c:dLbls>
          <c:showLegendKey val="0"/>
          <c:showVal val="0"/>
          <c:showCatName val="0"/>
          <c:showSerName val="0"/>
          <c:showPercent val="0"/>
          <c:showBubbleSize val="0"/>
        </c:dLbls>
        <c:smooth val="0"/>
        <c:axId val="612404248"/>
        <c:axId val="612406544"/>
        <c:extLst>
          <c:ext xmlns:c15="http://schemas.microsoft.com/office/drawing/2012/chart" uri="{02D57815-91ED-43cb-92C2-25804820EDAC}">
            <c15:filteredLineSeries>
              <c15:ser>
                <c:idx val="0"/>
                <c:order val="0"/>
                <c:tx>
                  <c:strRef>
                    <c:extLst>
                      <c:ext uri="{02D57815-91ED-43cb-92C2-25804820EDAC}">
                        <c15:formulaRef>
                          <c15:sqref>'트랜드 분석_15일'!$F$297</c15:sqref>
                        </c15:formulaRef>
                      </c:ext>
                    </c:extLst>
                    <c:strCache>
                      <c:ptCount val="1"/>
                      <c:pt idx="0">
                        <c:v>총건수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c:ext uri="{02D57815-91ED-43cb-92C2-25804820EDAC}">
                        <c15:formulaRef>
                          <c15:sqref>'트랜드 분석_15일'!$G$297:$CH$297</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3-E6B1-4FF9-8415-DF1D6E0BED7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'트랜드 분석_15일'!$F$298</c15:sqref>
                        </c15:formulaRef>
                      </c:ext>
                    </c:extLst>
                    <c:strCache>
                      <c:ptCount val="1"/>
                      <c:pt idx="0">
                        <c:v>설계불량</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분석_15일'!$G$298:$CH$298</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4-E6B1-4FF9-8415-DF1D6E0BED7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'트랜드 분석_15일'!$F$299</c15:sqref>
                        </c15:formulaRef>
                      </c:ext>
                    </c:extLst>
                    <c:strCache>
                      <c:ptCount val="1"/>
                      <c:pt idx="0">
                        <c:v>S/W불량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분석_15일'!$G$299:$CH$299</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5-E6B1-4FF9-8415-DF1D6E0BED75}"/>
                  </c:ext>
                </c:extLst>
              </c15:ser>
            </c15:filteredLineSeries>
          </c:ext>
        </c:extLst>
      </c:lineChart>
      <c:catAx>
        <c:axId val="612404248"/>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6544"/>
        <c:crosses val="autoZero"/>
        <c:auto val="1"/>
        <c:lblAlgn val="ctr"/>
        <c:lblOffset val="100"/>
        <c:noMultiLvlLbl val="0"/>
      </c:catAx>
      <c:valAx>
        <c:axId val="612406544"/>
        <c:scaling>
          <c:orientation val="minMax"/>
          <c:max val="1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424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3"/>
          <c:order val="3"/>
          <c:tx>
            <c:strRef>
              <c:f>'트랜드 분석_15일'!$F$310</c:f>
              <c:strCache>
                <c:ptCount val="1"/>
                <c:pt idx="0">
                  <c:v>초기 안정화</c:v>
                </c:pt>
              </c:strCache>
            </c:strRef>
          </c:tx>
          <c:spPr>
            <a:ln w="28575" cap="rnd">
              <a:noFill/>
              <a:round/>
            </a:ln>
            <a:effectLst/>
          </c:spPr>
          <c:marker>
            <c:symbol val="none"/>
          </c:marker>
          <c:dPt>
            <c:idx val="72"/>
            <c:marker>
              <c:symbol val="none"/>
            </c:marker>
            <c:bubble3D val="0"/>
            <c:extLst>
              <c:ext xmlns:c16="http://schemas.microsoft.com/office/drawing/2014/chart" uri="{C3380CC4-5D6E-409C-BE32-E72D297353CC}">
                <c16:uniqueId val="{00000000-4E62-41AE-BD16-42FD2FB9DA8A}"/>
              </c:ext>
            </c:extLst>
          </c:dPt>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분석_15일'!$G$310:$CQ$310</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1-4E62-41AE-BD16-42FD2FB9DA8A}"/>
            </c:ext>
          </c:extLst>
        </c:ser>
        <c:ser>
          <c:idx val="4"/>
          <c:order val="4"/>
          <c:tx>
            <c:strRef>
              <c:f>'트랜드 분석_15일'!$F$311</c:f>
              <c:strCache>
                <c:ptCount val="1"/>
                <c:pt idx="0">
                  <c:v>단품불량</c:v>
                </c:pt>
              </c:strCache>
            </c:strRef>
          </c:tx>
          <c:spPr>
            <a:ln w="28575" cap="rnd">
              <a:noFill/>
              <a:round/>
            </a:ln>
            <a:effectLst/>
          </c:spPr>
          <c:marker>
            <c:symbol val="circle"/>
            <c:size val="15"/>
            <c:spPr>
              <a:solidFill>
                <a:schemeClr val="accent1"/>
              </a:solidFill>
              <a:ln w="9525">
                <a:noFill/>
              </a:ln>
              <a:effectLst/>
            </c:spPr>
          </c:marker>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분석_15일'!$G$311:$CQ$311</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2-4E62-41AE-BD16-42FD2FB9DA8A}"/>
            </c:ext>
          </c:extLst>
        </c:ser>
        <c:dLbls>
          <c:showLegendKey val="0"/>
          <c:showVal val="0"/>
          <c:showCatName val="0"/>
          <c:showSerName val="0"/>
          <c:showPercent val="0"/>
          <c:showBubbleSize val="0"/>
        </c:dLbls>
        <c:smooth val="0"/>
        <c:axId val="612404248"/>
        <c:axId val="612406544"/>
        <c:extLst>
          <c:ext xmlns:c15="http://schemas.microsoft.com/office/drawing/2012/chart" uri="{02D57815-91ED-43cb-92C2-25804820EDAC}">
            <c15:filteredLineSeries>
              <c15:ser>
                <c:idx val="0"/>
                <c:order val="0"/>
                <c:tx>
                  <c:strRef>
                    <c:extLst>
                      <c:ext uri="{02D57815-91ED-43cb-92C2-25804820EDAC}">
                        <c15:formulaRef>
                          <c15:sqref>'트랜드 분석_15일'!$F$307</c15:sqref>
                        </c15:formulaRef>
                      </c:ext>
                    </c:extLst>
                    <c:strCache>
                      <c:ptCount val="1"/>
                      <c:pt idx="0">
                        <c:v>총건수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c:ext uri="{02D57815-91ED-43cb-92C2-25804820EDAC}">
                        <c15:formulaRef>
                          <c15:sqref>'트랜드 분석_15일'!$G$307:$CH$307</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3-4E62-41AE-BD16-42FD2FB9DA8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'트랜드 분석_15일'!$F$308</c15:sqref>
                        </c15:formulaRef>
                      </c:ext>
                    </c:extLst>
                    <c:strCache>
                      <c:ptCount val="1"/>
                      <c:pt idx="0">
                        <c:v>설계불량</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분석_15일'!$G$308:$CH$308</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4-4E62-41AE-BD16-42FD2FB9DA8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'트랜드 분석_15일'!$F$309</c15:sqref>
                        </c15:formulaRef>
                      </c:ext>
                    </c:extLst>
                    <c:strCache>
                      <c:ptCount val="1"/>
                      <c:pt idx="0">
                        <c:v>S/W불량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분석_15일'!$G$309:$CH$309</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5-4E62-41AE-BD16-42FD2FB9DA8A}"/>
                  </c:ext>
                </c:extLst>
              </c15:ser>
            </c15:filteredLineSeries>
          </c:ext>
        </c:extLst>
      </c:lineChart>
      <c:catAx>
        <c:axId val="612404248"/>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6544"/>
        <c:crosses val="autoZero"/>
        <c:auto val="1"/>
        <c:lblAlgn val="ctr"/>
        <c:lblOffset val="100"/>
        <c:noMultiLvlLbl val="0"/>
      </c:catAx>
      <c:valAx>
        <c:axId val="612406544"/>
        <c:scaling>
          <c:orientation val="minMax"/>
          <c:max val="1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424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3"/>
          <c:order val="3"/>
          <c:tx>
            <c:strRef>
              <c:f>'트랜드 분석_15일'!$F$319</c:f>
              <c:strCache>
                <c:ptCount val="1"/>
                <c:pt idx="0">
                  <c:v>초기 안정화</c:v>
                </c:pt>
              </c:strCache>
            </c:strRef>
          </c:tx>
          <c:spPr>
            <a:ln w="28575" cap="rnd">
              <a:noFill/>
              <a:round/>
            </a:ln>
            <a:effectLst/>
          </c:spPr>
          <c:marker>
            <c:symbol val="none"/>
          </c:marker>
          <c:dPt>
            <c:idx val="72"/>
            <c:marker>
              <c:symbol val="none"/>
            </c:marker>
            <c:bubble3D val="0"/>
            <c:extLst>
              <c:ext xmlns:c16="http://schemas.microsoft.com/office/drawing/2014/chart" uri="{C3380CC4-5D6E-409C-BE32-E72D297353CC}">
                <c16:uniqueId val="{00000000-47BC-4C9C-82CB-1094DAAAAFAF}"/>
              </c:ext>
            </c:extLst>
          </c:dPt>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분석_15일'!$G$319:$CQ$319</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1-47BC-4C9C-82CB-1094DAAAAFAF}"/>
            </c:ext>
          </c:extLst>
        </c:ser>
        <c:ser>
          <c:idx val="4"/>
          <c:order val="4"/>
          <c:tx>
            <c:strRef>
              <c:f>'트랜드 분석_15일'!$F$320</c:f>
              <c:strCache>
                <c:ptCount val="1"/>
                <c:pt idx="0">
                  <c:v>단품불량</c:v>
                </c:pt>
              </c:strCache>
            </c:strRef>
          </c:tx>
          <c:spPr>
            <a:ln w="28575" cap="rnd">
              <a:noFill/>
              <a:round/>
            </a:ln>
            <a:effectLst/>
          </c:spPr>
          <c:marker>
            <c:symbol val="circle"/>
            <c:size val="15"/>
            <c:spPr>
              <a:solidFill>
                <a:schemeClr val="accent1"/>
              </a:solidFill>
              <a:ln w="9525">
                <a:noFill/>
              </a:ln>
              <a:effectLst/>
            </c:spPr>
          </c:marker>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분석_15일'!$G$320:$CQ$320</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2-47BC-4C9C-82CB-1094DAAAAFAF}"/>
            </c:ext>
          </c:extLst>
        </c:ser>
        <c:dLbls>
          <c:showLegendKey val="0"/>
          <c:showVal val="0"/>
          <c:showCatName val="0"/>
          <c:showSerName val="0"/>
          <c:showPercent val="0"/>
          <c:showBubbleSize val="0"/>
        </c:dLbls>
        <c:smooth val="0"/>
        <c:axId val="612404248"/>
        <c:axId val="612406544"/>
        <c:extLst>
          <c:ext xmlns:c15="http://schemas.microsoft.com/office/drawing/2012/chart" uri="{02D57815-91ED-43cb-92C2-25804820EDAC}">
            <c15:filteredLineSeries>
              <c15:ser>
                <c:idx val="0"/>
                <c:order val="0"/>
                <c:tx>
                  <c:strRef>
                    <c:extLst>
                      <c:ext uri="{02D57815-91ED-43cb-92C2-25804820EDAC}">
                        <c15:formulaRef>
                          <c15:sqref>'트랜드 분석_15일'!$F$316</c15:sqref>
                        </c15:formulaRef>
                      </c:ext>
                    </c:extLst>
                    <c:strCache>
                      <c:ptCount val="1"/>
                      <c:pt idx="0">
                        <c:v>총건수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c:ext uri="{02D57815-91ED-43cb-92C2-25804820EDAC}">
                        <c15:formulaRef>
                          <c15:sqref>'트랜드 분석_15일'!$G$316:$CH$316</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3-47BC-4C9C-82CB-1094DAAAAFA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'트랜드 분석_15일'!$F$317</c15:sqref>
                        </c15:formulaRef>
                      </c:ext>
                    </c:extLst>
                    <c:strCache>
                      <c:ptCount val="1"/>
                      <c:pt idx="0">
                        <c:v>설계불량</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분석_15일'!$G$317:$CH$317</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4-47BC-4C9C-82CB-1094DAAAAFA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'트랜드 분석_15일'!$F$318</c15:sqref>
                        </c15:formulaRef>
                      </c:ext>
                    </c:extLst>
                    <c:strCache>
                      <c:ptCount val="1"/>
                      <c:pt idx="0">
                        <c:v>S/W불량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분석_15일'!$G$318:$CH$318</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5-47BC-4C9C-82CB-1094DAAAAFAF}"/>
                  </c:ext>
                </c:extLst>
              </c15:ser>
            </c15:filteredLineSeries>
          </c:ext>
        </c:extLst>
      </c:lineChart>
      <c:catAx>
        <c:axId val="612404248"/>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6544"/>
        <c:crosses val="autoZero"/>
        <c:auto val="1"/>
        <c:lblAlgn val="ctr"/>
        <c:lblOffset val="100"/>
        <c:noMultiLvlLbl val="0"/>
      </c:catAx>
      <c:valAx>
        <c:axId val="612406544"/>
        <c:scaling>
          <c:orientation val="minMax"/>
          <c:max val="1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424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3"/>
          <c:order val="3"/>
          <c:tx>
            <c:strRef>
              <c:f>'트랜드 분석_15일'!$F$329</c:f>
              <c:strCache>
                <c:ptCount val="1"/>
                <c:pt idx="0">
                  <c:v>초기 안정화</c:v>
                </c:pt>
              </c:strCache>
            </c:strRef>
          </c:tx>
          <c:spPr>
            <a:ln w="28575" cap="rnd">
              <a:noFill/>
              <a:round/>
            </a:ln>
            <a:effectLst/>
          </c:spPr>
          <c:marker>
            <c:symbol val="none"/>
          </c:marker>
          <c:dPt>
            <c:idx val="72"/>
            <c:marker>
              <c:symbol val="none"/>
            </c:marker>
            <c:bubble3D val="0"/>
            <c:extLst>
              <c:ext xmlns:c16="http://schemas.microsoft.com/office/drawing/2014/chart" uri="{C3380CC4-5D6E-409C-BE32-E72D297353CC}">
                <c16:uniqueId val="{00000000-90B3-4E9E-9586-1435906A335A}"/>
              </c:ext>
            </c:extLst>
          </c:dPt>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분석_15일'!$G$329:$CQ$329</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1-90B3-4E9E-9586-1435906A335A}"/>
            </c:ext>
          </c:extLst>
        </c:ser>
        <c:ser>
          <c:idx val="4"/>
          <c:order val="4"/>
          <c:tx>
            <c:strRef>
              <c:f>'트랜드 분석_15일'!$F$330</c:f>
              <c:strCache>
                <c:ptCount val="1"/>
                <c:pt idx="0">
                  <c:v>단품불량</c:v>
                </c:pt>
              </c:strCache>
            </c:strRef>
          </c:tx>
          <c:spPr>
            <a:ln w="28575" cap="rnd">
              <a:noFill/>
              <a:round/>
            </a:ln>
            <a:effectLst/>
          </c:spPr>
          <c:marker>
            <c:symbol val="circle"/>
            <c:size val="15"/>
            <c:spPr>
              <a:solidFill>
                <a:schemeClr val="accent1"/>
              </a:solidFill>
              <a:ln w="9525">
                <a:noFill/>
              </a:ln>
              <a:effectLst/>
            </c:spPr>
          </c:marker>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분석_15일'!$G$330:$CQ$330</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2-90B3-4E9E-9586-1435906A335A}"/>
            </c:ext>
          </c:extLst>
        </c:ser>
        <c:dLbls>
          <c:showLegendKey val="0"/>
          <c:showVal val="0"/>
          <c:showCatName val="0"/>
          <c:showSerName val="0"/>
          <c:showPercent val="0"/>
          <c:showBubbleSize val="0"/>
        </c:dLbls>
        <c:smooth val="0"/>
        <c:axId val="612404248"/>
        <c:axId val="612406544"/>
        <c:extLst>
          <c:ext xmlns:c15="http://schemas.microsoft.com/office/drawing/2012/chart" uri="{02D57815-91ED-43cb-92C2-25804820EDAC}">
            <c15:filteredLineSeries>
              <c15:ser>
                <c:idx val="0"/>
                <c:order val="0"/>
                <c:tx>
                  <c:strRef>
                    <c:extLst>
                      <c:ext uri="{02D57815-91ED-43cb-92C2-25804820EDAC}">
                        <c15:formulaRef>
                          <c15:sqref>'트랜드 분석_15일'!$F$326</c15:sqref>
                        </c15:formulaRef>
                      </c:ext>
                    </c:extLst>
                    <c:strCache>
                      <c:ptCount val="1"/>
                      <c:pt idx="0">
                        <c:v>총건수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c:ext uri="{02D57815-91ED-43cb-92C2-25804820EDAC}">
                        <c15:formulaRef>
                          <c15:sqref>'트랜드 분석_15일'!$G$326:$CH$326</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3-90B3-4E9E-9586-1435906A335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'트랜드 분석_15일'!$F$327</c15:sqref>
                        </c15:formulaRef>
                      </c:ext>
                    </c:extLst>
                    <c:strCache>
                      <c:ptCount val="1"/>
                      <c:pt idx="0">
                        <c:v>설계불량</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분석_15일'!$G$327:$CH$327</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4-90B3-4E9E-9586-1435906A335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'트랜드 분석_15일'!$F$328</c15:sqref>
                        </c15:formulaRef>
                      </c:ext>
                    </c:extLst>
                    <c:strCache>
                      <c:ptCount val="1"/>
                      <c:pt idx="0">
                        <c:v>S/W불량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분석_15일'!$G$328:$CH$328</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5-90B3-4E9E-9586-1435906A335A}"/>
                  </c:ext>
                </c:extLst>
              </c15:ser>
            </c15:filteredLineSeries>
          </c:ext>
        </c:extLst>
      </c:lineChart>
      <c:catAx>
        <c:axId val="612404248"/>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6544"/>
        <c:crosses val="autoZero"/>
        <c:auto val="1"/>
        <c:lblAlgn val="ctr"/>
        <c:lblOffset val="100"/>
        <c:noMultiLvlLbl val="0"/>
      </c:catAx>
      <c:valAx>
        <c:axId val="612406544"/>
        <c:scaling>
          <c:orientation val="minMax"/>
          <c:max val="1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424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3"/>
          <c:order val="3"/>
          <c:tx>
            <c:strRef>
              <c:f>'트랜드 분석_15일'!$F$338</c:f>
              <c:strCache>
                <c:ptCount val="1"/>
                <c:pt idx="0">
                  <c:v>초기 안정화</c:v>
                </c:pt>
              </c:strCache>
            </c:strRef>
          </c:tx>
          <c:spPr>
            <a:ln w="28575" cap="rnd">
              <a:noFill/>
              <a:round/>
            </a:ln>
            <a:effectLst/>
          </c:spPr>
          <c:marker>
            <c:symbol val="none"/>
          </c:marker>
          <c:dPt>
            <c:idx val="72"/>
            <c:marker>
              <c:symbol val="none"/>
            </c:marker>
            <c:bubble3D val="0"/>
            <c:extLst>
              <c:ext xmlns:c16="http://schemas.microsoft.com/office/drawing/2014/chart" uri="{C3380CC4-5D6E-409C-BE32-E72D297353CC}">
                <c16:uniqueId val="{00000000-3393-4289-9106-4FDFF6D6C697}"/>
              </c:ext>
            </c:extLst>
          </c:dPt>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분석_15일'!$G$338:$CQ$338</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1-3393-4289-9106-4FDFF6D6C697}"/>
            </c:ext>
          </c:extLst>
        </c:ser>
        <c:ser>
          <c:idx val="4"/>
          <c:order val="4"/>
          <c:tx>
            <c:strRef>
              <c:f>'트랜드 분석_15일'!$F$339</c:f>
              <c:strCache>
                <c:ptCount val="1"/>
                <c:pt idx="0">
                  <c:v>단품불량</c:v>
                </c:pt>
              </c:strCache>
            </c:strRef>
          </c:tx>
          <c:spPr>
            <a:ln w="28575" cap="rnd">
              <a:noFill/>
              <a:round/>
            </a:ln>
            <a:effectLst/>
          </c:spPr>
          <c:marker>
            <c:symbol val="circle"/>
            <c:size val="15"/>
            <c:spPr>
              <a:solidFill>
                <a:schemeClr val="accent1"/>
              </a:solidFill>
              <a:ln w="9525">
                <a:noFill/>
              </a:ln>
              <a:effectLst/>
            </c:spPr>
          </c:marker>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분석_15일'!$G$339:$CQ$339</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2-3393-4289-9106-4FDFF6D6C697}"/>
            </c:ext>
          </c:extLst>
        </c:ser>
        <c:dLbls>
          <c:showLegendKey val="0"/>
          <c:showVal val="0"/>
          <c:showCatName val="0"/>
          <c:showSerName val="0"/>
          <c:showPercent val="0"/>
          <c:showBubbleSize val="0"/>
        </c:dLbls>
        <c:smooth val="0"/>
        <c:axId val="612404248"/>
        <c:axId val="612406544"/>
        <c:extLst>
          <c:ext xmlns:c15="http://schemas.microsoft.com/office/drawing/2012/chart" uri="{02D57815-91ED-43cb-92C2-25804820EDAC}">
            <c15:filteredLineSeries>
              <c15:ser>
                <c:idx val="0"/>
                <c:order val="0"/>
                <c:tx>
                  <c:strRef>
                    <c:extLst>
                      <c:ext uri="{02D57815-91ED-43cb-92C2-25804820EDAC}">
                        <c15:formulaRef>
                          <c15:sqref>'트랜드 분석_15일'!$F$335</c15:sqref>
                        </c15:formulaRef>
                      </c:ext>
                    </c:extLst>
                    <c:strCache>
                      <c:ptCount val="1"/>
                      <c:pt idx="0">
                        <c:v>총건수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c:ext uri="{02D57815-91ED-43cb-92C2-25804820EDAC}">
                        <c15:formulaRef>
                          <c15:sqref>'트랜드 분석_15일'!$G$335:$CH$335</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3-3393-4289-9106-4FDFF6D6C69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'트랜드 분석_15일'!$F$336</c15:sqref>
                        </c15:formulaRef>
                      </c:ext>
                    </c:extLst>
                    <c:strCache>
                      <c:ptCount val="1"/>
                      <c:pt idx="0">
                        <c:v>설계불량</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분석_15일'!$G$336:$CH$336</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4-3393-4289-9106-4FDFF6D6C69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'트랜드 분석_15일'!$F$337</c15:sqref>
                        </c15:formulaRef>
                      </c:ext>
                    </c:extLst>
                    <c:strCache>
                      <c:ptCount val="1"/>
                      <c:pt idx="0">
                        <c:v>S/W불량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분석_15일'!$G$337:$CH$337</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5-3393-4289-9106-4FDFF6D6C697}"/>
                  </c:ext>
                </c:extLst>
              </c15:ser>
            </c15:filteredLineSeries>
          </c:ext>
        </c:extLst>
      </c:lineChart>
      <c:catAx>
        <c:axId val="612404248"/>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6544"/>
        <c:crosses val="autoZero"/>
        <c:auto val="1"/>
        <c:lblAlgn val="ctr"/>
        <c:lblOffset val="100"/>
        <c:noMultiLvlLbl val="0"/>
      </c:catAx>
      <c:valAx>
        <c:axId val="612406544"/>
        <c:scaling>
          <c:orientation val="minMax"/>
          <c:max val="1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424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3"/>
          <c:order val="3"/>
          <c:tx>
            <c:strRef>
              <c:f>'트랜드 분석_15일'!$F$348</c:f>
              <c:strCache>
                <c:ptCount val="1"/>
                <c:pt idx="0">
                  <c:v>초기 안정화</c:v>
                </c:pt>
              </c:strCache>
            </c:strRef>
          </c:tx>
          <c:spPr>
            <a:ln w="28575" cap="rnd">
              <a:noFill/>
              <a:round/>
            </a:ln>
            <a:effectLst/>
          </c:spPr>
          <c:marker>
            <c:symbol val="none"/>
          </c:marker>
          <c:dPt>
            <c:idx val="72"/>
            <c:marker>
              <c:symbol val="none"/>
            </c:marker>
            <c:bubble3D val="0"/>
            <c:extLst>
              <c:ext xmlns:c16="http://schemas.microsoft.com/office/drawing/2014/chart" uri="{C3380CC4-5D6E-409C-BE32-E72D297353CC}">
                <c16:uniqueId val="{00000000-9D27-4DCE-B13C-9137B0719795}"/>
              </c:ext>
            </c:extLst>
          </c:dPt>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분석_15일'!$G$348:$CQ$348</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1-9D27-4DCE-B13C-9137B0719795}"/>
            </c:ext>
          </c:extLst>
        </c:ser>
        <c:ser>
          <c:idx val="4"/>
          <c:order val="4"/>
          <c:tx>
            <c:strRef>
              <c:f>'트랜드 분석_15일'!$F$349</c:f>
              <c:strCache>
                <c:ptCount val="1"/>
                <c:pt idx="0">
                  <c:v>단품불량</c:v>
                </c:pt>
              </c:strCache>
            </c:strRef>
          </c:tx>
          <c:spPr>
            <a:ln w="28575" cap="rnd">
              <a:noFill/>
              <a:round/>
            </a:ln>
            <a:effectLst/>
          </c:spPr>
          <c:marker>
            <c:symbol val="circle"/>
            <c:size val="15"/>
            <c:spPr>
              <a:solidFill>
                <a:schemeClr val="accent1"/>
              </a:solidFill>
              <a:ln w="9525">
                <a:noFill/>
              </a:ln>
              <a:effectLst/>
            </c:spPr>
          </c:marker>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분석_15일'!$G$349:$CQ$349</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2-9D27-4DCE-B13C-9137B0719795}"/>
            </c:ext>
          </c:extLst>
        </c:ser>
        <c:dLbls>
          <c:showLegendKey val="0"/>
          <c:showVal val="0"/>
          <c:showCatName val="0"/>
          <c:showSerName val="0"/>
          <c:showPercent val="0"/>
          <c:showBubbleSize val="0"/>
        </c:dLbls>
        <c:smooth val="0"/>
        <c:axId val="612404248"/>
        <c:axId val="612406544"/>
        <c:extLst>
          <c:ext xmlns:c15="http://schemas.microsoft.com/office/drawing/2012/chart" uri="{02D57815-91ED-43cb-92C2-25804820EDAC}">
            <c15:filteredLineSeries>
              <c15:ser>
                <c:idx val="0"/>
                <c:order val="0"/>
                <c:tx>
                  <c:strRef>
                    <c:extLst>
                      <c:ext uri="{02D57815-91ED-43cb-92C2-25804820EDAC}">
                        <c15:formulaRef>
                          <c15:sqref>'트랜드 분석_15일'!$F$345</c15:sqref>
                        </c15:formulaRef>
                      </c:ext>
                    </c:extLst>
                    <c:strCache>
                      <c:ptCount val="1"/>
                      <c:pt idx="0">
                        <c:v>총건수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c:ext uri="{02D57815-91ED-43cb-92C2-25804820EDAC}">
                        <c15:formulaRef>
                          <c15:sqref>'트랜드 분석_15일'!$G$345:$CH$345</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3-9D27-4DCE-B13C-9137B071979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'트랜드 분석_15일'!$F$346</c15:sqref>
                        </c15:formulaRef>
                      </c:ext>
                    </c:extLst>
                    <c:strCache>
                      <c:ptCount val="1"/>
                      <c:pt idx="0">
                        <c:v>설계불량</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분석_15일'!$G$346:$CH$346</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4-9D27-4DCE-B13C-9137B071979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'트랜드 분석_15일'!$F$347</c15:sqref>
                        </c15:formulaRef>
                      </c:ext>
                    </c:extLst>
                    <c:strCache>
                      <c:ptCount val="1"/>
                      <c:pt idx="0">
                        <c:v>S/W불량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분석_15일'!$G$347:$CH$347</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5-9D27-4DCE-B13C-9137B0719795}"/>
                  </c:ext>
                </c:extLst>
              </c15:ser>
            </c15:filteredLineSeries>
          </c:ext>
        </c:extLst>
      </c:lineChart>
      <c:catAx>
        <c:axId val="612404248"/>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6544"/>
        <c:crosses val="autoZero"/>
        <c:auto val="1"/>
        <c:lblAlgn val="ctr"/>
        <c:lblOffset val="100"/>
        <c:noMultiLvlLbl val="0"/>
      </c:catAx>
      <c:valAx>
        <c:axId val="612406544"/>
        <c:scaling>
          <c:orientation val="minMax"/>
          <c:max val="1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424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3"/>
          <c:order val="3"/>
          <c:tx>
            <c:strRef>
              <c:f>'트랜드 분석_15일'!$F$357</c:f>
              <c:strCache>
                <c:ptCount val="1"/>
                <c:pt idx="0">
                  <c:v>초기 안정화</c:v>
                </c:pt>
              </c:strCache>
            </c:strRef>
          </c:tx>
          <c:spPr>
            <a:ln w="28575" cap="rnd">
              <a:noFill/>
              <a:round/>
            </a:ln>
            <a:effectLst/>
          </c:spPr>
          <c:marker>
            <c:symbol val="none"/>
          </c:marker>
          <c:dPt>
            <c:idx val="72"/>
            <c:marker>
              <c:symbol val="none"/>
            </c:marker>
            <c:bubble3D val="0"/>
            <c:extLst>
              <c:ext xmlns:c16="http://schemas.microsoft.com/office/drawing/2014/chart" uri="{C3380CC4-5D6E-409C-BE32-E72D297353CC}">
                <c16:uniqueId val="{00000000-1868-427F-B6DC-16DE43D7507B}"/>
              </c:ext>
            </c:extLst>
          </c:dPt>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분석_15일'!$G$357:$CQ$357</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1-1868-427F-B6DC-16DE43D7507B}"/>
            </c:ext>
          </c:extLst>
        </c:ser>
        <c:ser>
          <c:idx val="4"/>
          <c:order val="4"/>
          <c:tx>
            <c:strRef>
              <c:f>'트랜드 분석_15일'!$F$358</c:f>
              <c:strCache>
                <c:ptCount val="1"/>
                <c:pt idx="0">
                  <c:v>단품불량</c:v>
                </c:pt>
              </c:strCache>
            </c:strRef>
          </c:tx>
          <c:spPr>
            <a:ln w="28575" cap="rnd">
              <a:noFill/>
              <a:round/>
            </a:ln>
            <a:effectLst/>
          </c:spPr>
          <c:marker>
            <c:symbol val="circle"/>
            <c:size val="15"/>
            <c:spPr>
              <a:solidFill>
                <a:schemeClr val="accent1"/>
              </a:solidFill>
              <a:ln w="9525">
                <a:noFill/>
              </a:ln>
              <a:effectLst/>
            </c:spPr>
          </c:marker>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분석_15일'!$G$358:$CQ$358</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2-1868-427F-B6DC-16DE43D7507B}"/>
            </c:ext>
          </c:extLst>
        </c:ser>
        <c:dLbls>
          <c:showLegendKey val="0"/>
          <c:showVal val="0"/>
          <c:showCatName val="0"/>
          <c:showSerName val="0"/>
          <c:showPercent val="0"/>
          <c:showBubbleSize val="0"/>
        </c:dLbls>
        <c:smooth val="0"/>
        <c:axId val="612404248"/>
        <c:axId val="612406544"/>
        <c:extLst>
          <c:ext xmlns:c15="http://schemas.microsoft.com/office/drawing/2012/chart" uri="{02D57815-91ED-43cb-92C2-25804820EDAC}">
            <c15:filteredLineSeries>
              <c15:ser>
                <c:idx val="0"/>
                <c:order val="0"/>
                <c:tx>
                  <c:strRef>
                    <c:extLst>
                      <c:ext uri="{02D57815-91ED-43cb-92C2-25804820EDAC}">
                        <c15:formulaRef>
                          <c15:sqref>'트랜드 분석_15일'!$F$354</c15:sqref>
                        </c15:formulaRef>
                      </c:ext>
                    </c:extLst>
                    <c:strCache>
                      <c:ptCount val="1"/>
                      <c:pt idx="0">
                        <c:v>총건수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c:ext uri="{02D57815-91ED-43cb-92C2-25804820EDAC}">
                        <c15:formulaRef>
                          <c15:sqref>'트랜드 분석_15일'!$G$354:$CH$354</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3-1868-427F-B6DC-16DE43D7507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'트랜드 분석_15일'!$F$355</c15:sqref>
                        </c15:formulaRef>
                      </c:ext>
                    </c:extLst>
                    <c:strCache>
                      <c:ptCount val="1"/>
                      <c:pt idx="0">
                        <c:v>설계불량</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분석_15일'!$G$355:$CH$355</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4-1868-427F-B6DC-16DE43D7507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'트랜드 분석_15일'!$F$356</c15:sqref>
                        </c15:formulaRef>
                      </c:ext>
                    </c:extLst>
                    <c:strCache>
                      <c:ptCount val="1"/>
                      <c:pt idx="0">
                        <c:v>S/W불량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분석_15일'!$G$356:$CH$356</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5-1868-427F-B6DC-16DE43D7507B}"/>
                  </c:ext>
                </c:extLst>
              </c15:ser>
            </c15:filteredLineSeries>
          </c:ext>
        </c:extLst>
      </c:lineChart>
      <c:catAx>
        <c:axId val="612404248"/>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6544"/>
        <c:crosses val="autoZero"/>
        <c:auto val="1"/>
        <c:lblAlgn val="ctr"/>
        <c:lblOffset val="100"/>
        <c:noMultiLvlLbl val="0"/>
      </c:catAx>
      <c:valAx>
        <c:axId val="612406544"/>
        <c:scaling>
          <c:orientation val="minMax"/>
          <c:max val="1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424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3"/>
          <c:order val="3"/>
          <c:tx>
            <c:strRef>
              <c:f>'트랜드 분석_15일'!$F$386</c:f>
              <c:strCache>
                <c:ptCount val="1"/>
                <c:pt idx="0">
                  <c:v>초기 안정화</c:v>
                </c:pt>
              </c:strCache>
            </c:strRef>
          </c:tx>
          <c:spPr>
            <a:ln w="28575" cap="rnd">
              <a:noFill/>
              <a:round/>
            </a:ln>
            <a:effectLst/>
          </c:spPr>
          <c:marker>
            <c:symbol val="none"/>
          </c:marker>
          <c:dPt>
            <c:idx val="72"/>
            <c:marker>
              <c:symbol val="none"/>
            </c:marker>
            <c:bubble3D val="0"/>
            <c:extLst>
              <c:ext xmlns:c16="http://schemas.microsoft.com/office/drawing/2014/chart" uri="{C3380CC4-5D6E-409C-BE32-E72D297353CC}">
                <c16:uniqueId val="{00000000-C84E-47B8-BE94-552FC69AFCF2}"/>
              </c:ext>
            </c:extLst>
          </c:dPt>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분석_15일'!$G$386:$CQ$386</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1-C84E-47B8-BE94-552FC69AFCF2}"/>
            </c:ext>
          </c:extLst>
        </c:ser>
        <c:ser>
          <c:idx val="4"/>
          <c:order val="4"/>
          <c:tx>
            <c:strRef>
              <c:f>'트랜드 분석_15일'!$F$387</c:f>
              <c:strCache>
                <c:ptCount val="1"/>
                <c:pt idx="0">
                  <c:v>단품불량</c:v>
                </c:pt>
              </c:strCache>
            </c:strRef>
          </c:tx>
          <c:spPr>
            <a:ln w="28575" cap="rnd">
              <a:noFill/>
              <a:round/>
            </a:ln>
            <a:effectLst/>
          </c:spPr>
          <c:marker>
            <c:symbol val="circle"/>
            <c:size val="15"/>
            <c:spPr>
              <a:solidFill>
                <a:schemeClr val="accent1"/>
              </a:solidFill>
              <a:ln w="9525">
                <a:noFill/>
              </a:ln>
              <a:effectLst/>
            </c:spPr>
          </c:marker>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분석_15일'!$G$387:$CQ$387</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2-C84E-47B8-BE94-552FC69AFCF2}"/>
            </c:ext>
          </c:extLst>
        </c:ser>
        <c:dLbls>
          <c:showLegendKey val="0"/>
          <c:showVal val="0"/>
          <c:showCatName val="0"/>
          <c:showSerName val="0"/>
          <c:showPercent val="0"/>
          <c:showBubbleSize val="0"/>
        </c:dLbls>
        <c:smooth val="0"/>
        <c:axId val="612404248"/>
        <c:axId val="612406544"/>
        <c:extLst>
          <c:ext xmlns:c15="http://schemas.microsoft.com/office/drawing/2012/chart" uri="{02D57815-91ED-43cb-92C2-25804820EDAC}">
            <c15:filteredLineSeries>
              <c15:ser>
                <c:idx val="0"/>
                <c:order val="0"/>
                <c:tx>
                  <c:strRef>
                    <c:extLst>
                      <c:ext uri="{02D57815-91ED-43cb-92C2-25804820EDAC}">
                        <c15:formulaRef>
                          <c15:sqref>'트랜드 분석_15일'!$F$345</c15:sqref>
                        </c15:formulaRef>
                      </c:ext>
                    </c:extLst>
                    <c:strCache>
                      <c:ptCount val="1"/>
                      <c:pt idx="0">
                        <c:v>총건수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c:ext uri="{02D57815-91ED-43cb-92C2-25804820EDAC}">
                        <c15:formulaRef>
                          <c15:sqref>'트랜드 분석_15일'!$G$345:$CH$345</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3-C84E-47B8-BE94-552FC69AFCF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'트랜드 분석_15일'!$F$346</c15:sqref>
                        </c15:formulaRef>
                      </c:ext>
                    </c:extLst>
                    <c:strCache>
                      <c:ptCount val="1"/>
                      <c:pt idx="0">
                        <c:v>설계불량</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분석_15일'!$G$346:$CH$346</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4-C84E-47B8-BE94-552FC69AFCF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'트랜드 분석_15일'!$F$347</c15:sqref>
                        </c15:formulaRef>
                      </c:ext>
                    </c:extLst>
                    <c:strCache>
                      <c:ptCount val="1"/>
                      <c:pt idx="0">
                        <c:v>S/W불량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분석_15일'!$G$347:$CH$347</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5-C84E-47B8-BE94-552FC69AFCF2}"/>
                  </c:ext>
                </c:extLst>
              </c15:ser>
            </c15:filteredLineSeries>
          </c:ext>
        </c:extLst>
      </c:lineChart>
      <c:catAx>
        <c:axId val="612404248"/>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6544"/>
        <c:crosses val="autoZero"/>
        <c:auto val="1"/>
        <c:lblAlgn val="ctr"/>
        <c:lblOffset val="100"/>
        <c:noMultiLvlLbl val="0"/>
      </c:catAx>
      <c:valAx>
        <c:axId val="612406544"/>
        <c:scaling>
          <c:orientation val="minMax"/>
          <c:max val="1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424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3"/>
          <c:order val="3"/>
          <c:tx>
            <c:strRef>
              <c:f>'트랜드 분석_15일'!$F$395</c:f>
              <c:strCache>
                <c:ptCount val="1"/>
                <c:pt idx="0">
                  <c:v>초기 안정화</c:v>
                </c:pt>
              </c:strCache>
            </c:strRef>
          </c:tx>
          <c:spPr>
            <a:ln w="28575" cap="rnd">
              <a:noFill/>
              <a:round/>
            </a:ln>
            <a:effectLst/>
          </c:spPr>
          <c:marker>
            <c:symbol val="none"/>
          </c:marker>
          <c:dPt>
            <c:idx val="72"/>
            <c:marker>
              <c:symbol val="none"/>
            </c:marker>
            <c:bubble3D val="0"/>
            <c:extLst>
              <c:ext xmlns:c16="http://schemas.microsoft.com/office/drawing/2014/chart" uri="{C3380CC4-5D6E-409C-BE32-E72D297353CC}">
                <c16:uniqueId val="{00000000-C8C3-41D6-9B6C-79AD232F1914}"/>
              </c:ext>
            </c:extLst>
          </c:dPt>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분석_15일'!$G$395:$CQ$395</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1-C8C3-41D6-9B6C-79AD232F1914}"/>
            </c:ext>
          </c:extLst>
        </c:ser>
        <c:ser>
          <c:idx val="4"/>
          <c:order val="4"/>
          <c:tx>
            <c:strRef>
              <c:f>'트랜드 분석_15일'!$F$396</c:f>
              <c:strCache>
                <c:ptCount val="1"/>
                <c:pt idx="0">
                  <c:v>단품불량</c:v>
                </c:pt>
              </c:strCache>
            </c:strRef>
          </c:tx>
          <c:spPr>
            <a:ln w="28575" cap="rnd">
              <a:noFill/>
              <a:round/>
            </a:ln>
            <a:effectLst/>
          </c:spPr>
          <c:marker>
            <c:symbol val="circle"/>
            <c:size val="15"/>
            <c:spPr>
              <a:solidFill>
                <a:schemeClr val="accent1"/>
              </a:solidFill>
              <a:ln w="9525">
                <a:noFill/>
              </a:ln>
              <a:effectLst/>
            </c:spPr>
          </c:marker>
          <c:cat>
            <c:numRef>
              <c:f>'트랜드 분석_15일'!$G$221:$CQ$221</c:f>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f>'트랜드 분석_15일'!$G$396:$CQ$396</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numCache>
            </c:numRef>
          </c:val>
          <c:smooth val="0"/>
          <c:extLst>
            <c:ext xmlns:c16="http://schemas.microsoft.com/office/drawing/2014/chart" uri="{C3380CC4-5D6E-409C-BE32-E72D297353CC}">
              <c16:uniqueId val="{00000002-C8C3-41D6-9B6C-79AD232F1914}"/>
            </c:ext>
          </c:extLst>
        </c:ser>
        <c:dLbls>
          <c:showLegendKey val="0"/>
          <c:showVal val="0"/>
          <c:showCatName val="0"/>
          <c:showSerName val="0"/>
          <c:showPercent val="0"/>
          <c:showBubbleSize val="0"/>
        </c:dLbls>
        <c:smooth val="0"/>
        <c:axId val="612404248"/>
        <c:axId val="612406544"/>
        <c:extLst>
          <c:ext xmlns:c15="http://schemas.microsoft.com/office/drawing/2012/chart" uri="{02D57815-91ED-43cb-92C2-25804820EDAC}">
            <c15:filteredLineSeries>
              <c15:ser>
                <c:idx val="0"/>
                <c:order val="0"/>
                <c:tx>
                  <c:strRef>
                    <c:extLst>
                      <c:ext uri="{02D57815-91ED-43cb-92C2-25804820EDAC}">
                        <c15:formulaRef>
                          <c15:sqref>'트랜드 분석_15일'!$F$354</c15:sqref>
                        </c15:formulaRef>
                      </c:ext>
                    </c:extLst>
                    <c:strCache>
                      <c:ptCount val="1"/>
                      <c:pt idx="0">
                        <c:v>총건수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c:ext uri="{02D57815-91ED-43cb-92C2-25804820EDAC}">
                        <c15:formulaRef>
                          <c15:sqref>'트랜드 분석_15일'!$G$354:$CH$354</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3-C8C3-41D6-9B6C-79AD232F191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'트랜드 분석_15일'!$F$355</c15:sqref>
                        </c15:formulaRef>
                      </c:ext>
                    </c:extLst>
                    <c:strCache>
                      <c:ptCount val="1"/>
                      <c:pt idx="0">
                        <c:v>설계불량</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분석_15일'!$G$355:$CH$355</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4-C8C3-41D6-9B6C-79AD232F191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'트랜드 분석_15일'!$F$356</c15:sqref>
                        </c15:formulaRef>
                      </c:ext>
                    </c:extLst>
                    <c:strCache>
                      <c:ptCount val="1"/>
                      <c:pt idx="0">
                        <c:v>S/W불량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'트랜드 분석_15일'!$G$221:$CQ$221</c15:sqref>
                        </c15:formulaRef>
                      </c:ext>
                    </c:extLst>
                    <c:numCache>
                      <c:formatCode>0_);[Red]\(0\)</c:formatCode>
                      <c:ptCount val="89"/>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pt idx="30">
                        <c:v>465</c:v>
                      </c:pt>
                      <c:pt idx="31">
                        <c:v>480</c:v>
                      </c:pt>
                      <c:pt idx="32">
                        <c:v>495</c:v>
                      </c:pt>
                      <c:pt idx="33">
                        <c:v>510</c:v>
                      </c:pt>
                      <c:pt idx="34">
                        <c:v>525</c:v>
                      </c:pt>
                      <c:pt idx="35">
                        <c:v>540</c:v>
                      </c:pt>
                      <c:pt idx="36">
                        <c:v>555</c:v>
                      </c:pt>
                      <c:pt idx="37">
                        <c:v>570</c:v>
                      </c:pt>
                      <c:pt idx="38">
                        <c:v>585</c:v>
                      </c:pt>
                      <c:pt idx="39">
                        <c:v>600</c:v>
                      </c:pt>
                      <c:pt idx="40">
                        <c:v>615</c:v>
                      </c:pt>
                      <c:pt idx="41">
                        <c:v>630</c:v>
                      </c:pt>
                      <c:pt idx="42">
                        <c:v>645</c:v>
                      </c:pt>
                      <c:pt idx="43">
                        <c:v>660</c:v>
                      </c:pt>
                      <c:pt idx="44">
                        <c:v>675</c:v>
                      </c:pt>
                      <c:pt idx="45">
                        <c:v>690</c:v>
                      </c:pt>
                      <c:pt idx="46">
                        <c:v>705</c:v>
                      </c:pt>
                      <c:pt idx="47">
                        <c:v>720</c:v>
                      </c:pt>
                      <c:pt idx="48">
                        <c:v>735</c:v>
                      </c:pt>
                      <c:pt idx="49">
                        <c:v>750</c:v>
                      </c:pt>
                      <c:pt idx="50">
                        <c:v>765</c:v>
                      </c:pt>
                      <c:pt idx="51">
                        <c:v>780</c:v>
                      </c:pt>
                      <c:pt idx="52">
                        <c:v>795</c:v>
                      </c:pt>
                      <c:pt idx="53">
                        <c:v>810</c:v>
                      </c:pt>
                      <c:pt idx="54">
                        <c:v>825</c:v>
                      </c:pt>
                      <c:pt idx="55">
                        <c:v>840</c:v>
                      </c:pt>
                      <c:pt idx="56">
                        <c:v>855</c:v>
                      </c:pt>
                      <c:pt idx="57">
                        <c:v>870</c:v>
                      </c:pt>
                      <c:pt idx="58">
                        <c:v>885</c:v>
                      </c:pt>
                      <c:pt idx="59">
                        <c:v>900</c:v>
                      </c:pt>
                      <c:pt idx="60">
                        <c:v>915</c:v>
                      </c:pt>
                      <c:pt idx="61">
                        <c:v>930</c:v>
                      </c:pt>
                      <c:pt idx="62">
                        <c:v>945</c:v>
                      </c:pt>
                      <c:pt idx="63">
                        <c:v>960</c:v>
                      </c:pt>
                      <c:pt idx="64">
                        <c:v>975</c:v>
                      </c:pt>
                      <c:pt idx="65">
                        <c:v>990</c:v>
                      </c:pt>
                      <c:pt idx="66">
                        <c:v>1005</c:v>
                      </c:pt>
                      <c:pt idx="67">
                        <c:v>1020</c:v>
                      </c:pt>
                      <c:pt idx="68">
                        <c:v>1035</c:v>
                      </c:pt>
                      <c:pt idx="69">
                        <c:v>1050</c:v>
                      </c:pt>
                      <c:pt idx="70">
                        <c:v>1065</c:v>
                      </c:pt>
                      <c:pt idx="71">
                        <c:v>1080</c:v>
                      </c:pt>
                      <c:pt idx="72">
                        <c:v>1095</c:v>
                      </c:pt>
                      <c:pt idx="73">
                        <c:v>1110</c:v>
                      </c:pt>
                      <c:pt idx="74">
                        <c:v>1125</c:v>
                      </c:pt>
                      <c:pt idx="75">
                        <c:v>1140</c:v>
                      </c:pt>
                      <c:pt idx="76">
                        <c:v>1155</c:v>
                      </c:pt>
                      <c:pt idx="77">
                        <c:v>1170</c:v>
                      </c:pt>
                      <c:pt idx="78">
                        <c:v>1185</c:v>
                      </c:pt>
                      <c:pt idx="79">
                        <c:v>1200</c:v>
                      </c:pt>
                      <c:pt idx="80">
                        <c:v>1215</c:v>
                      </c:pt>
                      <c:pt idx="81">
                        <c:v>1230</c:v>
                      </c:pt>
                      <c:pt idx="82">
                        <c:v>1245</c:v>
                      </c:pt>
                      <c:pt idx="83">
                        <c:v>1260</c:v>
                      </c:pt>
                      <c:pt idx="84">
                        <c:v>1275</c:v>
                      </c:pt>
                      <c:pt idx="85">
                        <c:v>1290</c:v>
                      </c:pt>
                      <c:pt idx="86">
                        <c:v>1305</c:v>
                      </c:pt>
                      <c:pt idx="87">
                        <c:v>1320</c:v>
                      </c:pt>
                      <c:pt idx="88">
                        <c:v>1335</c:v>
                      </c:pt>
                    </c:numCache>
                  </c:numRef>
                </c:cat>
                <c:val>
                  <c:numRef>
                    <c:extLst xmlns:c15="http://schemas.microsoft.com/office/drawing/2012/chart">
                      <c:ext xmlns:c15="http://schemas.microsoft.com/office/drawing/2012/chart" uri="{02D57815-91ED-43cb-92C2-25804820EDAC}">
                        <c15:formulaRef>
                          <c15:sqref>'트랜드 분석_15일'!$G$356:$CH$356</c15:sqref>
                        </c15:formulaRef>
                      </c:ext>
                    </c:extLst>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smooth val="0"/>
                <c:extLst xmlns:c15="http://schemas.microsoft.com/office/drawing/2012/chart">
                  <c:ext xmlns:c16="http://schemas.microsoft.com/office/drawing/2014/chart" uri="{C3380CC4-5D6E-409C-BE32-E72D297353CC}">
                    <c16:uniqueId val="{00000005-C8C3-41D6-9B6C-79AD232F1914}"/>
                  </c:ext>
                </c:extLst>
              </c15:ser>
            </c15:filteredLineSeries>
          </c:ext>
        </c:extLst>
      </c:lineChart>
      <c:catAx>
        <c:axId val="612404248"/>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6544"/>
        <c:crosses val="autoZero"/>
        <c:auto val="1"/>
        <c:lblAlgn val="ctr"/>
        <c:lblOffset val="100"/>
        <c:noMultiLvlLbl val="0"/>
      </c:catAx>
      <c:valAx>
        <c:axId val="612406544"/>
        <c:scaling>
          <c:orientation val="minMax"/>
          <c:max val="1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240424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'처리 현황'!$BL$35</c:f>
              <c:strCache>
                <c:ptCount val="1"/>
                <c:pt idx="0">
                  <c:v>TCMS</c:v>
                </c:pt>
              </c:strCache>
            </c:strRef>
          </c:tx>
          <c:spPr>
            <a:solidFill>
              <a:schemeClr val="accent1"/>
            </a:solidFill>
            <a:ln>
              <a:noFill/>
            </a:ln>
            <a:effectLst/>
          </c:spPr>
          <c:invertIfNegative val="0"/>
          <c:cat>
            <c:numRef>
              <c:f>'처리 현황'!$BJ$36:$BJ$47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'처리 현황'!$BL$36:$BL$47</c:f>
              <c:numCache>
                <c:formatCode>General</c:formatCode>
                <c:ptCount val="12"/>
                <c:pt idx="0">
                  <c:v>20</c:v>
                </c:pt>
                <c:pt idx="1">
                  <c:v>14</c:v>
                </c:pt>
                <c:pt idx="2">
                  <c:v>10</c:v>
                </c:pt>
                <c:pt idx="3">
                  <c:v>4</c:v>
                </c:pt>
                <c:pt idx="4">
                  <c:v>3</c:v>
                </c:pt>
                <c:pt idx="5">
                  <c:v>5</c:v>
                </c:pt>
                <c:pt idx="6">
                  <c:v>12</c:v>
                </c:pt>
                <c:pt idx="7">
                  <c:v>3</c:v>
                </c:pt>
                <c:pt idx="8">
                  <c:v>0</c:v>
                </c:pt>
                <c:pt idx="9">
                  <c:v>0</c:v>
                </c:pt>
                <c:pt idx="10">
                  <c:v>0</c:v>
                </c:pt>
                <c:pt idx="11">
                  <c:v>0</c:v>
                </c:pt>
              </c:numCache>
            </c:numRef>
          </c:val>
          <c:extLst>
            <c:ext xmlns:c16="http://schemas.microsoft.com/office/drawing/2014/chart" uri="{C3380CC4-5D6E-409C-BE32-E72D297353CC}">
              <c16:uniqueId val="{00000000-3577-42A8-AA44-C7A14BBB0557}"/>
            </c:ext>
          </c:extLst>
        </c:ser>
        <c:dLbls>
          <c:showLegendKey val="0"/>
          <c:showVal val="0"/>
          <c:showCatName val="0"/>
          <c:showSerName val="0"/>
          <c:showPercent val="0"/>
          <c:showBubbleSize val="0"/>
        </c:dLbls>
        <c:gapWidth val="219"/>
        <c:overlap val="-27"/>
        <c:axId val="860449744"/>
        <c:axId val="860449088"/>
      </c:barChart>
      <c:catAx>
        <c:axId val="8604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60449088"/>
        <c:crosses val="autoZero"/>
        <c:auto val="1"/>
        <c:lblAlgn val="ctr"/>
        <c:lblOffset val="100"/>
        <c:noMultiLvlLbl val="0"/>
      </c:catAx>
      <c:valAx>
        <c:axId val="86044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6044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'처리 현황'!$BM$35</c:f>
              <c:strCache>
                <c:ptCount val="1"/>
                <c:pt idx="0">
                  <c:v>신호</c:v>
                </c:pt>
              </c:strCache>
            </c:strRef>
          </c:tx>
          <c:spPr>
            <a:solidFill>
              <a:schemeClr val="accent1"/>
            </a:solidFill>
            <a:ln>
              <a:noFill/>
            </a:ln>
            <a:effectLst/>
          </c:spPr>
          <c:invertIfNegative val="0"/>
          <c:cat>
            <c:numRef>
              <c:f>'처리 현황'!$BJ$36:$BJ$47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'처리 현황'!$BM$36:$BM$47</c:f>
              <c:numCache>
                <c:formatCode>General</c:formatCode>
                <c:ptCount val="12"/>
                <c:pt idx="0">
                  <c:v>5</c:v>
                </c:pt>
                <c:pt idx="1">
                  <c:v>0</c:v>
                </c:pt>
                <c:pt idx="2">
                  <c:v>0</c:v>
                </c:pt>
                <c:pt idx="3">
                  <c:v>2</c:v>
                </c:pt>
                <c:pt idx="4">
                  <c:v>1</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0-0D40-48D7-819D-7BEB159D21E6}"/>
            </c:ext>
          </c:extLst>
        </c:ser>
        <c:dLbls>
          <c:showLegendKey val="0"/>
          <c:showVal val="0"/>
          <c:showCatName val="0"/>
          <c:showSerName val="0"/>
          <c:showPercent val="0"/>
          <c:showBubbleSize val="0"/>
        </c:dLbls>
        <c:gapWidth val="219"/>
        <c:overlap val="-27"/>
        <c:axId val="573983200"/>
        <c:axId val="573977296"/>
      </c:barChart>
      <c:catAx>
        <c:axId val="57398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73977296"/>
        <c:crosses val="autoZero"/>
        <c:auto val="1"/>
        <c:lblAlgn val="ctr"/>
        <c:lblOffset val="100"/>
        <c:noMultiLvlLbl val="0"/>
      </c:catAx>
      <c:valAx>
        <c:axId val="57397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73983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'처리 현황'!$BN$35</c:f>
              <c:strCache>
                <c:ptCount val="1"/>
                <c:pt idx="0">
                  <c:v>방송장치</c:v>
                </c:pt>
              </c:strCache>
            </c:strRef>
          </c:tx>
          <c:spPr>
            <a:solidFill>
              <a:schemeClr val="accent1"/>
            </a:solidFill>
            <a:ln>
              <a:noFill/>
            </a:ln>
            <a:effectLst/>
          </c:spPr>
          <c:invertIfNegative val="0"/>
          <c:cat>
            <c:numRef>
              <c:f>'처리 현황'!$BJ$36:$BJ$47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'처리 현황'!$BN$36:$BN$47</c:f>
              <c:numCache>
                <c:formatCode>General</c:formatCode>
                <c:ptCount val="12"/>
                <c:pt idx="0">
                  <c:v>13</c:v>
                </c:pt>
                <c:pt idx="1">
                  <c:v>12</c:v>
                </c:pt>
                <c:pt idx="2">
                  <c:v>9</c:v>
                </c:pt>
                <c:pt idx="3">
                  <c:v>10</c:v>
                </c:pt>
                <c:pt idx="4">
                  <c:v>15</c:v>
                </c:pt>
                <c:pt idx="5">
                  <c:v>7</c:v>
                </c:pt>
                <c:pt idx="6">
                  <c:v>0</c:v>
                </c:pt>
                <c:pt idx="7">
                  <c:v>0</c:v>
                </c:pt>
                <c:pt idx="8">
                  <c:v>0</c:v>
                </c:pt>
                <c:pt idx="9">
                  <c:v>0</c:v>
                </c:pt>
                <c:pt idx="10">
                  <c:v>0</c:v>
                </c:pt>
                <c:pt idx="11">
                  <c:v>0</c:v>
                </c:pt>
              </c:numCache>
            </c:numRef>
          </c:val>
          <c:extLst>
            <c:ext xmlns:c16="http://schemas.microsoft.com/office/drawing/2014/chart" uri="{C3380CC4-5D6E-409C-BE32-E72D297353CC}">
              <c16:uniqueId val="{00000000-F971-4EA8-BEBE-F562D3DCE3E9}"/>
            </c:ext>
          </c:extLst>
        </c:ser>
        <c:dLbls>
          <c:showLegendKey val="0"/>
          <c:showVal val="0"/>
          <c:showCatName val="0"/>
          <c:showSerName val="0"/>
          <c:showPercent val="0"/>
          <c:showBubbleSize val="0"/>
        </c:dLbls>
        <c:gapWidth val="219"/>
        <c:overlap val="-27"/>
        <c:axId val="1026337720"/>
        <c:axId val="1026338048"/>
      </c:barChart>
      <c:catAx>
        <c:axId val="1026337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26338048"/>
        <c:crosses val="autoZero"/>
        <c:auto val="1"/>
        <c:lblAlgn val="ctr"/>
        <c:lblOffset val="100"/>
        <c:noMultiLvlLbl val="0"/>
      </c:catAx>
      <c:valAx>
        <c:axId val="102633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26337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solidFill>
            <a:ln>
              <a:noFill/>
            </a:ln>
            <a:effectLst/>
          </c:spPr>
          <c:invertIfNegative val="0"/>
          <c:cat>
            <c:strRef>
              <c:f>'처리 현황'!$BR$3:$BV$3</c:f>
              <c:strCache>
                <c:ptCount val="5"/>
                <c:pt idx="0">
                  <c:v>월</c:v>
                </c:pt>
                <c:pt idx="1">
                  <c:v>화</c:v>
                </c:pt>
                <c:pt idx="2">
                  <c:v>수</c:v>
                </c:pt>
                <c:pt idx="3">
                  <c:v>목</c:v>
                </c:pt>
                <c:pt idx="4">
                  <c:v>금</c:v>
                </c:pt>
              </c:strCache>
            </c:strRef>
          </c:cat>
          <c:val>
            <c:numRef>
              <c:f>'처리 현황'!$BR$4:$BV$4</c:f>
              <c:numCache>
                <c:formatCode>General</c:formatCode>
                <c:ptCount val="5"/>
                <c:pt idx="0">
                  <c:v>7</c:v>
                </c:pt>
                <c:pt idx="1">
                  <c:v>4</c:v>
                </c:pt>
                <c:pt idx="2">
                  <c:v>3</c:v>
                </c:pt>
                <c:pt idx="3">
                  <c:v>1</c:v>
                </c:pt>
                <c:pt idx="4">
                  <c:v>2</c:v>
                </c:pt>
              </c:numCache>
            </c:numRef>
          </c:val>
          <c:extLst>
            <c:ext xmlns:c16="http://schemas.microsoft.com/office/drawing/2014/chart" uri="{C3380CC4-5D6E-409C-BE32-E72D297353CC}">
              <c16:uniqueId val="{00000000-A7A7-4CEF-802E-7C90B0EEC2E2}"/>
            </c:ext>
          </c:extLst>
        </c:ser>
        <c:dLbls>
          <c:showLegendKey val="0"/>
          <c:showVal val="0"/>
          <c:showCatName val="0"/>
          <c:showSerName val="0"/>
          <c:showPercent val="0"/>
          <c:showBubbleSize val="0"/>
        </c:dLbls>
        <c:gapWidth val="219"/>
        <c:overlap val="-27"/>
        <c:axId val="646634992"/>
        <c:axId val="646641224"/>
      </c:barChart>
      <c:catAx>
        <c:axId val="64663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46641224"/>
        <c:crosses val="autoZero"/>
        <c:auto val="1"/>
        <c:lblAlgn val="ctr"/>
        <c:lblOffset val="100"/>
        <c:noMultiLvlLbl val="0"/>
      </c:catAx>
      <c:valAx>
        <c:axId val="646641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4663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solidFill>
            <a:ln>
              <a:noFill/>
            </a:ln>
            <a:effectLst/>
          </c:spPr>
          <c:invertIfNegative val="0"/>
          <c:cat>
            <c:strRef>
              <c:f>'처리 현황'!$BX$6:$CB$6</c:f>
              <c:strCache>
                <c:ptCount val="5"/>
                <c:pt idx="0">
                  <c:v>월</c:v>
                </c:pt>
                <c:pt idx="1">
                  <c:v>화</c:v>
                </c:pt>
                <c:pt idx="2">
                  <c:v>수</c:v>
                </c:pt>
                <c:pt idx="3">
                  <c:v>목</c:v>
                </c:pt>
                <c:pt idx="4">
                  <c:v>금</c:v>
                </c:pt>
              </c:strCache>
            </c:strRef>
          </c:cat>
          <c:val>
            <c:numRef>
              <c:f>'처리 현황'!$BX$7:$CB$7</c:f>
              <c:numCache>
                <c:formatCode>General</c:formatCode>
                <c:ptCount val="5"/>
                <c:pt idx="0">
                  <c:v>2</c:v>
                </c:pt>
                <c:pt idx="1">
                  <c:v>0</c:v>
                </c:pt>
                <c:pt idx="2">
                  <c:v>1</c:v>
                </c:pt>
                <c:pt idx="3">
                  <c:v>1</c:v>
                </c:pt>
                <c:pt idx="4">
                  <c:v>0</c:v>
                </c:pt>
              </c:numCache>
            </c:numRef>
          </c:val>
          <c:extLst>
            <c:ext xmlns:c16="http://schemas.microsoft.com/office/drawing/2014/chart" uri="{C3380CC4-5D6E-409C-BE32-E72D297353CC}">
              <c16:uniqueId val="{00000000-3971-4A45-87FE-52EC6024BCC2}"/>
            </c:ext>
          </c:extLst>
        </c:ser>
        <c:dLbls>
          <c:showLegendKey val="0"/>
          <c:showVal val="0"/>
          <c:showCatName val="0"/>
          <c:showSerName val="0"/>
          <c:showPercent val="0"/>
          <c:showBubbleSize val="0"/>
        </c:dLbls>
        <c:gapWidth val="219"/>
        <c:overlap val="-27"/>
        <c:axId val="646617936"/>
        <c:axId val="646617280"/>
      </c:barChart>
      <c:catAx>
        <c:axId val="64661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46617280"/>
        <c:crosses val="autoZero"/>
        <c:auto val="1"/>
        <c:lblAlgn val="ctr"/>
        <c:lblOffset val="100"/>
        <c:noMultiLvlLbl val="0"/>
      </c:catAx>
      <c:valAx>
        <c:axId val="64661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46617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'처리 현황'!$BQ$35</c:f>
              <c:strCache>
                <c:ptCount val="1"/>
                <c:pt idx="0">
                  <c:v>C/I</c:v>
                </c:pt>
              </c:strCache>
            </c:strRef>
          </c:tx>
          <c:spPr>
            <a:solidFill>
              <a:schemeClr val="accent1"/>
            </a:solidFill>
            <a:ln>
              <a:noFill/>
            </a:ln>
            <a:effectLst/>
          </c:spPr>
          <c:invertIfNegative val="0"/>
          <c:val>
            <c:numRef>
              <c:f>'처리 현황'!$BQ$36:$BQ$47</c:f>
              <c:numCache>
                <c:formatCode>General</c:formatCode>
                <c:ptCount val="12"/>
                <c:pt idx="0">
                  <c:v>1</c:v>
                </c:pt>
                <c:pt idx="1">
                  <c:v>2</c:v>
                </c:pt>
                <c:pt idx="2">
                  <c:v>3</c:v>
                </c:pt>
                <c:pt idx="3">
                  <c:v>4</c:v>
                </c:pt>
                <c:pt idx="4">
                  <c:v>8</c:v>
                </c:pt>
                <c:pt idx="5">
                  <c:v>7</c:v>
                </c:pt>
                <c:pt idx="6">
                  <c:v>5</c:v>
                </c:pt>
                <c:pt idx="7">
                  <c:v>5</c:v>
                </c:pt>
                <c:pt idx="8">
                  <c:v>0</c:v>
                </c:pt>
                <c:pt idx="9">
                  <c:v>0</c:v>
                </c:pt>
                <c:pt idx="10">
                  <c:v>0</c:v>
                </c:pt>
                <c:pt idx="11">
                  <c:v>0</c:v>
                </c:pt>
              </c:numCache>
            </c:numRef>
          </c:val>
          <c:extLst>
            <c:ext xmlns:c16="http://schemas.microsoft.com/office/drawing/2014/chart" uri="{C3380CC4-5D6E-409C-BE32-E72D297353CC}">
              <c16:uniqueId val="{00000000-EA99-4BA1-8FD8-69ACAE120352}"/>
            </c:ext>
          </c:extLst>
        </c:ser>
        <c:dLbls>
          <c:showLegendKey val="0"/>
          <c:showVal val="0"/>
          <c:showCatName val="0"/>
          <c:showSerName val="0"/>
          <c:showPercent val="0"/>
          <c:showBubbleSize val="0"/>
        </c:dLbls>
        <c:gapWidth val="219"/>
        <c:overlap val="-27"/>
        <c:axId val="802309824"/>
        <c:axId val="802310152"/>
      </c:barChart>
      <c:catAx>
        <c:axId val="802309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02310152"/>
        <c:crosses val="autoZero"/>
        <c:auto val="1"/>
        <c:lblAlgn val="ctr"/>
        <c:lblOffset val="100"/>
        <c:noMultiLvlLbl val="0"/>
      </c:catAx>
      <c:valAx>
        <c:axId val="802310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02309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'처리 현황'!$BO$35</c:f>
              <c:strCache>
                <c:ptCount val="1"/>
                <c:pt idx="0">
                  <c:v>주변압기</c:v>
                </c:pt>
              </c:strCache>
            </c:strRef>
          </c:tx>
          <c:spPr>
            <a:solidFill>
              <a:schemeClr val="accent1"/>
            </a:solidFill>
            <a:ln>
              <a:noFill/>
            </a:ln>
            <a:effectLst/>
          </c:spPr>
          <c:invertIfNegative val="0"/>
          <c:val>
            <c:numRef>
              <c:f>'처리 현황'!$BO$36:$BO$47</c:f>
              <c:numCache>
                <c:formatCode>General</c:formatCode>
                <c:ptCount val="12"/>
                <c:pt idx="0">
                  <c:v>4</c:v>
                </c:pt>
                <c:pt idx="1">
                  <c:v>1</c:v>
                </c:pt>
                <c:pt idx="2">
                  <c:v>3</c:v>
                </c:pt>
                <c:pt idx="3">
                  <c:v>4</c:v>
                </c:pt>
                <c:pt idx="4">
                  <c:v>3</c:v>
                </c:pt>
                <c:pt idx="5">
                  <c:v>2</c:v>
                </c:pt>
                <c:pt idx="6">
                  <c:v>0</c:v>
                </c:pt>
                <c:pt idx="7">
                  <c:v>0</c:v>
                </c:pt>
                <c:pt idx="8">
                  <c:v>0</c:v>
                </c:pt>
                <c:pt idx="9">
                  <c:v>0</c:v>
                </c:pt>
                <c:pt idx="10">
                  <c:v>0</c:v>
                </c:pt>
                <c:pt idx="11">
                  <c:v>0</c:v>
                </c:pt>
              </c:numCache>
            </c:numRef>
          </c:val>
          <c:extLst>
            <c:ext xmlns:c16="http://schemas.microsoft.com/office/drawing/2014/chart" uri="{C3380CC4-5D6E-409C-BE32-E72D297353CC}">
              <c16:uniqueId val="{00000000-D352-4915-AD86-2FA687BCD442}"/>
            </c:ext>
          </c:extLst>
        </c:ser>
        <c:dLbls>
          <c:showLegendKey val="0"/>
          <c:showVal val="0"/>
          <c:showCatName val="0"/>
          <c:showSerName val="0"/>
          <c:showPercent val="0"/>
          <c:showBubbleSize val="0"/>
        </c:dLbls>
        <c:gapWidth val="219"/>
        <c:overlap val="-27"/>
        <c:axId val="1059456552"/>
        <c:axId val="1059456880"/>
      </c:barChart>
      <c:catAx>
        <c:axId val="10594565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9456880"/>
        <c:crosses val="autoZero"/>
        <c:auto val="1"/>
        <c:lblAlgn val="ctr"/>
        <c:lblOffset val="100"/>
        <c:noMultiLvlLbl val="0"/>
      </c:catAx>
      <c:valAx>
        <c:axId val="105945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9456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chart" Target="../charts/chart23.xml"/><Relationship Id="rId18" Type="http://schemas.openxmlformats.org/officeDocument/2006/relationships/chart" Target="../charts/chart28.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22.xml"/><Relationship Id="rId17" Type="http://schemas.openxmlformats.org/officeDocument/2006/relationships/chart" Target="../charts/chart27.xml"/><Relationship Id="rId2" Type="http://schemas.openxmlformats.org/officeDocument/2006/relationships/chart" Target="../charts/chart12.xml"/><Relationship Id="rId16" Type="http://schemas.openxmlformats.org/officeDocument/2006/relationships/chart" Target="../charts/chart26.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5" Type="http://schemas.openxmlformats.org/officeDocument/2006/relationships/chart" Target="../charts/chart2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 Id="rId1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58</xdr:col>
      <xdr:colOff>0</xdr:colOff>
      <xdr:row>63</xdr:row>
      <xdr:rowOff>124384</xdr:rowOff>
    </xdr:from>
    <xdr:to>
      <xdr:col>65</xdr:col>
      <xdr:colOff>291353</xdr:colOff>
      <xdr:row>76</xdr:row>
      <xdr:rowOff>99731</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56</xdr:col>
      <xdr:colOff>235324</xdr:colOff>
      <xdr:row>47</xdr:row>
      <xdr:rowOff>124385</xdr:rowOff>
    </xdr:from>
    <xdr:to>
      <xdr:col>64</xdr:col>
      <xdr:colOff>112059</xdr:colOff>
      <xdr:row>60</xdr:row>
      <xdr:rowOff>99733</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64</xdr:col>
      <xdr:colOff>201705</xdr:colOff>
      <xdr:row>48</xdr:row>
      <xdr:rowOff>12327</xdr:rowOff>
    </xdr:from>
    <xdr:to>
      <xdr:col>70</xdr:col>
      <xdr:colOff>672352</xdr:colOff>
      <xdr:row>60</xdr:row>
      <xdr:rowOff>200586</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71</xdr:col>
      <xdr:colOff>324970</xdr:colOff>
      <xdr:row>47</xdr:row>
      <xdr:rowOff>12325</xdr:rowOff>
    </xdr:from>
    <xdr:to>
      <xdr:col>78</xdr:col>
      <xdr:colOff>112059</xdr:colOff>
      <xdr:row>59</xdr:row>
      <xdr:rowOff>200584</xdr:rowOff>
    </xdr:to>
    <xdr:graphicFrame macro="">
      <xdr:nvGraphicFramePr>
        <xdr:cNvPr id="8" name="차트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70</xdr:col>
      <xdr:colOff>582706</xdr:colOff>
      <xdr:row>33</xdr:row>
      <xdr:rowOff>34737</xdr:rowOff>
    </xdr:from>
    <xdr:to>
      <xdr:col>77</xdr:col>
      <xdr:colOff>369794</xdr:colOff>
      <xdr:row>46</xdr:row>
      <xdr:rowOff>10084</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70</xdr:col>
      <xdr:colOff>123265</xdr:colOff>
      <xdr:row>13</xdr:row>
      <xdr:rowOff>101973</xdr:rowOff>
    </xdr:from>
    <xdr:to>
      <xdr:col>76</xdr:col>
      <xdr:colOff>593912</xdr:colOff>
      <xdr:row>26</xdr:row>
      <xdr:rowOff>66114</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80</xdr:col>
      <xdr:colOff>246529</xdr:colOff>
      <xdr:row>13</xdr:row>
      <xdr:rowOff>57150</xdr:rowOff>
    </xdr:from>
    <xdr:to>
      <xdr:col>87</xdr:col>
      <xdr:colOff>33617</xdr:colOff>
      <xdr:row>26</xdr:row>
      <xdr:rowOff>21291</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70</xdr:col>
      <xdr:colOff>285750</xdr:colOff>
      <xdr:row>59</xdr:row>
      <xdr:rowOff>159203</xdr:rowOff>
    </xdr:from>
    <xdr:to>
      <xdr:col>77</xdr:col>
      <xdr:colOff>95250</xdr:colOff>
      <xdr:row>73</xdr:row>
      <xdr:rowOff>44903</xdr:rowOff>
    </xdr:to>
    <xdr:graphicFrame macro="">
      <xdr:nvGraphicFramePr>
        <xdr:cNvPr id="13" name="차트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77</xdr:col>
      <xdr:colOff>489856</xdr:colOff>
      <xdr:row>32</xdr:row>
      <xdr:rowOff>159203</xdr:rowOff>
    </xdr:from>
    <xdr:to>
      <xdr:col>84</xdr:col>
      <xdr:colOff>299356</xdr:colOff>
      <xdr:row>46</xdr:row>
      <xdr:rowOff>44903</xdr:rowOff>
    </xdr:to>
    <xdr:graphicFrame macro="">
      <xdr:nvGraphicFramePr>
        <xdr:cNvPr id="14" name="차트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78</xdr:col>
      <xdr:colOff>476250</xdr:colOff>
      <xdr:row>47</xdr:row>
      <xdr:rowOff>0</xdr:rowOff>
    </xdr:from>
    <xdr:to>
      <xdr:col>85</xdr:col>
      <xdr:colOff>263339</xdr:colOff>
      <xdr:row>59</xdr:row>
      <xdr:rowOff>188259</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50</xdr:col>
      <xdr:colOff>156882</xdr:colOff>
      <xdr:row>74</xdr:row>
      <xdr:rowOff>95251</xdr:rowOff>
    </xdr:from>
    <xdr:ext cx="1023742" cy="358431"/>
    <xdr:sp macro="" textlink="">
      <xdr:nvSpPr>
        <xdr:cNvPr id="2" name="TextBox 1"/>
        <xdr:cNvSpPr txBox="1"/>
      </xdr:nvSpPr>
      <xdr:spPr>
        <a:xfrm>
          <a:off x="19530732" y="14344651"/>
          <a:ext cx="1023742" cy="358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200" b="1">
              <a:solidFill>
                <a:srgbClr val="C00000"/>
              </a:solidFill>
            </a:rPr>
            <a:t> </a:t>
          </a:r>
          <a:r>
            <a:rPr lang="ko-KR" altLang="en-US" sz="1200" b="1">
              <a:solidFill>
                <a:schemeClr val="bg1">
                  <a:lumMod val="85000"/>
                </a:schemeClr>
              </a:solidFill>
            </a:rPr>
            <a:t>설계성 불량</a:t>
          </a:r>
        </a:p>
      </xdr:txBody>
    </xdr:sp>
    <xdr:clientData/>
  </xdr:oneCellAnchor>
  <xdr:twoCellAnchor>
    <xdr:from>
      <xdr:col>5</xdr:col>
      <xdr:colOff>95251</xdr:colOff>
      <xdr:row>35</xdr:row>
      <xdr:rowOff>131988</xdr:rowOff>
    </xdr:from>
    <xdr:to>
      <xdr:col>53</xdr:col>
      <xdr:colOff>95251</xdr:colOff>
      <xdr:row>63</xdr:row>
      <xdr:rowOff>149679</xdr:rowOff>
    </xdr:to>
    <xdr:graphicFrame macro="">
      <xdr:nvGraphicFramePr>
        <xdr:cNvPr id="3" name="차트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51</xdr:col>
      <xdr:colOff>73156</xdr:colOff>
      <xdr:row>62</xdr:row>
      <xdr:rowOff>13129</xdr:rowOff>
    </xdr:from>
    <xdr:ext cx="835037" cy="358431"/>
    <xdr:sp macro="" textlink="">
      <xdr:nvSpPr>
        <xdr:cNvPr id="4" name="TextBox 3"/>
        <xdr:cNvSpPr txBox="1"/>
      </xdr:nvSpPr>
      <xdr:spPr>
        <a:xfrm>
          <a:off x="19913731" y="11747929"/>
          <a:ext cx="835037" cy="358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200" b="1">
              <a:solidFill>
                <a:srgbClr val="C00000"/>
              </a:solidFill>
            </a:rPr>
            <a:t>경과 일수</a:t>
          </a:r>
          <a:endParaRPr lang="ko-KR" altLang="en-US" sz="1200" b="1">
            <a:solidFill>
              <a:srgbClr val="0000FF"/>
            </a:solidFill>
          </a:endParaRPr>
        </a:p>
      </xdr:txBody>
    </xdr:sp>
    <xdr:clientData/>
  </xdr:oneCellAnchor>
  <xdr:oneCellAnchor>
    <xdr:from>
      <xdr:col>5</xdr:col>
      <xdr:colOff>470484</xdr:colOff>
      <xdr:row>36</xdr:row>
      <xdr:rowOff>2244</xdr:rowOff>
    </xdr:from>
    <xdr:ext cx="492443" cy="358431"/>
    <xdr:sp macro="" textlink="">
      <xdr:nvSpPr>
        <xdr:cNvPr id="5" name="TextBox 4"/>
        <xdr:cNvSpPr txBox="1"/>
      </xdr:nvSpPr>
      <xdr:spPr>
        <a:xfrm>
          <a:off x="946734" y="6288744"/>
          <a:ext cx="492443" cy="358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200" b="1">
              <a:solidFill>
                <a:srgbClr val="C00000"/>
              </a:solidFill>
            </a:rPr>
            <a:t>건수</a:t>
          </a:r>
          <a:endParaRPr lang="ko-KR" altLang="en-US" sz="1200" b="1">
            <a:solidFill>
              <a:srgbClr val="0000FF"/>
            </a:solidFill>
          </a:endParaRPr>
        </a:p>
      </xdr:txBody>
    </xdr:sp>
    <xdr:clientData/>
  </xdr:oneCellAnchor>
  <xdr:oneCellAnchor>
    <xdr:from>
      <xdr:col>26</xdr:col>
      <xdr:colOff>375234</xdr:colOff>
      <xdr:row>37</xdr:row>
      <xdr:rowOff>179136</xdr:rowOff>
    </xdr:from>
    <xdr:ext cx="4223980" cy="713209"/>
    <xdr:sp macro="" textlink="">
      <xdr:nvSpPr>
        <xdr:cNvPr id="6" name="TextBox 5"/>
        <xdr:cNvSpPr txBox="1"/>
      </xdr:nvSpPr>
      <xdr:spPr>
        <a:xfrm>
          <a:off x="9538284" y="6675186"/>
          <a:ext cx="4223980" cy="7132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2800" b="1">
              <a:solidFill>
                <a:srgbClr val="C00000"/>
              </a:solidFill>
            </a:rPr>
            <a:t>128R </a:t>
          </a:r>
          <a:r>
            <a:rPr lang="ko-KR" altLang="en-US" sz="2800" b="1">
              <a:solidFill>
                <a:srgbClr val="C00000"/>
              </a:solidFill>
            </a:rPr>
            <a:t>단품불량 추이</a:t>
          </a:r>
          <a:endParaRPr lang="ko-KR" altLang="en-US" sz="2800" b="1">
            <a:solidFill>
              <a:srgbClr val="0000FF"/>
            </a:solidFill>
          </a:endParaRPr>
        </a:p>
      </xdr:txBody>
    </xdr:sp>
    <xdr:clientData/>
  </xdr:oneCellAnchor>
  <xdr:twoCellAnchor>
    <xdr:from>
      <xdr:col>5</xdr:col>
      <xdr:colOff>13607</xdr:colOff>
      <xdr:row>65</xdr:row>
      <xdr:rowOff>40822</xdr:rowOff>
    </xdr:from>
    <xdr:to>
      <xdr:col>53</xdr:col>
      <xdr:colOff>13607</xdr:colOff>
      <xdr:row>92</xdr:row>
      <xdr:rowOff>34636</xdr:rowOff>
    </xdr:to>
    <xdr:graphicFrame macro="">
      <xdr:nvGraphicFramePr>
        <xdr:cNvPr id="7" name="차트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26</xdr:col>
      <xdr:colOff>105813</xdr:colOff>
      <xdr:row>67</xdr:row>
      <xdr:rowOff>113821</xdr:rowOff>
    </xdr:from>
    <xdr:ext cx="4223980" cy="713209"/>
    <xdr:sp macro="" textlink="">
      <xdr:nvSpPr>
        <xdr:cNvPr id="8" name="TextBox 7"/>
        <xdr:cNvSpPr txBox="1"/>
      </xdr:nvSpPr>
      <xdr:spPr>
        <a:xfrm>
          <a:off x="9268863" y="12896371"/>
          <a:ext cx="4223980" cy="7132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2800" b="1">
              <a:solidFill>
                <a:srgbClr val="C00000"/>
              </a:solidFill>
            </a:rPr>
            <a:t>448R </a:t>
          </a:r>
          <a:r>
            <a:rPr lang="ko-KR" altLang="en-US" sz="2800" b="1">
              <a:solidFill>
                <a:srgbClr val="C00000"/>
              </a:solidFill>
            </a:rPr>
            <a:t>단품불량 추이</a:t>
          </a:r>
          <a:endParaRPr lang="ko-KR" altLang="en-US" sz="2800" b="1">
            <a:solidFill>
              <a:srgbClr val="0000FF"/>
            </a:solidFill>
          </a:endParaRPr>
        </a:p>
      </xdr:txBody>
    </xdr:sp>
    <xdr:clientData/>
  </xdr:oneCellAnchor>
  <xdr:oneCellAnchor>
    <xdr:from>
      <xdr:col>5</xdr:col>
      <xdr:colOff>405170</xdr:colOff>
      <xdr:row>65</xdr:row>
      <xdr:rowOff>168251</xdr:rowOff>
    </xdr:from>
    <xdr:ext cx="492443" cy="358431"/>
    <xdr:sp macro="" textlink="">
      <xdr:nvSpPr>
        <xdr:cNvPr id="9" name="TextBox 8"/>
        <xdr:cNvSpPr txBox="1"/>
      </xdr:nvSpPr>
      <xdr:spPr>
        <a:xfrm>
          <a:off x="881420" y="12531701"/>
          <a:ext cx="492443" cy="358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200" b="1">
              <a:solidFill>
                <a:srgbClr val="C00000"/>
              </a:solidFill>
            </a:rPr>
            <a:t>건수</a:t>
          </a:r>
          <a:endParaRPr lang="ko-KR" altLang="en-US" sz="1200" b="1">
            <a:solidFill>
              <a:srgbClr val="0000FF"/>
            </a:solidFill>
          </a:endParaRPr>
        </a:p>
      </xdr:txBody>
    </xdr:sp>
    <xdr:clientData/>
  </xdr:oneCellAnchor>
  <xdr:oneCellAnchor>
    <xdr:from>
      <xdr:col>51</xdr:col>
      <xdr:colOff>35056</xdr:colOff>
      <xdr:row>91</xdr:row>
      <xdr:rowOff>97493</xdr:rowOff>
    </xdr:from>
    <xdr:ext cx="835037" cy="358431"/>
    <xdr:sp macro="" textlink="">
      <xdr:nvSpPr>
        <xdr:cNvPr id="10" name="TextBox 9"/>
        <xdr:cNvSpPr txBox="1"/>
      </xdr:nvSpPr>
      <xdr:spPr>
        <a:xfrm>
          <a:off x="19875631" y="17909243"/>
          <a:ext cx="835037" cy="358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200" b="1">
              <a:solidFill>
                <a:srgbClr val="C00000"/>
              </a:solidFill>
            </a:rPr>
            <a:t>경과 일수</a:t>
          </a:r>
          <a:endParaRPr lang="ko-KR" altLang="en-US" sz="1200" b="1">
            <a:solidFill>
              <a:srgbClr val="0000FF"/>
            </a:solidFill>
          </a:endParaRPr>
        </a:p>
      </xdr:txBody>
    </xdr:sp>
    <xdr:clientData/>
  </xdr:oneCellAnchor>
  <xdr:twoCellAnchor>
    <xdr:from>
      <xdr:col>53</xdr:col>
      <xdr:colOff>385330</xdr:colOff>
      <xdr:row>35</xdr:row>
      <xdr:rowOff>116898</xdr:rowOff>
    </xdr:from>
    <xdr:to>
      <xdr:col>72</xdr:col>
      <xdr:colOff>103909</xdr:colOff>
      <xdr:row>74</xdr:row>
      <xdr:rowOff>155864</xdr:rowOff>
    </xdr:to>
    <xdr:sp macro="" textlink="">
      <xdr:nvSpPr>
        <xdr:cNvPr id="11" name="TextBox 10"/>
        <xdr:cNvSpPr txBox="1"/>
      </xdr:nvSpPr>
      <xdr:spPr>
        <a:xfrm>
          <a:off x="21444239" y="6143625"/>
          <a:ext cx="8239125" cy="814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2000"/>
            <a:t>1. </a:t>
          </a:r>
          <a:r>
            <a:rPr lang="ko-KR" altLang="en-US" sz="2000"/>
            <a:t>차호 기록 없는 건 집계 </a:t>
          </a:r>
          <a:r>
            <a:rPr lang="en-US" altLang="ko-KR" sz="2000"/>
            <a:t>X / 2</a:t>
          </a:r>
          <a:r>
            <a:rPr lang="ko-KR" altLang="en-US" sz="2000"/>
            <a:t>건</a:t>
          </a:r>
        </a:p>
        <a:p>
          <a:r>
            <a:rPr lang="en-US" altLang="ko-KR" sz="2000"/>
            <a:t>- #9, #105</a:t>
          </a:r>
        </a:p>
        <a:p>
          <a:endParaRPr lang="en-US" altLang="ko-KR" sz="2000"/>
        </a:p>
        <a:p>
          <a:r>
            <a:rPr lang="en-US" altLang="ko-KR" sz="2000"/>
            <a:t>2. </a:t>
          </a:r>
          <a:r>
            <a:rPr lang="ko-KR" altLang="en-US" sz="2000"/>
            <a:t>차호 전편성</a:t>
          </a:r>
          <a:r>
            <a:rPr lang="en-US" altLang="ko-KR" sz="2000"/>
            <a:t>(</a:t>
          </a:r>
          <a:r>
            <a:rPr lang="ko-KR" altLang="en-US" sz="2000"/>
            <a:t>분당</a:t>
          </a:r>
          <a:r>
            <a:rPr lang="en-US" altLang="ko-KR" sz="2000"/>
            <a:t>) </a:t>
          </a:r>
          <a:r>
            <a:rPr lang="ko-KR" altLang="en-US" sz="2000"/>
            <a:t>집계 </a:t>
          </a:r>
          <a:r>
            <a:rPr lang="en-US" altLang="ko-KR" sz="2000"/>
            <a:t>X / 7</a:t>
          </a:r>
          <a:r>
            <a:rPr lang="ko-KR" altLang="en-US" sz="2000"/>
            <a:t>건</a:t>
          </a:r>
        </a:p>
        <a:p>
          <a:r>
            <a:rPr lang="en-US" altLang="ko-KR" sz="2000"/>
            <a:t>- #69, 77, 86, 90, 91, 92, 94</a:t>
          </a:r>
        </a:p>
        <a:p>
          <a:endParaRPr lang="en-US" altLang="ko-KR" sz="2000"/>
        </a:p>
        <a:p>
          <a:r>
            <a:rPr lang="en-US" altLang="ko-KR" sz="2000"/>
            <a:t>3. </a:t>
          </a:r>
          <a:r>
            <a:rPr lang="ko-KR" altLang="en-US" sz="2000"/>
            <a:t>삭제 집계 </a:t>
          </a:r>
          <a:r>
            <a:rPr lang="en-US" altLang="ko-KR" sz="2000"/>
            <a:t>X / 33</a:t>
          </a:r>
          <a:r>
            <a:rPr lang="ko-KR" altLang="en-US" sz="2000"/>
            <a:t>건</a:t>
          </a:r>
        </a:p>
        <a:p>
          <a:endParaRPr lang="ko-KR" altLang="en-US" sz="2000"/>
        </a:p>
        <a:p>
          <a:r>
            <a:rPr lang="en-US" altLang="ko-KR" sz="2000"/>
            <a:t>4. </a:t>
          </a:r>
          <a:r>
            <a:rPr lang="ko-KR" altLang="en-US" sz="2000"/>
            <a:t>동해선</a:t>
          </a:r>
          <a:r>
            <a:rPr lang="en-US" altLang="ko-KR" sz="2000"/>
            <a:t>28</a:t>
          </a:r>
          <a:r>
            <a:rPr lang="ko-KR" altLang="en-US" sz="2000"/>
            <a:t>량</a:t>
          </a:r>
          <a:r>
            <a:rPr lang="en-US" altLang="ko-KR" sz="2000"/>
            <a:t>(4</a:t>
          </a:r>
          <a:r>
            <a:rPr lang="ko-KR" altLang="en-US" sz="2000"/>
            <a:t>건</a:t>
          </a:r>
          <a:r>
            <a:rPr lang="en-US" altLang="ko-KR" sz="2000"/>
            <a:t>), </a:t>
          </a:r>
          <a:r>
            <a:rPr lang="ko-KR" altLang="en-US" sz="2000"/>
            <a:t>수인선</a:t>
          </a:r>
          <a:r>
            <a:rPr lang="en-US" altLang="ko-KR" sz="2000"/>
            <a:t>36</a:t>
          </a:r>
          <a:r>
            <a:rPr lang="ko-KR" altLang="en-US" sz="2000"/>
            <a:t>량</a:t>
          </a:r>
          <a:r>
            <a:rPr lang="en-US" altLang="ko-KR" sz="2000"/>
            <a:t>(2</a:t>
          </a:r>
          <a:r>
            <a:rPr lang="ko-KR" altLang="en-US" sz="2000"/>
            <a:t>건</a:t>
          </a:r>
          <a:r>
            <a:rPr lang="en-US" altLang="ko-KR" sz="2000"/>
            <a:t>), </a:t>
          </a:r>
          <a:r>
            <a:rPr lang="ko-KR" altLang="en-US" sz="2000"/>
            <a:t>소사원시</a:t>
          </a:r>
          <a:r>
            <a:rPr lang="en-US" altLang="ko-KR" sz="2000"/>
            <a:t>28</a:t>
          </a:r>
          <a:r>
            <a:rPr lang="ko-KR" altLang="en-US" sz="2000"/>
            <a:t>량</a:t>
          </a:r>
          <a:r>
            <a:rPr lang="en-US" altLang="ko-KR" sz="2000"/>
            <a:t>(1</a:t>
          </a:r>
          <a:r>
            <a:rPr lang="ko-KR" altLang="en-US" sz="2000"/>
            <a:t>건</a:t>
          </a:r>
          <a:r>
            <a:rPr lang="en-US" altLang="ko-KR" sz="2000"/>
            <a:t>)  </a:t>
          </a:r>
          <a:r>
            <a:rPr lang="ko-KR" altLang="en-US" sz="2000"/>
            <a:t>집계</a:t>
          </a:r>
          <a:r>
            <a:rPr lang="en-US" altLang="ko-KR" sz="2000"/>
            <a:t>X/ 7</a:t>
          </a:r>
          <a:r>
            <a:rPr lang="ko-KR" altLang="en-US" sz="2000"/>
            <a:t>건</a:t>
          </a:r>
        </a:p>
        <a:p>
          <a:r>
            <a:rPr lang="en-US" altLang="ko-KR" sz="2000"/>
            <a:t>#2, 19, 43, 51, 64, 68, 282</a:t>
          </a:r>
        </a:p>
        <a:p>
          <a:endParaRPr lang="en-US" altLang="ko-KR" sz="2000"/>
        </a:p>
        <a:p>
          <a:r>
            <a:rPr lang="en-US" altLang="ko-KR" sz="2000"/>
            <a:t>5. #10 </a:t>
          </a:r>
          <a:r>
            <a:rPr lang="ko-KR" altLang="en-US" sz="2000"/>
            <a:t>경과일 </a:t>
          </a:r>
          <a:r>
            <a:rPr lang="en-US" altLang="ko-KR" sz="2000"/>
            <a:t>-6 - </a:t>
          </a:r>
          <a:r>
            <a:rPr lang="ko-KR" altLang="en-US" sz="2000"/>
            <a:t>경과일</a:t>
          </a:r>
          <a:r>
            <a:rPr lang="en-US" altLang="ko-KR" sz="2000"/>
            <a:t>1</a:t>
          </a:r>
          <a:r>
            <a:rPr lang="ko-KR" altLang="en-US" sz="2000"/>
            <a:t>로 변경</a:t>
          </a:r>
        </a:p>
        <a:p>
          <a:endParaRPr lang="ko-KR" altLang="en-US" sz="2000"/>
        </a:p>
        <a:p>
          <a:r>
            <a:rPr lang="en-US" altLang="ko-KR" sz="2000"/>
            <a:t>128R, 448R </a:t>
          </a:r>
          <a:r>
            <a:rPr lang="ko-KR" altLang="en-US" sz="2000"/>
            <a:t>대상 상세원인검토 제출된 </a:t>
          </a:r>
          <a:r>
            <a:rPr lang="en-US" altLang="ko-KR" sz="2000"/>
            <a:t>256</a:t>
          </a:r>
          <a:r>
            <a:rPr lang="ko-KR" altLang="en-US" sz="2000"/>
            <a:t>건</a:t>
          </a:r>
          <a:r>
            <a:rPr lang="en-US" altLang="ko-KR" sz="2000"/>
            <a:t>(</a:t>
          </a:r>
          <a:r>
            <a:rPr lang="ko-KR" altLang="en-US" sz="2000"/>
            <a:t>보완요구 제외</a:t>
          </a:r>
          <a:r>
            <a:rPr lang="en-US" altLang="ko-KR" sz="2000"/>
            <a:t>) </a:t>
          </a:r>
          <a:r>
            <a:rPr lang="ko-KR" altLang="en-US" sz="2000"/>
            <a:t>대상 </a:t>
          </a:r>
          <a:r>
            <a:rPr lang="en-US" altLang="ko-KR" sz="2000"/>
            <a:t>15</a:t>
          </a:r>
          <a:r>
            <a:rPr lang="ko-KR" altLang="en-US" sz="2000"/>
            <a:t>일 주기 트랜드 분석 진행</a:t>
          </a:r>
        </a:p>
        <a:p>
          <a:endParaRPr lang="ko-KR" altLang="en-US" sz="2000"/>
        </a:p>
        <a:p>
          <a:r>
            <a:rPr lang="en-US" altLang="ko-KR" sz="2000"/>
            <a:t>256</a:t>
          </a:r>
          <a:r>
            <a:rPr lang="ko-KR" altLang="en-US" sz="2000"/>
            <a:t>건중 설계불량</a:t>
          </a:r>
          <a:r>
            <a:rPr lang="en-US" altLang="ko-KR" sz="2000"/>
            <a:t>, S/W</a:t>
          </a:r>
          <a:r>
            <a:rPr lang="ko-KR" altLang="en-US" sz="2000"/>
            <a:t>불량</a:t>
          </a:r>
          <a:r>
            <a:rPr lang="en-US" altLang="ko-KR" sz="2000"/>
            <a:t>, </a:t>
          </a:r>
          <a:r>
            <a:rPr lang="ko-KR" altLang="en-US" sz="2000"/>
            <a:t>단품불량으로 분류된 항목 </a:t>
          </a:r>
          <a:r>
            <a:rPr lang="en-US" altLang="ko-KR" sz="2000"/>
            <a:t>163</a:t>
          </a:r>
          <a:r>
            <a:rPr lang="ko-KR" altLang="en-US" sz="2000"/>
            <a:t>건</a:t>
          </a:r>
        </a:p>
        <a:p>
          <a:r>
            <a:rPr lang="en-US" altLang="ko-KR" sz="2000"/>
            <a:t>163</a:t>
          </a:r>
          <a:r>
            <a:rPr lang="ko-KR" altLang="en-US" sz="2000"/>
            <a:t>건중 </a:t>
          </a:r>
          <a:r>
            <a:rPr lang="en-US" altLang="ko-KR" sz="2000"/>
            <a:t>TOP5</a:t>
          </a:r>
        </a:p>
        <a:p>
          <a:r>
            <a:rPr lang="en-US" altLang="ko-KR" sz="2000"/>
            <a:t>1. TCMS(29</a:t>
          </a:r>
          <a:r>
            <a:rPr lang="ko-KR" altLang="en-US" sz="2000"/>
            <a:t>건</a:t>
          </a:r>
          <a:r>
            <a:rPr lang="en-US" altLang="ko-KR" sz="2000"/>
            <a:t>) / </a:t>
          </a:r>
          <a:r>
            <a:rPr lang="ko-KR" altLang="en-US" sz="2000"/>
            <a:t>신호</a:t>
          </a:r>
          <a:r>
            <a:rPr lang="en-US" altLang="ko-KR" sz="2000"/>
            <a:t>(23</a:t>
          </a:r>
          <a:r>
            <a:rPr lang="ko-KR" altLang="en-US" sz="2000"/>
            <a:t>건</a:t>
          </a:r>
          <a:r>
            <a:rPr lang="en-US" altLang="ko-KR" sz="2000"/>
            <a:t>) / </a:t>
          </a:r>
          <a:r>
            <a:rPr lang="ko-KR" altLang="en-US" sz="2000"/>
            <a:t>추진</a:t>
          </a:r>
          <a:r>
            <a:rPr lang="en-US" altLang="ko-KR" sz="2000"/>
            <a:t>(18</a:t>
          </a:r>
          <a:r>
            <a:rPr lang="ko-KR" altLang="en-US" sz="2000"/>
            <a:t>건</a:t>
          </a:r>
          <a:r>
            <a:rPr lang="en-US" altLang="ko-KR" sz="2000"/>
            <a:t>) / </a:t>
          </a:r>
          <a:r>
            <a:rPr lang="ko-KR" altLang="en-US" sz="2000"/>
            <a:t>보조전원</a:t>
          </a:r>
          <a:r>
            <a:rPr lang="en-US" altLang="ko-KR" sz="2000"/>
            <a:t>(14</a:t>
          </a:r>
          <a:r>
            <a:rPr lang="ko-KR" altLang="en-US" sz="2000"/>
            <a:t>건</a:t>
          </a:r>
          <a:r>
            <a:rPr lang="en-US" altLang="ko-KR" sz="2000"/>
            <a:t>) / </a:t>
          </a:r>
          <a:r>
            <a:rPr lang="ko-KR" altLang="en-US" sz="2000"/>
            <a:t>방송</a:t>
          </a:r>
          <a:r>
            <a:rPr lang="en-US" altLang="ko-KR" sz="2000"/>
            <a:t>(14</a:t>
          </a:r>
          <a:r>
            <a:rPr lang="ko-KR" altLang="en-US" sz="2000"/>
            <a:t>건</a:t>
          </a:r>
          <a:r>
            <a:rPr lang="en-US" altLang="ko-KR" sz="2000"/>
            <a:t>)</a:t>
          </a:r>
        </a:p>
      </xdr:txBody>
    </xdr:sp>
    <xdr:clientData/>
  </xdr:twoCellAnchor>
  <xdr:oneCellAnchor>
    <xdr:from>
      <xdr:col>55</xdr:col>
      <xdr:colOff>400222</xdr:colOff>
      <xdr:row>113</xdr:row>
      <xdr:rowOff>96503</xdr:rowOff>
    </xdr:from>
    <xdr:ext cx="6648278" cy="713209"/>
    <xdr:sp macro="" textlink="">
      <xdr:nvSpPr>
        <xdr:cNvPr id="16" name="TextBox 15"/>
        <xdr:cNvSpPr txBox="1"/>
      </xdr:nvSpPr>
      <xdr:spPr>
        <a:xfrm>
          <a:off x="22394313" y="22333048"/>
          <a:ext cx="6648278" cy="7132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2800" b="1">
              <a:solidFill>
                <a:srgbClr val="C00000"/>
              </a:solidFill>
            </a:rPr>
            <a:t>448R </a:t>
          </a:r>
          <a:r>
            <a:rPr lang="ko-KR" altLang="en-US" sz="2800" b="1">
              <a:solidFill>
                <a:srgbClr val="C00000"/>
              </a:solidFill>
            </a:rPr>
            <a:t>고장 추이</a:t>
          </a:r>
          <a:r>
            <a:rPr lang="en-US" altLang="ko-KR" sz="2800" b="1">
              <a:solidFill>
                <a:srgbClr val="C00000"/>
              </a:solidFill>
            </a:rPr>
            <a:t>(</a:t>
          </a:r>
          <a:r>
            <a:rPr lang="ko-KR" altLang="en-US" sz="2800" b="1">
              <a:solidFill>
                <a:srgbClr val="C00000"/>
              </a:solidFill>
            </a:rPr>
            <a:t>상세원인검토서 제출건</a:t>
          </a:r>
          <a:r>
            <a:rPr lang="en-US" altLang="ko-KR" sz="2800" b="1">
              <a:solidFill>
                <a:srgbClr val="C00000"/>
              </a:solidFill>
            </a:rPr>
            <a:t>)</a:t>
          </a:r>
          <a:endParaRPr lang="ko-KR" altLang="en-US" sz="2800" b="1">
            <a:solidFill>
              <a:srgbClr val="0000FF"/>
            </a:solidFill>
          </a:endParaRPr>
        </a:p>
      </xdr:txBody>
    </xdr:sp>
    <xdr:clientData/>
  </xdr:oneCellAnchor>
  <xdr:twoCellAnchor>
    <xdr:from>
      <xdr:col>6</xdr:col>
      <xdr:colOff>88769</xdr:colOff>
      <xdr:row>118</xdr:row>
      <xdr:rowOff>168636</xdr:rowOff>
    </xdr:from>
    <xdr:to>
      <xdr:col>73</xdr:col>
      <xdr:colOff>155862</xdr:colOff>
      <xdr:row>140</xdr:row>
      <xdr:rowOff>86591</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33</xdr:col>
      <xdr:colOff>175086</xdr:colOff>
      <xdr:row>120</xdr:row>
      <xdr:rowOff>165774</xdr:rowOff>
    </xdr:from>
    <xdr:ext cx="8570596" cy="713209"/>
    <xdr:sp macro="" textlink="">
      <xdr:nvSpPr>
        <xdr:cNvPr id="15" name="TextBox 14"/>
        <xdr:cNvSpPr txBox="1"/>
      </xdr:nvSpPr>
      <xdr:spPr>
        <a:xfrm>
          <a:off x="12297813" y="23857047"/>
          <a:ext cx="8570596" cy="7132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2800" b="1">
              <a:solidFill>
                <a:srgbClr val="C00000"/>
              </a:solidFill>
            </a:rPr>
            <a:t>128R </a:t>
          </a:r>
          <a:r>
            <a:rPr lang="ko-KR" altLang="en-US" sz="2800" b="1">
              <a:solidFill>
                <a:srgbClr val="C00000"/>
              </a:solidFill>
            </a:rPr>
            <a:t>단품 고장 추이</a:t>
          </a:r>
          <a:r>
            <a:rPr lang="en-US" altLang="ko-KR" sz="2800" b="1">
              <a:solidFill>
                <a:srgbClr val="C00000"/>
              </a:solidFill>
            </a:rPr>
            <a:t>(</a:t>
          </a:r>
          <a:r>
            <a:rPr lang="ko-KR" altLang="en-US" sz="2800" b="1">
              <a:solidFill>
                <a:srgbClr val="C00000"/>
              </a:solidFill>
            </a:rPr>
            <a:t>상세원인검토서 제출건</a:t>
          </a:r>
          <a:r>
            <a:rPr lang="en-US" altLang="ko-KR" sz="2800" b="1">
              <a:solidFill>
                <a:srgbClr val="C00000"/>
              </a:solidFill>
            </a:rPr>
            <a:t>)</a:t>
          </a:r>
          <a:endParaRPr lang="ko-KR" altLang="en-US" sz="2800" b="1">
            <a:solidFill>
              <a:srgbClr val="0000FF"/>
            </a:solidFill>
          </a:endParaRPr>
        </a:p>
      </xdr:txBody>
    </xdr:sp>
    <xdr:clientData/>
  </xdr:oneCellAnchor>
  <xdr:twoCellAnchor>
    <xdr:from>
      <xdr:col>6</xdr:col>
      <xdr:colOff>90921</xdr:colOff>
      <xdr:row>142</xdr:row>
      <xdr:rowOff>196992</xdr:rowOff>
    </xdr:from>
    <xdr:to>
      <xdr:col>73</xdr:col>
      <xdr:colOff>158014</xdr:colOff>
      <xdr:row>166</xdr:row>
      <xdr:rowOff>86591</xdr:rowOff>
    </xdr:to>
    <xdr:graphicFrame macro="">
      <xdr:nvGraphicFramePr>
        <xdr:cNvPr id="17" name="차트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33</xdr:col>
      <xdr:colOff>53859</xdr:colOff>
      <xdr:row>145</xdr:row>
      <xdr:rowOff>141962</xdr:rowOff>
    </xdr:from>
    <xdr:ext cx="8570596" cy="713209"/>
    <xdr:sp macro="" textlink="">
      <xdr:nvSpPr>
        <xdr:cNvPr id="18" name="TextBox 17"/>
        <xdr:cNvSpPr txBox="1"/>
      </xdr:nvSpPr>
      <xdr:spPr>
        <a:xfrm>
          <a:off x="12176586" y="29028689"/>
          <a:ext cx="8570596" cy="7132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2800" b="1">
              <a:solidFill>
                <a:srgbClr val="C00000"/>
              </a:solidFill>
            </a:rPr>
            <a:t>128R </a:t>
          </a:r>
          <a:r>
            <a:rPr lang="ko-KR" altLang="en-US" sz="2800" b="1">
              <a:solidFill>
                <a:srgbClr val="C00000"/>
              </a:solidFill>
            </a:rPr>
            <a:t>설계 고장 추이</a:t>
          </a:r>
          <a:r>
            <a:rPr lang="en-US" altLang="ko-KR" sz="2800" b="1">
              <a:solidFill>
                <a:srgbClr val="C00000"/>
              </a:solidFill>
            </a:rPr>
            <a:t>(</a:t>
          </a:r>
          <a:r>
            <a:rPr lang="ko-KR" altLang="en-US" sz="2800" b="1">
              <a:solidFill>
                <a:srgbClr val="C00000"/>
              </a:solidFill>
            </a:rPr>
            <a:t>상세원인검토서 제출건</a:t>
          </a:r>
          <a:r>
            <a:rPr lang="en-US" altLang="ko-KR" sz="2800" b="1">
              <a:solidFill>
                <a:srgbClr val="C00000"/>
              </a:solidFill>
            </a:rPr>
            <a:t>)</a:t>
          </a:r>
          <a:endParaRPr lang="ko-KR" altLang="en-US" sz="2800" b="1">
            <a:solidFill>
              <a:srgbClr val="0000FF"/>
            </a:solidFill>
          </a:endParaRPr>
        </a:p>
      </xdr:txBody>
    </xdr:sp>
    <xdr:clientData/>
  </xdr:oneCellAnchor>
  <xdr:twoCellAnchor>
    <xdr:from>
      <xdr:col>6</xdr:col>
      <xdr:colOff>121229</xdr:colOff>
      <xdr:row>168</xdr:row>
      <xdr:rowOff>83128</xdr:rowOff>
    </xdr:from>
    <xdr:to>
      <xdr:col>73</xdr:col>
      <xdr:colOff>138545</xdr:colOff>
      <xdr:row>191</xdr:row>
      <xdr:rowOff>86591</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33</xdr:col>
      <xdr:colOff>192404</xdr:colOff>
      <xdr:row>171</xdr:row>
      <xdr:rowOff>27229</xdr:rowOff>
    </xdr:from>
    <xdr:ext cx="8570596" cy="713209"/>
    <xdr:sp macro="" textlink="">
      <xdr:nvSpPr>
        <xdr:cNvPr id="20" name="TextBox 19"/>
        <xdr:cNvSpPr txBox="1"/>
      </xdr:nvSpPr>
      <xdr:spPr>
        <a:xfrm>
          <a:off x="12315131" y="34317229"/>
          <a:ext cx="8570596" cy="7132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2800" b="1">
              <a:solidFill>
                <a:srgbClr val="C00000"/>
              </a:solidFill>
            </a:rPr>
            <a:t>448R </a:t>
          </a:r>
          <a:r>
            <a:rPr lang="ko-KR" altLang="en-US" sz="2800" b="1">
              <a:solidFill>
                <a:srgbClr val="C00000"/>
              </a:solidFill>
            </a:rPr>
            <a:t>단품 고장 추이</a:t>
          </a:r>
          <a:r>
            <a:rPr lang="en-US" altLang="ko-KR" sz="2800" b="1">
              <a:solidFill>
                <a:srgbClr val="C00000"/>
              </a:solidFill>
            </a:rPr>
            <a:t>(</a:t>
          </a:r>
          <a:r>
            <a:rPr lang="ko-KR" altLang="en-US" sz="2800" b="1">
              <a:solidFill>
                <a:srgbClr val="C00000"/>
              </a:solidFill>
            </a:rPr>
            <a:t>상세원인검토서 제출건</a:t>
          </a:r>
          <a:r>
            <a:rPr lang="en-US" altLang="ko-KR" sz="2800" b="1">
              <a:solidFill>
                <a:srgbClr val="C00000"/>
              </a:solidFill>
            </a:rPr>
            <a:t>)</a:t>
          </a:r>
          <a:endParaRPr lang="ko-KR" altLang="en-US" sz="2800" b="1">
            <a:solidFill>
              <a:srgbClr val="0000FF"/>
            </a:solidFill>
          </a:endParaRPr>
        </a:p>
      </xdr:txBody>
    </xdr:sp>
    <xdr:clientData/>
  </xdr:oneCellAnchor>
  <xdr:twoCellAnchor>
    <xdr:from>
      <xdr:col>6</xdr:col>
      <xdr:colOff>103910</xdr:colOff>
      <xdr:row>193</xdr:row>
      <xdr:rowOff>34637</xdr:rowOff>
    </xdr:from>
    <xdr:to>
      <xdr:col>73</xdr:col>
      <xdr:colOff>121226</xdr:colOff>
      <xdr:row>216</xdr:row>
      <xdr:rowOff>138546</xdr:rowOff>
    </xdr:to>
    <xdr:graphicFrame macro="">
      <xdr:nvGraphicFramePr>
        <xdr:cNvPr id="21" name="차트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33</xdr:col>
      <xdr:colOff>53859</xdr:colOff>
      <xdr:row>195</xdr:row>
      <xdr:rowOff>193916</xdr:rowOff>
    </xdr:from>
    <xdr:ext cx="8570596" cy="713209"/>
    <xdr:sp macro="" textlink="">
      <xdr:nvSpPr>
        <xdr:cNvPr id="22" name="TextBox 21"/>
        <xdr:cNvSpPr txBox="1"/>
      </xdr:nvSpPr>
      <xdr:spPr>
        <a:xfrm>
          <a:off x="12176586" y="39471552"/>
          <a:ext cx="8570596" cy="7132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2800" b="1">
              <a:solidFill>
                <a:srgbClr val="C00000"/>
              </a:solidFill>
            </a:rPr>
            <a:t>448R </a:t>
          </a:r>
          <a:r>
            <a:rPr lang="ko-KR" altLang="en-US" sz="2800" b="1">
              <a:solidFill>
                <a:srgbClr val="C00000"/>
              </a:solidFill>
            </a:rPr>
            <a:t>설계 고장 추이</a:t>
          </a:r>
          <a:r>
            <a:rPr lang="en-US" altLang="ko-KR" sz="2800" b="1">
              <a:solidFill>
                <a:srgbClr val="C00000"/>
              </a:solidFill>
            </a:rPr>
            <a:t>(</a:t>
          </a:r>
          <a:r>
            <a:rPr lang="ko-KR" altLang="en-US" sz="2800" b="1">
              <a:solidFill>
                <a:srgbClr val="C00000"/>
              </a:solidFill>
            </a:rPr>
            <a:t>상세원인검토서 제출건</a:t>
          </a:r>
          <a:r>
            <a:rPr lang="en-US" altLang="ko-KR" sz="2800" b="1">
              <a:solidFill>
                <a:srgbClr val="C00000"/>
              </a:solidFill>
            </a:rPr>
            <a:t>)</a:t>
          </a:r>
          <a:endParaRPr lang="ko-KR" altLang="en-US" sz="2800" b="1">
            <a:solidFill>
              <a:srgbClr val="0000FF"/>
            </a:solidFill>
          </a:endParaRPr>
        </a:p>
      </xdr:txBody>
    </xdr:sp>
    <xdr:clientData/>
  </xdr:oneCellAnchor>
  <xdr:twoCellAnchor>
    <xdr:from>
      <xdr:col>6</xdr:col>
      <xdr:colOff>69283</xdr:colOff>
      <xdr:row>236</xdr:row>
      <xdr:rowOff>65807</xdr:rowOff>
    </xdr:from>
    <xdr:to>
      <xdr:col>73</xdr:col>
      <xdr:colOff>138544</xdr:colOff>
      <xdr:row>256</xdr:row>
      <xdr:rowOff>166686</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33</xdr:col>
      <xdr:colOff>168590</xdr:colOff>
      <xdr:row>239</xdr:row>
      <xdr:rowOff>51042</xdr:rowOff>
    </xdr:from>
    <xdr:ext cx="11607773" cy="713209"/>
    <xdr:sp macro="" textlink="">
      <xdr:nvSpPr>
        <xdr:cNvPr id="24" name="TextBox 23"/>
        <xdr:cNvSpPr txBox="1"/>
      </xdr:nvSpPr>
      <xdr:spPr>
        <a:xfrm>
          <a:off x="12291317" y="48472678"/>
          <a:ext cx="11607773" cy="7132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2800" b="1">
              <a:solidFill>
                <a:srgbClr val="C00000"/>
              </a:solidFill>
            </a:rPr>
            <a:t>128R </a:t>
          </a:r>
          <a:r>
            <a:rPr lang="ko-KR" altLang="en-US" sz="2800" b="1">
              <a:solidFill>
                <a:srgbClr val="C00000"/>
              </a:solidFill>
            </a:rPr>
            <a:t>설계</a:t>
          </a:r>
          <a:r>
            <a:rPr lang="en-US" altLang="ko-KR" sz="2800" b="1">
              <a:solidFill>
                <a:srgbClr val="C00000"/>
              </a:solidFill>
            </a:rPr>
            <a:t>,</a:t>
          </a:r>
          <a:r>
            <a:rPr lang="ko-KR" altLang="en-US" sz="2800" b="1">
              <a:solidFill>
                <a:srgbClr val="C00000"/>
              </a:solidFill>
            </a:rPr>
            <a:t>단품 고장 추이</a:t>
          </a:r>
          <a:r>
            <a:rPr lang="en-US" altLang="ko-KR" sz="2800" b="1">
              <a:solidFill>
                <a:srgbClr val="C00000"/>
              </a:solidFill>
            </a:rPr>
            <a:t>(</a:t>
          </a:r>
          <a:r>
            <a:rPr lang="ko-KR" altLang="en-US" sz="2800" b="1">
              <a:solidFill>
                <a:srgbClr val="C00000"/>
              </a:solidFill>
            </a:rPr>
            <a:t>상세원인검토서 제출건</a:t>
          </a:r>
          <a:r>
            <a:rPr lang="en-US" altLang="ko-KR" sz="2800" b="1">
              <a:solidFill>
                <a:srgbClr val="C00000"/>
              </a:solidFill>
            </a:rPr>
            <a:t>)_</a:t>
          </a:r>
          <a:r>
            <a:rPr lang="ko-KR" altLang="en-US" sz="2800" b="1">
              <a:solidFill>
                <a:srgbClr val="C00000"/>
              </a:solidFill>
            </a:rPr>
            <a:t>장치 </a:t>
          </a:r>
          <a:r>
            <a:rPr lang="en-US" altLang="ko-KR" sz="2800" b="1">
              <a:solidFill>
                <a:srgbClr val="C00000"/>
              </a:solidFill>
            </a:rPr>
            <a:t>: TCMS</a:t>
          </a:r>
          <a:endParaRPr lang="ko-KR" altLang="en-US" sz="2800" b="1">
            <a:solidFill>
              <a:srgbClr val="0000FF"/>
            </a:solidFill>
          </a:endParaRPr>
        </a:p>
      </xdr:txBody>
    </xdr:sp>
    <xdr:clientData/>
  </xdr:oneCellAnchor>
  <xdr:twoCellAnchor>
    <xdr:from>
      <xdr:col>6</xdr:col>
      <xdr:colOff>69283</xdr:colOff>
      <xdr:row>262</xdr:row>
      <xdr:rowOff>65808</xdr:rowOff>
    </xdr:from>
    <xdr:to>
      <xdr:col>73</xdr:col>
      <xdr:colOff>173181</xdr:colOff>
      <xdr:row>280</xdr:row>
      <xdr:rowOff>103908</xdr:rowOff>
    </xdr:to>
    <xdr:graphicFrame macro="">
      <xdr:nvGraphicFramePr>
        <xdr:cNvPr id="25" name="차트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33</xdr:col>
      <xdr:colOff>168590</xdr:colOff>
      <xdr:row>265</xdr:row>
      <xdr:rowOff>102996</xdr:rowOff>
    </xdr:from>
    <xdr:ext cx="11607773" cy="713209"/>
    <xdr:sp macro="" textlink="">
      <xdr:nvSpPr>
        <xdr:cNvPr id="26" name="TextBox 25"/>
        <xdr:cNvSpPr txBox="1"/>
      </xdr:nvSpPr>
      <xdr:spPr>
        <a:xfrm>
          <a:off x="12291317" y="53927905"/>
          <a:ext cx="11607773" cy="7132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2800" b="1">
              <a:solidFill>
                <a:srgbClr val="C00000"/>
              </a:solidFill>
            </a:rPr>
            <a:t>448R </a:t>
          </a:r>
          <a:r>
            <a:rPr lang="ko-KR" altLang="en-US" sz="2800" b="1">
              <a:solidFill>
                <a:srgbClr val="C00000"/>
              </a:solidFill>
            </a:rPr>
            <a:t>설계</a:t>
          </a:r>
          <a:r>
            <a:rPr lang="en-US" altLang="ko-KR" sz="2800" b="1">
              <a:solidFill>
                <a:srgbClr val="C00000"/>
              </a:solidFill>
            </a:rPr>
            <a:t>,</a:t>
          </a:r>
          <a:r>
            <a:rPr lang="ko-KR" altLang="en-US" sz="2800" b="1">
              <a:solidFill>
                <a:srgbClr val="C00000"/>
              </a:solidFill>
            </a:rPr>
            <a:t>단품 고장 추이</a:t>
          </a:r>
          <a:r>
            <a:rPr lang="en-US" altLang="ko-KR" sz="2800" b="1">
              <a:solidFill>
                <a:srgbClr val="C00000"/>
              </a:solidFill>
            </a:rPr>
            <a:t>(</a:t>
          </a:r>
          <a:r>
            <a:rPr lang="ko-KR" altLang="en-US" sz="2800" b="1">
              <a:solidFill>
                <a:srgbClr val="C00000"/>
              </a:solidFill>
            </a:rPr>
            <a:t>상세원인검토서 제출건</a:t>
          </a:r>
          <a:r>
            <a:rPr lang="en-US" altLang="ko-KR" sz="2800" b="1">
              <a:solidFill>
                <a:srgbClr val="C00000"/>
              </a:solidFill>
            </a:rPr>
            <a:t>)_</a:t>
          </a:r>
          <a:r>
            <a:rPr lang="ko-KR" altLang="en-US" sz="2800" b="1">
              <a:solidFill>
                <a:srgbClr val="C00000"/>
              </a:solidFill>
            </a:rPr>
            <a:t>장치 </a:t>
          </a:r>
          <a:r>
            <a:rPr lang="en-US" altLang="ko-KR" sz="2800" b="1">
              <a:solidFill>
                <a:srgbClr val="C00000"/>
              </a:solidFill>
            </a:rPr>
            <a:t>: TCMS</a:t>
          </a:r>
          <a:endParaRPr lang="ko-KR" altLang="en-US" sz="2800" b="1">
            <a:solidFill>
              <a:srgbClr val="0000FF"/>
            </a:solidFill>
          </a:endParaRPr>
        </a:p>
      </xdr:txBody>
    </xdr:sp>
    <xdr:clientData/>
  </xdr:oneCellAnchor>
  <xdr:twoCellAnchor>
    <xdr:from>
      <xdr:col>102</xdr:col>
      <xdr:colOff>238126</xdr:colOff>
      <xdr:row>272</xdr:row>
      <xdr:rowOff>0</xdr:rowOff>
    </xdr:from>
    <xdr:to>
      <xdr:col>143</xdr:col>
      <xdr:colOff>532523</xdr:colOff>
      <xdr:row>292</xdr:row>
      <xdr:rowOff>100878</xdr:rowOff>
    </xdr:to>
    <xdr:graphicFrame macro="">
      <xdr:nvGraphicFramePr>
        <xdr:cNvPr id="27" name="차트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102</xdr:col>
      <xdr:colOff>142875</xdr:colOff>
      <xdr:row>296</xdr:row>
      <xdr:rowOff>47625</xdr:rowOff>
    </xdr:from>
    <xdr:to>
      <xdr:col>143</xdr:col>
      <xdr:colOff>437272</xdr:colOff>
      <xdr:row>316</xdr:row>
      <xdr:rowOff>148503</xdr:rowOff>
    </xdr:to>
    <xdr:graphicFrame macro="">
      <xdr:nvGraphicFramePr>
        <xdr:cNvPr id="28" name="차트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102</xdr:col>
      <xdr:colOff>95250</xdr:colOff>
      <xdr:row>319</xdr:row>
      <xdr:rowOff>119062</xdr:rowOff>
    </xdr:from>
    <xdr:to>
      <xdr:col>143</xdr:col>
      <xdr:colOff>389647</xdr:colOff>
      <xdr:row>340</xdr:row>
      <xdr:rowOff>5628</xdr:rowOff>
    </xdr:to>
    <xdr:graphicFrame macro="">
      <xdr:nvGraphicFramePr>
        <xdr:cNvPr id="29" name="차트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102</xdr:col>
      <xdr:colOff>23812</xdr:colOff>
      <xdr:row>342</xdr:row>
      <xdr:rowOff>47625</xdr:rowOff>
    </xdr:from>
    <xdr:to>
      <xdr:col>143</xdr:col>
      <xdr:colOff>318209</xdr:colOff>
      <xdr:row>362</xdr:row>
      <xdr:rowOff>148503</xdr:rowOff>
    </xdr:to>
    <xdr:graphicFrame macro="">
      <xdr:nvGraphicFramePr>
        <xdr:cNvPr id="30" name="차트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102</xdr:col>
      <xdr:colOff>0</xdr:colOff>
      <xdr:row>365</xdr:row>
      <xdr:rowOff>86590</xdr:rowOff>
    </xdr:from>
    <xdr:to>
      <xdr:col>143</xdr:col>
      <xdr:colOff>294397</xdr:colOff>
      <xdr:row>385</xdr:row>
      <xdr:rowOff>187468</xdr:rowOff>
    </xdr:to>
    <xdr:graphicFrame macro="">
      <xdr:nvGraphicFramePr>
        <xdr:cNvPr id="31" name="차트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102</xdr:col>
      <xdr:colOff>0</xdr:colOff>
      <xdr:row>388</xdr:row>
      <xdr:rowOff>51956</xdr:rowOff>
    </xdr:from>
    <xdr:to>
      <xdr:col>143</xdr:col>
      <xdr:colOff>294397</xdr:colOff>
      <xdr:row>408</xdr:row>
      <xdr:rowOff>152834</xdr:rowOff>
    </xdr:to>
    <xdr:graphicFrame macro="">
      <xdr:nvGraphicFramePr>
        <xdr:cNvPr id="32" name="차트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102</xdr:col>
      <xdr:colOff>34636</xdr:colOff>
      <xdr:row>411</xdr:row>
      <xdr:rowOff>103908</xdr:rowOff>
    </xdr:from>
    <xdr:to>
      <xdr:col>143</xdr:col>
      <xdr:colOff>329033</xdr:colOff>
      <xdr:row>431</xdr:row>
      <xdr:rowOff>204787</xdr:rowOff>
    </xdr:to>
    <xdr:graphicFrame macro="">
      <xdr:nvGraphicFramePr>
        <xdr:cNvPr id="33" name="차트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102</xdr:col>
      <xdr:colOff>0</xdr:colOff>
      <xdr:row>435</xdr:row>
      <xdr:rowOff>0</xdr:rowOff>
    </xdr:from>
    <xdr:to>
      <xdr:col>143</xdr:col>
      <xdr:colOff>294397</xdr:colOff>
      <xdr:row>455</xdr:row>
      <xdr:rowOff>100878</xdr:rowOff>
    </xdr:to>
    <xdr:graphicFrame macro="">
      <xdr:nvGraphicFramePr>
        <xdr:cNvPr id="34" name="차트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102</xdr:col>
      <xdr:colOff>0</xdr:colOff>
      <xdr:row>459</xdr:row>
      <xdr:rowOff>0</xdr:rowOff>
    </xdr:from>
    <xdr:to>
      <xdr:col>143</xdr:col>
      <xdr:colOff>294397</xdr:colOff>
      <xdr:row>479</xdr:row>
      <xdr:rowOff>100879</xdr:rowOff>
    </xdr:to>
    <xdr:graphicFrame macro="">
      <xdr:nvGraphicFramePr>
        <xdr:cNvPr id="36" name="차트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102</xdr:col>
      <xdr:colOff>0</xdr:colOff>
      <xdr:row>481</xdr:row>
      <xdr:rowOff>0</xdr:rowOff>
    </xdr:from>
    <xdr:to>
      <xdr:col>143</xdr:col>
      <xdr:colOff>294397</xdr:colOff>
      <xdr:row>501</xdr:row>
      <xdr:rowOff>100878</xdr:rowOff>
    </xdr:to>
    <xdr:graphicFrame macro="">
      <xdr:nvGraphicFramePr>
        <xdr:cNvPr id="37" name="차트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13</xdr:col>
      <xdr:colOff>93133</xdr:colOff>
      <xdr:row>4</xdr:row>
      <xdr:rowOff>0</xdr:rowOff>
    </xdr:from>
    <xdr:ext cx="65" cy="172227"/>
    <xdr:sp macro="" textlink="">
      <xdr:nvSpPr>
        <xdr:cNvPr id="2" name="TextBox 1"/>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 name="TextBox 2"/>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 name="TextBox 3"/>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 name="TextBox 4"/>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 name="TextBox 5"/>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 name="TextBox 6"/>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 name="TextBox 7"/>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 name="TextBox 8"/>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 name="TextBox 9"/>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 name="TextBox 10"/>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2" name="TextBox 11"/>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3" name="TextBox 12"/>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4" name="TextBox 13"/>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5" name="TextBox 14"/>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6" name="TextBox 15"/>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7" name="TextBox 16"/>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8" name="TextBox 17"/>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9" name="TextBox 18"/>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0" name="TextBox 19"/>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1" name="TextBox 20"/>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2" name="TextBox 21"/>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3" name="TextBox 22"/>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4" name="TextBox 23"/>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5" name="TextBox 24"/>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6" name="TextBox 25"/>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7" name="TextBox 26"/>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8" name="TextBox 27"/>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9" name="TextBox 28"/>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0" name="TextBox 29"/>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1" name="TextBox 30"/>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2" name="TextBox 31"/>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3" name="TextBox 32"/>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4" name="TextBox 33"/>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5" name="TextBox 34"/>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6" name="TextBox 35"/>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7" name="TextBox 36"/>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8" name="TextBox 37"/>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9" name="TextBox 38"/>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0" name="TextBox 39"/>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1" name="TextBox 40"/>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2" name="TextBox 41"/>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3" name="TextBox 42"/>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4" name="TextBox 43"/>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5" name="TextBox 44"/>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6" name="TextBox 45"/>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7" name="TextBox 46"/>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8" name="TextBox 47"/>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9" name="TextBox 48"/>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0" name="TextBox 49"/>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1" name="TextBox 50"/>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2" name="TextBox 51"/>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3" name="TextBox 52"/>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4" name="TextBox 53"/>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5" name="TextBox 54"/>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6" name="TextBox 55"/>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7" name="TextBox 56"/>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8" name="TextBox 57"/>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9" name="TextBox 58"/>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0" name="TextBox 59"/>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1" name="TextBox 60"/>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2" name="TextBox 61"/>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3" name="TextBox 62"/>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4" name="TextBox 63"/>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5" name="TextBox 64"/>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6" name="TextBox 65"/>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7" name="TextBox 66"/>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8" name="TextBox 67"/>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9" name="TextBox 68"/>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0" name="TextBox 69"/>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1" name="TextBox 70"/>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2" name="TextBox 71"/>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3" name="TextBox 72"/>
        <xdr:cNvSpPr txBox="1"/>
      </xdr:nvSpPr>
      <xdr:spPr>
        <a:xfrm>
          <a:off x="5179483" y="914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4" name="TextBox 7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5" name="TextBox 7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6" name="TextBox 7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7" name="TextBox 7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8" name="TextBox 7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9" name="TextBox 7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0" name="TextBox 7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1" name="TextBox 8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2" name="TextBox 8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3" name="TextBox 8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4" name="TextBox 8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5" name="TextBox 8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6" name="TextBox 8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7" name="TextBox 8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8" name="TextBox 8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9" name="TextBox 8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0" name="TextBox 8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1" name="TextBox 9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2" name="TextBox 9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3" name="TextBox 9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4" name="TextBox 9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5" name="TextBox 9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6" name="TextBox 9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7" name="TextBox 9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8" name="TextBox 9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9" name="TextBox 9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0" name="TextBox 9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1" name="TextBox 10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2" name="TextBox 10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3" name="TextBox 10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4" name="TextBox 10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5" name="TextBox 10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6" name="TextBox 10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7" name="TextBox 10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8" name="TextBox 10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9" name="TextBox 10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0" name="TextBox 10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1" name="TextBox 11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2" name="TextBox 11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3" name="TextBox 11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4" name="TextBox 11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5" name="TextBox 11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6" name="TextBox 11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7" name="TextBox 11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8" name="TextBox 11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9" name="TextBox 11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20" name="TextBox 11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21" name="TextBox 12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22" name="TextBox 12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23" name="TextBox 12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24" name="TextBox 12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25" name="TextBox 12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26" name="TextBox 12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27" name="TextBox 12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28" name="TextBox 12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29" name="TextBox 12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30" name="TextBox 12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31" name="TextBox 13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32" name="TextBox 13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33" name="TextBox 13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34" name="TextBox 13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35" name="TextBox 13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36" name="TextBox 13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37" name="TextBox 13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38" name="TextBox 13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39" name="TextBox 13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40" name="TextBox 13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41" name="TextBox 14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42" name="TextBox 14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43" name="TextBox 14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44" name="TextBox 14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45" name="TextBox 14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46" name="TextBox 14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47" name="TextBox 14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48" name="TextBox 14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49" name="TextBox 14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50" name="TextBox 14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51" name="TextBox 15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52" name="TextBox 15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53" name="TextBox 15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54" name="TextBox 15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55" name="TextBox 15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56" name="TextBox 15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57" name="TextBox 15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58" name="TextBox 15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59" name="TextBox 15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60" name="TextBox 15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61" name="TextBox 16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62" name="TextBox 16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63" name="TextBox 16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64" name="TextBox 16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65" name="TextBox 16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66" name="TextBox 16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67" name="TextBox 16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68" name="TextBox 16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69" name="TextBox 16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70" name="TextBox 16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71" name="TextBox 17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72" name="TextBox 17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73" name="TextBox 17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74" name="TextBox 17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75" name="TextBox 17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76" name="TextBox 17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77" name="TextBox 17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78" name="TextBox 17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79" name="TextBox 17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80" name="TextBox 17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81" name="TextBox 18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82" name="TextBox 18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83" name="TextBox 18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84" name="TextBox 18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85" name="TextBox 18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86" name="TextBox 18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87" name="TextBox 18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88" name="TextBox 18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89" name="TextBox 18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90" name="TextBox 18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91" name="TextBox 19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92" name="TextBox 19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93" name="TextBox 19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94" name="TextBox 19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95" name="TextBox 19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96" name="TextBox 19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97" name="TextBox 19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98" name="TextBox 19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99" name="TextBox 19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00" name="TextBox 19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01" name="TextBox 20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02" name="TextBox 20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03" name="TextBox 20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04" name="TextBox 20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05" name="TextBox 20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06" name="TextBox 20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07" name="TextBox 20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08" name="TextBox 20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09" name="TextBox 20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10" name="TextBox 20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11" name="TextBox 21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12" name="TextBox 21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13" name="TextBox 21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14" name="TextBox 21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15" name="TextBox 21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16" name="TextBox 21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17" name="TextBox 21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18" name="TextBox 21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19" name="TextBox 21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20" name="TextBox 21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21" name="TextBox 22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22" name="TextBox 22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23" name="TextBox 22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24" name="TextBox 22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25" name="TextBox 22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26" name="TextBox 22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27" name="TextBox 22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28" name="TextBox 22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29" name="TextBox 22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30" name="TextBox 22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31" name="TextBox 23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32" name="TextBox 23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33" name="TextBox 23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34" name="TextBox 23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35" name="TextBox 23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36" name="TextBox 23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37" name="TextBox 23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38" name="TextBox 23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39" name="TextBox 23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40" name="TextBox 23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41" name="TextBox 24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42" name="TextBox 24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43" name="TextBox 24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44" name="TextBox 24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45" name="TextBox 24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46" name="TextBox 24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47" name="TextBox 24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48" name="TextBox 24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49" name="TextBox 24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50" name="TextBox 24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51" name="TextBox 25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52" name="TextBox 25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53" name="TextBox 25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54" name="TextBox 25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55" name="TextBox 25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56" name="TextBox 25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57" name="TextBox 25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58" name="TextBox 25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59" name="TextBox 25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60" name="TextBox 25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61" name="TextBox 26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62" name="TextBox 26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63" name="TextBox 26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64" name="TextBox 26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65" name="TextBox 26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66" name="TextBox 26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67" name="TextBox 26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68" name="TextBox 26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69" name="TextBox 26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70" name="TextBox 26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71" name="TextBox 27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72" name="TextBox 27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73" name="TextBox 27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74" name="TextBox 27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75" name="TextBox 27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76" name="TextBox 27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77" name="TextBox 27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78" name="TextBox 27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79" name="TextBox 27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80" name="TextBox 27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81" name="TextBox 28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82" name="TextBox 28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83" name="TextBox 28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84" name="TextBox 28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85" name="TextBox 28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86" name="TextBox 28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87" name="TextBox 28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88" name="TextBox 28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89" name="TextBox 28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90" name="TextBox 28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91" name="TextBox 29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92" name="TextBox 29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93" name="TextBox 29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94" name="TextBox 29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95" name="TextBox 29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96" name="TextBox 29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97" name="TextBox 29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98" name="TextBox 29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299" name="TextBox 29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00" name="TextBox 29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01" name="TextBox 30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02" name="TextBox 30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03" name="TextBox 30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04" name="TextBox 30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05" name="TextBox 30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06" name="TextBox 30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07" name="TextBox 30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08" name="TextBox 30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09" name="TextBox 30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10" name="TextBox 30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11" name="TextBox 31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12" name="TextBox 31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13" name="TextBox 31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14" name="TextBox 31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15" name="TextBox 31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16" name="TextBox 31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17" name="TextBox 31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18" name="TextBox 31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19" name="TextBox 31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20" name="TextBox 31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21" name="TextBox 32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22" name="TextBox 32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23" name="TextBox 32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24" name="TextBox 32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25" name="TextBox 32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26" name="TextBox 32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27" name="TextBox 32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28" name="TextBox 32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29" name="TextBox 32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30" name="TextBox 32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31" name="TextBox 33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32" name="TextBox 33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33" name="TextBox 33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34" name="TextBox 33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35" name="TextBox 33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36" name="TextBox 33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37" name="TextBox 33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38" name="TextBox 33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39" name="TextBox 33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40" name="TextBox 33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41" name="TextBox 34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42" name="TextBox 34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43" name="TextBox 34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44" name="TextBox 34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45" name="TextBox 34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46" name="TextBox 34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47" name="TextBox 34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48" name="TextBox 34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49" name="TextBox 34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50" name="TextBox 34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51" name="TextBox 35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52" name="TextBox 35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53" name="TextBox 35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54" name="TextBox 35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55" name="TextBox 35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56" name="TextBox 35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57" name="TextBox 35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58" name="TextBox 35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59" name="TextBox 35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60" name="TextBox 35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61" name="TextBox 36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62" name="TextBox 36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63" name="TextBox 36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64" name="TextBox 36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65" name="TextBox 36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66" name="TextBox 36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67" name="TextBox 36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68" name="TextBox 36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69" name="TextBox 36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70" name="TextBox 36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71" name="TextBox 37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72" name="TextBox 37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73" name="TextBox 37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74" name="TextBox 37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75" name="TextBox 37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76" name="TextBox 37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77" name="TextBox 37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78" name="TextBox 37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79" name="TextBox 37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80" name="TextBox 37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81" name="TextBox 38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82" name="TextBox 38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83" name="TextBox 38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84" name="TextBox 38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85" name="TextBox 38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86" name="TextBox 38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87" name="TextBox 38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88" name="TextBox 38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89" name="TextBox 38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90" name="TextBox 38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91" name="TextBox 39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92" name="TextBox 39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93" name="TextBox 39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94" name="TextBox 39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95" name="TextBox 39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96" name="TextBox 39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97" name="TextBox 39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98" name="TextBox 39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399" name="TextBox 39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00" name="TextBox 39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01" name="TextBox 40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02" name="TextBox 40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03" name="TextBox 40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04" name="TextBox 40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05" name="TextBox 40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06" name="TextBox 40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07" name="TextBox 40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08" name="TextBox 40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09" name="TextBox 40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10" name="TextBox 40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11" name="TextBox 41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12" name="TextBox 41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13" name="TextBox 41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14" name="TextBox 41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15" name="TextBox 41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16" name="TextBox 41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17" name="TextBox 41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18" name="TextBox 41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19" name="TextBox 41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20" name="TextBox 41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21" name="TextBox 42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22" name="TextBox 42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23" name="TextBox 42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24" name="TextBox 42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25" name="TextBox 42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26" name="TextBox 42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27" name="TextBox 42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28" name="TextBox 42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29" name="TextBox 42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30" name="TextBox 42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31" name="TextBox 43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32" name="TextBox 43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33" name="TextBox 43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34" name="TextBox 43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35" name="TextBox 43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36" name="TextBox 43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37" name="TextBox 43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38" name="TextBox 43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39" name="TextBox 43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40" name="TextBox 43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41" name="TextBox 44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42" name="TextBox 44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43" name="TextBox 44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44" name="TextBox 44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45" name="TextBox 44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46" name="TextBox 44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47" name="TextBox 44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48" name="TextBox 44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49" name="TextBox 44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50" name="TextBox 44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51" name="TextBox 45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52" name="TextBox 45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53" name="TextBox 45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54" name="TextBox 45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55" name="TextBox 45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56" name="TextBox 45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57" name="TextBox 45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58" name="TextBox 45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59" name="TextBox 45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60" name="TextBox 45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61" name="TextBox 46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62" name="TextBox 46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63" name="TextBox 46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64" name="TextBox 46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65" name="TextBox 46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66" name="TextBox 46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67" name="TextBox 46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68" name="TextBox 46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69" name="TextBox 46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70" name="TextBox 46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71" name="TextBox 47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72" name="TextBox 47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73" name="TextBox 47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74" name="TextBox 47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75" name="TextBox 47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76" name="TextBox 47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77" name="TextBox 47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78" name="TextBox 47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79" name="TextBox 47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80" name="TextBox 47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81" name="TextBox 48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82" name="TextBox 48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83" name="TextBox 48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84" name="TextBox 48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85" name="TextBox 48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86" name="TextBox 48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87" name="TextBox 48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88" name="TextBox 48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89" name="TextBox 48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90" name="TextBox 48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91" name="TextBox 49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92" name="TextBox 49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93" name="TextBox 49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94" name="TextBox 49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95" name="TextBox 49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96" name="TextBox 49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97" name="TextBox 49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98" name="TextBox 49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499" name="TextBox 49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00" name="TextBox 49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01" name="TextBox 50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02" name="TextBox 50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03" name="TextBox 50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04" name="TextBox 50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05" name="TextBox 50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06" name="TextBox 50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07" name="TextBox 50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08" name="TextBox 50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09" name="TextBox 50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10" name="TextBox 50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11" name="TextBox 51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12" name="TextBox 51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13" name="TextBox 51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14" name="TextBox 51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15" name="TextBox 51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16" name="TextBox 51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17" name="TextBox 51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18" name="TextBox 51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19" name="TextBox 51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20" name="TextBox 51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21" name="TextBox 52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22" name="TextBox 52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23" name="TextBox 52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24" name="TextBox 52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25" name="TextBox 52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26" name="TextBox 52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27" name="TextBox 52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28" name="TextBox 52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29" name="TextBox 52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30" name="TextBox 52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31" name="TextBox 53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32" name="TextBox 53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33" name="TextBox 53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34" name="TextBox 53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35" name="TextBox 53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36" name="TextBox 53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37" name="TextBox 53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38" name="TextBox 53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39" name="TextBox 53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40" name="TextBox 53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41" name="TextBox 54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42" name="TextBox 54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43" name="TextBox 54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44" name="TextBox 54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45" name="TextBox 54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46" name="TextBox 54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47" name="TextBox 54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48" name="TextBox 54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49" name="TextBox 54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50" name="TextBox 54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51" name="TextBox 55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52" name="TextBox 55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53" name="TextBox 55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54" name="TextBox 55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55" name="TextBox 55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56" name="TextBox 55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57" name="TextBox 55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58" name="TextBox 55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59" name="TextBox 55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60" name="TextBox 55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61" name="TextBox 56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62" name="TextBox 56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63" name="TextBox 56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64" name="TextBox 56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65" name="TextBox 56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66" name="TextBox 56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67" name="TextBox 56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68" name="TextBox 56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69" name="TextBox 56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70" name="TextBox 56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71" name="TextBox 57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72" name="TextBox 57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73" name="TextBox 57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74" name="TextBox 57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75" name="TextBox 57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76" name="TextBox 57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77" name="TextBox 57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78" name="TextBox 57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79" name="TextBox 57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80" name="TextBox 57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81" name="TextBox 58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82" name="TextBox 58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83" name="TextBox 58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84" name="TextBox 58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85" name="TextBox 58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86" name="TextBox 58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87" name="TextBox 58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88" name="TextBox 58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89" name="TextBox 58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90" name="TextBox 58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91" name="TextBox 59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92" name="TextBox 59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93" name="TextBox 59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94" name="TextBox 59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95" name="TextBox 59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96" name="TextBox 59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97" name="TextBox 59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98" name="TextBox 59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599" name="TextBox 59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00" name="TextBox 59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01" name="TextBox 60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02" name="TextBox 60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03" name="TextBox 60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04" name="TextBox 60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05" name="TextBox 60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06" name="TextBox 60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07" name="TextBox 60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08" name="TextBox 60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09" name="TextBox 60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10" name="TextBox 60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11" name="TextBox 61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12" name="TextBox 61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13" name="TextBox 61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14" name="TextBox 61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15" name="TextBox 61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16" name="TextBox 61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17" name="TextBox 61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18" name="TextBox 61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19" name="TextBox 61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20" name="TextBox 61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21" name="TextBox 62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22" name="TextBox 62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23" name="TextBox 62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24" name="TextBox 62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25" name="TextBox 62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26" name="TextBox 62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27" name="TextBox 62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28" name="TextBox 62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29" name="TextBox 62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30" name="TextBox 62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31" name="TextBox 63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32" name="TextBox 63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33" name="TextBox 63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34" name="TextBox 63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35" name="TextBox 63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36" name="TextBox 63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37" name="TextBox 63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38" name="TextBox 63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39" name="TextBox 63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40" name="TextBox 63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41" name="TextBox 64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42" name="TextBox 64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43" name="TextBox 64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44" name="TextBox 64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45" name="TextBox 64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46" name="TextBox 64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47" name="TextBox 64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48" name="TextBox 64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49" name="TextBox 64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50" name="TextBox 64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51" name="TextBox 65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52" name="TextBox 65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53" name="TextBox 65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54" name="TextBox 65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55" name="TextBox 65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56" name="TextBox 65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57" name="TextBox 65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58" name="TextBox 65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59" name="TextBox 65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60" name="TextBox 65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61" name="TextBox 66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62" name="TextBox 66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63" name="TextBox 66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64" name="TextBox 66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65" name="TextBox 66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66" name="TextBox 66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67" name="TextBox 66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68" name="TextBox 66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69" name="TextBox 66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70" name="TextBox 66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71" name="TextBox 67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72" name="TextBox 67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73" name="TextBox 67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74" name="TextBox 67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75" name="TextBox 67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76" name="TextBox 67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77" name="TextBox 67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78" name="TextBox 67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79" name="TextBox 67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80" name="TextBox 67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81" name="TextBox 68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82" name="TextBox 68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83" name="TextBox 68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84" name="TextBox 68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85" name="TextBox 68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86" name="TextBox 68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87" name="TextBox 68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88" name="TextBox 68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89" name="TextBox 68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90" name="TextBox 68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91" name="TextBox 69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92" name="TextBox 69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93" name="TextBox 69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94" name="TextBox 69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95" name="TextBox 69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96" name="TextBox 69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97" name="TextBox 69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98" name="TextBox 69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699" name="TextBox 69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00" name="TextBox 69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01" name="TextBox 70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02" name="TextBox 70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03" name="TextBox 70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04" name="TextBox 70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05" name="TextBox 70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06" name="TextBox 70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07" name="TextBox 70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08" name="TextBox 70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09" name="TextBox 70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10" name="TextBox 70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11" name="TextBox 71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12" name="TextBox 71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13" name="TextBox 71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14" name="TextBox 71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15" name="TextBox 71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16" name="TextBox 71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17" name="TextBox 71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18" name="TextBox 71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19" name="TextBox 71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20" name="TextBox 71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21" name="TextBox 72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22" name="TextBox 72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23" name="TextBox 72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24" name="TextBox 72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25" name="TextBox 72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26" name="TextBox 72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27" name="TextBox 72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28" name="TextBox 72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29" name="TextBox 72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30" name="TextBox 72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31" name="TextBox 73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32" name="TextBox 73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33" name="TextBox 73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34" name="TextBox 73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35" name="TextBox 73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36" name="TextBox 73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37" name="TextBox 73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38" name="TextBox 73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39" name="TextBox 73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40" name="TextBox 73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41" name="TextBox 74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42" name="TextBox 74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43" name="TextBox 74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44" name="TextBox 74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45" name="TextBox 74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46" name="TextBox 74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47" name="TextBox 74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48" name="TextBox 74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49" name="TextBox 74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50" name="TextBox 74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51" name="TextBox 75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52" name="TextBox 75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53" name="TextBox 75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54" name="TextBox 75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55" name="TextBox 75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56" name="TextBox 75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57" name="TextBox 75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58" name="TextBox 75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59" name="TextBox 75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60" name="TextBox 75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61" name="TextBox 76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62" name="TextBox 76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63" name="TextBox 76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64" name="TextBox 76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65" name="TextBox 76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66" name="TextBox 76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67" name="TextBox 76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68" name="TextBox 76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69" name="TextBox 76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70" name="TextBox 76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71" name="TextBox 77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72" name="TextBox 77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73" name="TextBox 77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74" name="TextBox 77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75" name="TextBox 77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76" name="TextBox 77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77" name="TextBox 77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78" name="TextBox 77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79" name="TextBox 77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80" name="TextBox 77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81" name="TextBox 78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82" name="TextBox 78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83" name="TextBox 78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84" name="TextBox 78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85" name="TextBox 78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86" name="TextBox 78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87" name="TextBox 78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88" name="TextBox 78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89" name="TextBox 78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90" name="TextBox 78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91" name="TextBox 79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92" name="TextBox 79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93" name="TextBox 79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94" name="TextBox 79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95" name="TextBox 79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96" name="TextBox 79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97" name="TextBox 79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98" name="TextBox 79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799" name="TextBox 79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00" name="TextBox 79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01" name="TextBox 80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02" name="TextBox 80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03" name="TextBox 80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04" name="TextBox 80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05" name="TextBox 80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06" name="TextBox 80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07" name="TextBox 80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08" name="TextBox 80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09" name="TextBox 80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10" name="TextBox 80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11" name="TextBox 81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12" name="TextBox 81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13" name="TextBox 81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14" name="TextBox 81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15" name="TextBox 81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16" name="TextBox 81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17" name="TextBox 81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18" name="TextBox 81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19" name="TextBox 81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20" name="TextBox 81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21" name="TextBox 82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22" name="TextBox 82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23" name="TextBox 82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24" name="TextBox 82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25" name="TextBox 82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26" name="TextBox 82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27" name="TextBox 82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28" name="TextBox 82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29" name="TextBox 82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30" name="TextBox 82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31" name="TextBox 83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32" name="TextBox 83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33" name="TextBox 83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34" name="TextBox 83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35" name="TextBox 83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36" name="TextBox 83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37" name="TextBox 83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38" name="TextBox 83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39" name="TextBox 83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40" name="TextBox 83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41" name="TextBox 84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42" name="TextBox 84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43" name="TextBox 84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44" name="TextBox 84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45" name="TextBox 84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46" name="TextBox 84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47" name="TextBox 84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48" name="TextBox 84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49" name="TextBox 84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50" name="TextBox 84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51" name="TextBox 85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52" name="TextBox 85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53" name="TextBox 85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54" name="TextBox 85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55" name="TextBox 85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56" name="TextBox 85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57" name="TextBox 85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58" name="TextBox 85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59" name="TextBox 85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60" name="TextBox 85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61" name="TextBox 86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62" name="TextBox 86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63" name="TextBox 86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64" name="TextBox 86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65" name="TextBox 86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66" name="TextBox 86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67" name="TextBox 86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68" name="TextBox 86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69" name="TextBox 86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70" name="TextBox 86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71" name="TextBox 87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72" name="TextBox 87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73" name="TextBox 87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74" name="TextBox 87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75" name="TextBox 87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76" name="TextBox 87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77" name="TextBox 87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78" name="TextBox 87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79" name="TextBox 87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80" name="TextBox 87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81" name="TextBox 88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82" name="TextBox 88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83" name="TextBox 88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84" name="TextBox 88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85" name="TextBox 88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86" name="TextBox 88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87" name="TextBox 88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88" name="TextBox 88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89" name="TextBox 88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90" name="TextBox 88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91" name="TextBox 89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92" name="TextBox 89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93" name="TextBox 89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94" name="TextBox 89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95" name="TextBox 89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96" name="TextBox 89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97" name="TextBox 89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98" name="TextBox 89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899" name="TextBox 89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00" name="TextBox 89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01" name="TextBox 90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02" name="TextBox 90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03" name="TextBox 90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04" name="TextBox 90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05" name="TextBox 90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06" name="TextBox 90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07" name="TextBox 90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08" name="TextBox 90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09" name="TextBox 90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10" name="TextBox 90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11" name="TextBox 91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12" name="TextBox 91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13" name="TextBox 91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14" name="TextBox 91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15" name="TextBox 91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16" name="TextBox 91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17" name="TextBox 91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18" name="TextBox 91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19" name="TextBox 91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20" name="TextBox 91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21" name="TextBox 92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22" name="TextBox 92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23" name="TextBox 92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24" name="TextBox 92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25" name="TextBox 92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26" name="TextBox 92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27" name="TextBox 92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28" name="TextBox 92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29" name="TextBox 92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30" name="TextBox 92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31" name="TextBox 93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32" name="TextBox 93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33" name="TextBox 93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34" name="TextBox 93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35" name="TextBox 93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36" name="TextBox 93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37" name="TextBox 93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38" name="TextBox 93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39" name="TextBox 93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40" name="TextBox 93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41" name="TextBox 94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42" name="TextBox 94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43" name="TextBox 94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44" name="TextBox 94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45" name="TextBox 94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46" name="TextBox 94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47" name="TextBox 94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48" name="TextBox 94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49" name="TextBox 94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50" name="TextBox 94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51" name="TextBox 95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52" name="TextBox 95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53" name="TextBox 95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54" name="TextBox 95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55" name="TextBox 95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56" name="TextBox 95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57" name="TextBox 95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58" name="TextBox 95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59" name="TextBox 95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60" name="TextBox 95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61" name="TextBox 96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62" name="TextBox 96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63" name="TextBox 96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64" name="TextBox 96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65" name="TextBox 96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66" name="TextBox 96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67" name="TextBox 96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68" name="TextBox 96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69" name="TextBox 96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70" name="TextBox 96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71" name="TextBox 97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72" name="TextBox 97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73" name="TextBox 97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74" name="TextBox 97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75" name="TextBox 97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76" name="TextBox 97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77" name="TextBox 97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78" name="TextBox 97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79" name="TextBox 97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80" name="TextBox 97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81" name="TextBox 98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82" name="TextBox 98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83" name="TextBox 98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84" name="TextBox 98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85" name="TextBox 98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86" name="TextBox 98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87" name="TextBox 98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88" name="TextBox 98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89" name="TextBox 98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90" name="TextBox 98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91" name="TextBox 99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92" name="TextBox 99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93" name="TextBox 99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94" name="TextBox 99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95" name="TextBox 99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96" name="TextBox 99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97" name="TextBox 99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98" name="TextBox 99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999" name="TextBox 99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00" name="TextBox 99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01" name="TextBox 100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02" name="TextBox 100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03" name="TextBox 100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04" name="TextBox 100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05" name="TextBox 100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06" name="TextBox 100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07" name="TextBox 100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08" name="TextBox 100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09" name="TextBox 100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10" name="TextBox 100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11" name="TextBox 101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12" name="TextBox 101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13" name="TextBox 101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14" name="TextBox 101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15" name="TextBox 101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16" name="TextBox 101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17" name="TextBox 101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18" name="TextBox 101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19" name="TextBox 101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20" name="TextBox 101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21" name="TextBox 102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22" name="TextBox 102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23" name="TextBox 102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24" name="TextBox 102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25" name="TextBox 102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26" name="TextBox 102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27" name="TextBox 102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28" name="TextBox 102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29" name="TextBox 102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30" name="TextBox 102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31" name="TextBox 103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32" name="TextBox 103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33" name="TextBox 103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34" name="TextBox 103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35" name="TextBox 103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36" name="TextBox 103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37" name="TextBox 103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38" name="TextBox 103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39" name="TextBox 103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40" name="TextBox 103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41" name="TextBox 104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42" name="TextBox 104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43" name="TextBox 104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44" name="TextBox 104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45" name="TextBox 104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46" name="TextBox 104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47" name="TextBox 104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48" name="TextBox 104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49" name="TextBox 104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50" name="TextBox 104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51" name="TextBox 105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52" name="TextBox 105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53" name="TextBox 105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54" name="TextBox 105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55" name="TextBox 105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56" name="TextBox 105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57" name="TextBox 105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58" name="TextBox 105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59" name="TextBox 105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60" name="TextBox 105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61" name="TextBox 106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62" name="TextBox 106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63" name="TextBox 106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64" name="TextBox 106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65" name="TextBox 106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66" name="TextBox 106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67" name="TextBox 106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68" name="TextBox 106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69" name="TextBox 106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70" name="TextBox 106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71" name="TextBox 107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72" name="TextBox 107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73" name="TextBox 107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74" name="TextBox 107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75" name="TextBox 107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76" name="TextBox 107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77" name="TextBox 107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78" name="TextBox 107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79" name="TextBox 107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80" name="TextBox 107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81" name="TextBox 108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82" name="TextBox 108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83" name="TextBox 108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84" name="TextBox 108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85" name="TextBox 108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86" name="TextBox 108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87" name="TextBox 108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88" name="TextBox 108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89" name="TextBox 108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90" name="TextBox 108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91" name="TextBox 109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92" name="TextBox 109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93" name="TextBox 109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94" name="TextBox 109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95" name="TextBox 109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96" name="TextBox 109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97" name="TextBox 109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98" name="TextBox 109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099" name="TextBox 109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00" name="TextBox 109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01" name="TextBox 110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02" name="TextBox 110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03" name="TextBox 110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04" name="TextBox 110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05" name="TextBox 110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06" name="TextBox 110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07" name="TextBox 110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08" name="TextBox 110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09" name="TextBox 110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10" name="TextBox 110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11" name="TextBox 111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12" name="TextBox 111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13" name="TextBox 111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14" name="TextBox 111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15" name="TextBox 111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16" name="TextBox 111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17" name="TextBox 111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18" name="TextBox 111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19" name="TextBox 111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20" name="TextBox 111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21" name="TextBox 112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22" name="TextBox 112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23" name="TextBox 112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24" name="TextBox 112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25" name="TextBox 112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26" name="TextBox 112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27" name="TextBox 112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28" name="TextBox 112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29" name="TextBox 112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30" name="TextBox 112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31" name="TextBox 113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32" name="TextBox 113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33" name="TextBox 113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34" name="TextBox 113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35" name="TextBox 113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36" name="TextBox 113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37" name="TextBox 113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38" name="TextBox 113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39" name="TextBox 113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40" name="TextBox 113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41" name="TextBox 114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42" name="TextBox 114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43" name="TextBox 114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44" name="TextBox 1143"/>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45" name="TextBox 1144"/>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46" name="TextBox 1145"/>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47" name="TextBox 1146"/>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48" name="TextBox 1147"/>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49" name="TextBox 1148"/>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50" name="TextBox 1149"/>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51" name="TextBox 1150"/>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52" name="TextBox 1151"/>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13</xdr:col>
      <xdr:colOff>93133</xdr:colOff>
      <xdr:row>4</xdr:row>
      <xdr:rowOff>0</xdr:rowOff>
    </xdr:from>
    <xdr:ext cx="65" cy="172227"/>
    <xdr:sp macro="" textlink="">
      <xdr:nvSpPr>
        <xdr:cNvPr id="1153" name="TextBox 1152"/>
        <xdr:cNvSpPr txBox="1"/>
      </xdr:nvSpPr>
      <xdr:spPr>
        <a:xfrm>
          <a:off x="6525309" y="11205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rotem" refreshedDate="45169.594134143517" createdVersion="6" refreshedVersion="6" minRefreshableVersion="3" recordCount="1074">
  <cacheSource type="worksheet">
    <worksheetSource ref="F1:L1075" sheet="트랜드RAW"/>
  </cacheSource>
  <cacheFields count="7">
    <cacheField name="구분" numFmtId="0">
      <sharedItems containsSemiMixedTypes="0" containsString="0" containsNumber="1" containsInteger="1" minValue="1" maxValue="1074"/>
    </cacheField>
    <cacheField name="원인검토_x000a_실적" numFmtId="0">
      <sharedItems count="4">
        <s v="완료"/>
        <s v=""/>
        <s v="지연"/>
        <s v="예정"/>
      </sharedItems>
    </cacheField>
    <cacheField name="원인" numFmtId="0">
      <sharedItems containsBlank="1" count="7">
        <s v="단품불량"/>
        <s v="S/W불량"/>
        <s v="휴먼에러"/>
        <s v="기타"/>
        <s v="설계불량"/>
        <s v="삭제"/>
        <m/>
      </sharedItems>
    </cacheField>
    <cacheField name="장치" numFmtId="0">
      <sharedItems containsBlank="1" count="58">
        <s v="SIV"/>
        <s v="신호"/>
        <s v="판토그래프"/>
        <s v="C/I"/>
        <s v="출입문"/>
        <s v="배전반"/>
        <s v="대차"/>
        <s v="공압"/>
        <s v="TCMS"/>
        <s v="제어장치"/>
        <s v="삭제"/>
        <s v="밸브"/>
        <s v="운전실"/>
        <s v="주변압기"/>
        <s v="점퍼케이블"/>
        <s v="견인전동기"/>
        <s v="엔코더"/>
        <s v="냉난방"/>
        <s v="제동"/>
        <s v="등구류"/>
        <s v="TM"/>
        <s v="차체"/>
        <s v="무전기"/>
        <s v="행선 표시기"/>
        <s v="ADCG"/>
        <s v="PSD"/>
        <s v="방송장치"/>
        <s v="화재감지기"/>
        <s v="공기조화"/>
        <s v="차상 PSD"/>
        <s v="ATC"/>
        <s v="ACB"/>
        <s v="CBM"/>
        <s v="램프"/>
        <s v="객실"/>
        <s v="MCB"/>
        <s v="충전기"/>
        <s v="CM"/>
        <s v="통로문"/>
        <s v="주간제어기"/>
        <s v="의자"/>
        <s v="표시기 장치"/>
        <s v="확인불가"/>
        <s v="소화기"/>
        <s v="와이퍼"/>
        <s v="미분류"/>
        <s v="연결기"/>
        <m/>
        <s v="베터리박스"/>
        <s v="DCU"/>
        <s v="옥상"/>
        <s v="ECU"/>
        <s v="DU"/>
        <s v="냉방장치"/>
        <s v="차상PSD"/>
        <s v="전조등"/>
        <s v="압축기"/>
        <s v="PCU"/>
      </sharedItems>
    </cacheField>
    <cacheField name="신조차구분" numFmtId="0">
      <sharedItems count="4">
        <s v="128R"/>
        <s v="기타"/>
        <s v="448R"/>
        <e v="#N/A"/>
      </sharedItems>
    </cacheField>
    <cacheField name="경과일" numFmtId="0">
      <sharedItems containsMixedTypes="1" containsNumber="1" containsInteger="1" minValue="1" maxValue="1373" count="558">
        <n v="589"/>
        <s v=""/>
        <n v="632"/>
        <n v="596"/>
        <n v="602"/>
        <n v="604"/>
        <n v="643"/>
        <n v="799"/>
        <e v="#N/A"/>
        <n v="1"/>
        <n v="674"/>
        <n v="45"/>
        <n v="601"/>
        <n v="49"/>
        <n v="826"/>
        <n v="637"/>
        <n v="649"/>
        <n v="58"/>
        <n v="613"/>
        <n v="60"/>
        <n v="686"/>
        <n v="713"/>
        <n v="689"/>
        <n v="46"/>
        <n v="681"/>
        <n v="784"/>
        <n v="30"/>
        <n v="31"/>
        <n v="706"/>
        <n v="93"/>
        <n v="871"/>
        <n v="35"/>
        <n v="41"/>
        <n v="101"/>
        <n v="73"/>
        <n v="109"/>
        <n v="83"/>
        <n v="57"/>
        <n v="116"/>
        <n v="120"/>
        <n v="67"/>
        <n v="647"/>
        <n v="141"/>
        <n v="143"/>
        <n v="121"/>
        <n v="918"/>
        <n v="937"/>
        <n v="137"/>
        <n v="140"/>
        <n v="950"/>
        <n v="149"/>
        <n v="778"/>
        <n v="746"/>
        <n v="966"/>
        <n v="795"/>
        <n v="20"/>
        <n v="144"/>
        <n v="52"/>
        <n v="55"/>
        <n v="28"/>
        <n v="90"/>
        <n v="764"/>
        <n v="61"/>
        <n v="811"/>
        <n v="728"/>
        <n v="63"/>
        <n v="34"/>
        <n v="982"/>
        <n v="192"/>
        <n v="223"/>
        <n v="104"/>
        <n v="105"/>
        <n v="77"/>
        <n v="874"/>
        <n v="242"/>
        <n v="866"/>
        <n v="244"/>
        <n v="78"/>
        <n v="79"/>
        <n v="81"/>
        <n v="195"/>
        <n v="886"/>
        <n v="263"/>
        <n v="851"/>
        <n v="1033"/>
        <n v="210"/>
        <n v="270"/>
        <n v="907"/>
        <n v="1035"/>
        <n v="97"/>
        <n v="124"/>
        <n v="125"/>
        <n v="94"/>
        <n v="99"/>
        <n v="13"/>
        <n v="44"/>
        <n v="106"/>
        <n v="107"/>
        <n v="115"/>
        <n v="146"/>
        <n v="118"/>
        <n v="150"/>
        <n v="280"/>
        <n v="292"/>
        <n v="205"/>
        <n v="241"/>
        <n v="122"/>
        <n v="64"/>
        <n v="962"/>
        <n v="82"/>
        <n v="967"/>
        <n v="182"/>
        <n v="302"/>
        <n v="303"/>
        <n v="971"/>
        <n v="850"/>
        <n v="126"/>
        <n v="965"/>
        <n v="256"/>
        <n v="346"/>
        <n v="348"/>
        <n v="972"/>
        <n v="904"/>
        <n v="321"/>
        <n v="171"/>
        <n v="174"/>
        <n v="956"/>
        <n v="333"/>
        <n v="213"/>
        <n v="215"/>
        <n v="217"/>
        <n v="370"/>
        <n v="993"/>
        <n v="371"/>
        <n v="341"/>
        <n v="340"/>
        <n v="1142"/>
        <n v="249"/>
        <n v="96"/>
        <n v="955"/>
        <n v="187"/>
        <n v="372"/>
        <n v="161"/>
        <n v="888"/>
        <n v="1147"/>
        <n v="343"/>
        <n v="1011"/>
        <n v="928"/>
        <n v="1070"/>
        <n v="345"/>
        <n v="1000"/>
        <n v="1076"/>
        <n v="196"/>
        <n v="1151"/>
        <n v="164"/>
        <n v="1140"/>
        <n v="197"/>
        <n v="1003"/>
        <n v="320"/>
        <n v="167"/>
        <n v="199"/>
        <n v="169"/>
        <n v="166"/>
        <n v="349"/>
        <n v="1153"/>
        <n v="1157"/>
        <n v="350"/>
        <n v="231"/>
        <n v="202"/>
        <n v="898"/>
        <n v="293"/>
        <n v="354"/>
        <n v="385"/>
        <n v="983"/>
        <n v="234"/>
        <n v="355"/>
        <n v="998"/>
        <n v="327"/>
        <n v="358"/>
        <n v="987"/>
        <n v="1009"/>
        <n v="988"/>
        <n v="239"/>
        <n v="300"/>
        <n v="391"/>
        <n v="179"/>
        <n v="989"/>
        <n v="1168"/>
        <n v="392"/>
        <n v="980"/>
        <n v="1086"/>
        <n v="334"/>
        <n v="1089"/>
        <n v="275"/>
        <n v="364"/>
        <n v="365"/>
        <n v="1021"/>
        <n v="912"/>
        <n v="216"/>
        <n v="185"/>
        <n v="338"/>
        <n v="366"/>
        <n v="398"/>
        <n v="1172"/>
        <n v="997"/>
        <n v="401"/>
        <n v="1022"/>
        <n v="1093"/>
        <n v="129"/>
        <n v="1166"/>
        <n v="1027"/>
        <n v="991"/>
        <n v="252"/>
        <n v="191"/>
        <n v="373"/>
        <n v="374"/>
        <n v="1042"/>
        <n v="405"/>
        <n v="1029"/>
        <n v="1018"/>
        <n v="921"/>
        <n v="194"/>
        <n v="1099"/>
        <n v="316"/>
        <n v="375"/>
        <n v="995"/>
        <n v="924"/>
        <n v="228"/>
        <n v="379"/>
        <n v="1036"/>
        <n v="413"/>
        <n v="1012"/>
        <n v="294"/>
        <n v="356"/>
        <n v="415"/>
        <n v="1039"/>
        <n v="968"/>
        <n v="416"/>
        <n v="1040"/>
        <n v="357"/>
        <n v="386"/>
        <n v="1190"/>
        <n v="1041"/>
        <n v="1191"/>
        <n v="359"/>
        <n v="206"/>
        <n v="1192"/>
        <n v="388"/>
        <n v="269"/>
        <n v="209"/>
        <n v="363"/>
        <n v="424"/>
        <n v="1197"/>
        <n v="335"/>
        <n v="1183"/>
        <n v="396"/>
        <n v="1066"/>
        <n v="430"/>
        <n v="945"/>
        <n v="218"/>
        <n v="431"/>
        <n v="432"/>
        <n v="160"/>
        <n v="1046"/>
        <n v="402"/>
        <n v="283"/>
        <n v="253"/>
        <n v="254"/>
        <n v="1058"/>
        <n v="378"/>
        <n v="287"/>
        <n v="1050"/>
        <n v="439"/>
        <n v="1052"/>
        <n v="1037"/>
        <n v="1063"/>
        <n v="1212"/>
        <n v="289"/>
        <n v="351"/>
        <n v="996"/>
        <n v="443"/>
        <n v="168"/>
        <n v="1054"/>
        <n v="1065"/>
        <n v="1221"/>
        <n v="1057"/>
        <n v="414"/>
        <n v="233"/>
        <n v="445"/>
        <n v="264"/>
        <n v="203"/>
        <n v="265"/>
        <n v="1220"/>
        <n v="419"/>
        <n v="177"/>
        <n v="178"/>
        <n v="1225"/>
        <n v="421"/>
        <n v="1217"/>
        <n v="180"/>
        <n v="423"/>
        <n v="395"/>
        <n v="211"/>
        <n v="151"/>
        <n v="212"/>
        <n v="397"/>
        <n v="1008"/>
        <n v="458"/>
        <n v="277"/>
        <n v="309"/>
        <n v="1085"/>
        <n v="188"/>
        <n v="342"/>
        <n v="1016"/>
        <n v="251"/>
        <n v="190"/>
        <n v="1087"/>
        <n v="284"/>
        <n v="465"/>
        <n v="406"/>
        <n v="434"/>
        <n v="376"/>
        <n v="466"/>
        <n v="1230"/>
        <n v="467"/>
        <n v="133"/>
        <n v="436"/>
        <n v="410"/>
        <n v="1106"/>
        <n v="227"/>
        <n v="1107"/>
        <n v="469"/>
        <n v="1083"/>
        <n v="1095"/>
        <n v="198"/>
        <n v="440"/>
        <n v="1096"/>
        <n v="229"/>
        <n v="382"/>
        <n v="1109"/>
        <n v="1097"/>
        <n v="170"/>
        <n v="1028"/>
        <n v="1074"/>
        <n v="111"/>
        <n v="1100"/>
        <n v="387"/>
        <n v="1251"/>
        <n v="476"/>
        <n v="478"/>
        <n v="449"/>
        <n v="268"/>
        <n v="480"/>
        <n v="1254"/>
        <n v="238"/>
        <n v="1258"/>
        <n v="1255"/>
        <n v="332"/>
        <n v="272"/>
        <n v="181"/>
        <n v="214"/>
        <n v="1260"/>
        <n v="307"/>
        <n v="1112"/>
        <n v="337"/>
        <n v="245"/>
        <n v="1182"/>
        <n v="1113"/>
        <n v="460"/>
        <n v="158"/>
        <n v="461"/>
        <n v="1007"/>
        <n v="221"/>
        <n v="404"/>
        <n v="1267"/>
        <n v="1047"/>
        <n v="1092"/>
        <n v="344"/>
        <n v="130"/>
        <n v="1048"/>
        <n v="131"/>
        <n v="1271"/>
        <n v="285"/>
        <n v="407"/>
        <n v="347"/>
        <n v="255"/>
        <n v="1275"/>
        <n v="225"/>
        <n v="1013"/>
        <n v="1051"/>
        <n v="1270"/>
        <n v="224"/>
        <n v="468"/>
        <n v="288"/>
        <n v="257"/>
        <n v="290"/>
        <n v="1114"/>
        <n v="502"/>
        <n v="1126"/>
        <n v="1101"/>
        <n v="322"/>
        <n v="262"/>
        <n v="447"/>
        <n v="474"/>
        <n v="295"/>
        <n v="173"/>
        <n v="448"/>
        <n v="1120"/>
        <n v="175"/>
        <n v="477"/>
        <n v="451"/>
        <n v="267"/>
        <n v="299"/>
        <n v="147"/>
        <n v="207"/>
        <n v="1279"/>
        <n v="457"/>
        <n v="1281"/>
        <n v="304"/>
        <n v="1294"/>
        <n v="1032"/>
        <n v="459"/>
        <n v="518"/>
        <n v="429"/>
        <n v="278"/>
        <n v="522"/>
        <n v="310"/>
        <n v="220"/>
        <n v="1137"/>
        <n v="1298"/>
        <n v="528"/>
        <n v="1301"/>
        <n v="529"/>
        <n v="318"/>
        <n v="472"/>
        <n v="319"/>
        <n v="200"/>
        <n v="1170"/>
        <n v="261"/>
        <n v="475"/>
        <n v="1308"/>
        <n v="536"/>
        <n v="1173"/>
        <n v="324"/>
        <n v="1094"/>
        <n v="266"/>
        <n v="296"/>
        <n v="389"/>
        <n v="450"/>
        <n v="237"/>
        <n v="360"/>
        <n v="511"/>
        <n v="361"/>
        <n v="298"/>
        <n v="87"/>
        <n v="483"/>
        <n v="484"/>
        <n v="393"/>
        <n v="271"/>
        <n v="1158"/>
        <n v="517"/>
        <n v="1184"/>
        <n v="519"/>
        <n v="246"/>
        <n v="551"/>
        <n v="492"/>
        <n v="128"/>
        <n v="1176"/>
        <n v="521"/>
        <n v="1165"/>
        <n v="552"/>
        <n v="433"/>
        <n v="1178"/>
        <n v="496"/>
        <n v="281"/>
        <n v="498"/>
        <n v="527"/>
        <n v="162"/>
        <n v="1160"/>
        <n v="1186"/>
        <n v="381"/>
        <n v="501"/>
        <n v="259"/>
        <n v="1161"/>
        <n v="505"/>
        <n v="352"/>
        <n v="291"/>
        <n v="1162"/>
        <n v="384"/>
        <n v="1179"/>
        <n v="142"/>
        <n v="1259"/>
        <n v="145"/>
        <n v="538"/>
        <n v="1180"/>
        <n v="417"/>
        <n v="1341"/>
        <n v="1181"/>
        <n v="390"/>
        <n v="1185"/>
        <n v="1189"/>
        <n v="208"/>
        <n v="515"/>
        <n v="516"/>
        <n v="543"/>
        <n v="1187"/>
        <n v="1214"/>
        <n v="487"/>
        <n v="488"/>
        <n v="578"/>
        <n v="1216"/>
        <n v="579"/>
        <n v="155"/>
        <n v="428"/>
        <n v="367"/>
        <n v="1177"/>
        <n v="1204"/>
        <n v="580"/>
        <n v="1360"/>
        <n v="248"/>
        <n v="1359"/>
        <n v="1196"/>
        <n v="494"/>
        <n v="554"/>
        <n v="1198"/>
        <n v="1199"/>
        <n v="555"/>
        <n v="313"/>
        <n v="163"/>
        <n v="588"/>
        <n v="1362"/>
        <n v="377"/>
        <n v="1226"/>
        <n v="561"/>
        <n v="411"/>
        <n v="533"/>
        <n v="442"/>
        <n v="562"/>
        <n v="503"/>
        <n v="563"/>
        <n v="1193"/>
        <n v="1372"/>
        <n v="1219"/>
        <n v="1295"/>
        <n v="172"/>
        <n v="1232"/>
        <n v="1373"/>
        <n v="420"/>
        <n v="570"/>
        <n v="422"/>
        <n v="572"/>
        <n v="545"/>
        <n v="1155"/>
        <n v="574"/>
        <n v="548"/>
        <n v="456"/>
        <n v="426"/>
        <n v="1195"/>
      </sharedItems>
    </cacheField>
    <cacheField name="프로젝트"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otem" refreshedDate="45170.612496875001" createdVersion="6" refreshedVersion="6" minRefreshableVersion="3" recordCount="239">
  <cacheSource type="worksheet">
    <worksheetSource ref="G2:I241" sheet="연구소담당자RAW"/>
  </cacheSource>
  <cacheFields count="3">
    <cacheField name="번호" numFmtId="0">
      <sharedItems containsSemiMixedTypes="0" containsString="0" containsNumber="1" containsInteger="1" minValue="11" maxValue="1071"/>
    </cacheField>
    <cacheField name="팀" numFmtId="0">
      <sharedItems count="8">
        <s v="주행장치개발팀"/>
        <s v="전기시스템팀"/>
        <s v="시스템개발팀"/>
        <s v="전장개발팀"/>
        <s v="통신제어연구팀"/>
        <s v="기계장치연구팀"/>
        <s v="의장연구팀"/>
        <s v="신호제어연구팀"/>
      </sharedItems>
    </cacheField>
    <cacheField name="담당자"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rotem" refreshedDate="45184.677930439815" createdVersion="6" refreshedVersion="6" minRefreshableVersion="3" recordCount="1121">
  <cacheSource type="worksheet">
    <worksheetSource ref="B4:E1125" sheet="초동조사RAW"/>
  </cacheSource>
  <cacheFields count="4">
    <cacheField name="구분" numFmtId="0">
      <sharedItems containsSemiMixedTypes="0" containsString="0" containsNumber="1" containsInteger="1" minValue="1" maxValue="1121"/>
    </cacheField>
    <cacheField name="제출 여부" numFmtId="0">
      <sharedItems count="4">
        <s v="미대상"/>
        <s v="O"/>
        <s v="삭제"/>
        <s v="-"/>
      </sharedItems>
    </cacheField>
    <cacheField name="차호 제거" numFmtId="0">
      <sharedItems containsMixedTypes="1" containsNumber="1" containsInteger="1" minValue="31162" maxValue="39107" count="74">
        <n v="34135"/>
        <n v="38116"/>
        <n v="34132"/>
        <n v="31204"/>
        <s v="-"/>
        <n v="31212"/>
        <n v="31206"/>
        <n v="34131"/>
        <n v="31210"/>
        <n v="34136"/>
        <n v="31208"/>
        <n v="34134"/>
        <n v="38111"/>
        <n v="31209"/>
        <n v="38117"/>
        <n v="34133"/>
        <n v="31211"/>
        <n v="31908"/>
        <n v="31214"/>
        <n v="31215"/>
        <n v="38112"/>
        <n v="31213"/>
        <n v="34137"/>
        <n v="35175"/>
        <n v="31207"/>
        <n v="39104"/>
        <n v="35176"/>
        <n v="31205"/>
        <n v="39101"/>
        <e v="#VALUE!"/>
        <n v="35177"/>
        <n v="35147"/>
        <n v="35145"/>
        <n v="35144"/>
        <n v="35146"/>
        <n v="35148"/>
        <n v="35151"/>
        <n v="35150"/>
        <n v="34138"/>
        <n v="34142"/>
        <n v="35152"/>
        <n v="34141"/>
        <n v="34139"/>
        <n v="34144"/>
        <n v="34146"/>
        <n v="34140"/>
        <n v="31195"/>
        <n v="35153"/>
        <n v="31910"/>
        <n v="35149"/>
        <n v="31909"/>
        <n v="39107"/>
        <n v="34143"/>
        <n v="34149"/>
        <n v="34147"/>
        <n v="34148"/>
        <n v="34145"/>
        <n v="35155"/>
        <n v="35156"/>
        <n v="35157"/>
        <n v="35158"/>
        <n v="34151"/>
        <n v="34152"/>
        <n v="34150"/>
        <n v="38107"/>
        <n v="31162"/>
        <n v="38114"/>
        <n v="38115"/>
        <n v="35179"/>
        <n v="34154"/>
        <n v="34153"/>
        <n v="35159"/>
        <n v="34155"/>
        <n v="35160"/>
      </sharedItems>
    </cacheField>
    <cacheField name="배속" numFmtId="0">
      <sharedItems containsMixedTypes="1" containsNumber="1" containsInteger="1" minValue="0" maxValue="0" count="9">
        <s v="시흥"/>
        <s v="울산"/>
        <s v="구로"/>
        <s v="-"/>
        <s v="이문"/>
        <n v="0"/>
        <e v="#VALUE!"/>
        <s v="분당"/>
        <e v="#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74">
  <r>
    <n v="1"/>
    <x v="0"/>
    <x v="0"/>
    <x v="0"/>
    <x v="0"/>
    <x v="0"/>
    <s v="과천안산선 70량"/>
  </r>
  <r>
    <n v="2"/>
    <x v="0"/>
    <x v="0"/>
    <x v="0"/>
    <x v="1"/>
    <x v="1"/>
    <s v="동해선 28량"/>
  </r>
  <r>
    <n v="3"/>
    <x v="0"/>
    <x v="1"/>
    <x v="1"/>
    <x v="0"/>
    <x v="2"/>
    <s v="과천안산선 70량"/>
  </r>
  <r>
    <n v="4"/>
    <x v="0"/>
    <x v="1"/>
    <x v="0"/>
    <x v="0"/>
    <x v="3"/>
    <s v="과천안산선 70량"/>
  </r>
  <r>
    <n v="5"/>
    <x v="0"/>
    <x v="2"/>
    <x v="2"/>
    <x v="0"/>
    <x v="4"/>
    <s v="과천안산선 70량"/>
  </r>
  <r>
    <n v="6"/>
    <x v="0"/>
    <x v="2"/>
    <x v="3"/>
    <x v="0"/>
    <x v="5"/>
    <s v="과천안산선 70량"/>
  </r>
  <r>
    <n v="7"/>
    <x v="0"/>
    <x v="1"/>
    <x v="3"/>
    <x v="0"/>
    <x v="6"/>
    <s v="과천안산선 70량"/>
  </r>
  <r>
    <n v="8"/>
    <x v="1"/>
    <x v="0"/>
    <x v="4"/>
    <x v="0"/>
    <x v="7"/>
    <s v="1호선 40량"/>
  </r>
  <r>
    <n v="9"/>
    <x v="0"/>
    <x v="0"/>
    <x v="2"/>
    <x v="2"/>
    <x v="8"/>
    <s v="경인선 80량"/>
  </r>
  <r>
    <n v="10"/>
    <x v="0"/>
    <x v="0"/>
    <x v="5"/>
    <x v="2"/>
    <x v="9"/>
    <s v="경인선 80량"/>
  </r>
  <r>
    <n v="11"/>
    <x v="0"/>
    <x v="3"/>
    <x v="6"/>
    <x v="0"/>
    <x v="7"/>
    <s v="1호선 40량"/>
  </r>
  <r>
    <n v="12"/>
    <x v="0"/>
    <x v="4"/>
    <x v="7"/>
    <x v="0"/>
    <x v="10"/>
    <s v="과천안산선 70량"/>
  </r>
  <r>
    <n v="13"/>
    <x v="0"/>
    <x v="1"/>
    <x v="8"/>
    <x v="2"/>
    <x v="11"/>
    <s v="경인선 80량"/>
  </r>
  <r>
    <n v="14"/>
    <x v="0"/>
    <x v="1"/>
    <x v="0"/>
    <x v="0"/>
    <x v="12"/>
    <s v="과천안산선 70량"/>
  </r>
  <r>
    <n v="15"/>
    <x v="0"/>
    <x v="3"/>
    <x v="9"/>
    <x v="2"/>
    <x v="13"/>
    <s v="경인선 80량"/>
  </r>
  <r>
    <n v="16"/>
    <x v="0"/>
    <x v="1"/>
    <x v="8"/>
    <x v="0"/>
    <x v="14"/>
    <s v="1호선 40량"/>
  </r>
  <r>
    <n v="17"/>
    <x v="1"/>
    <x v="0"/>
    <x v="5"/>
    <x v="0"/>
    <x v="15"/>
    <s v="과천안산선 70량"/>
  </r>
  <r>
    <n v="18"/>
    <x v="0"/>
    <x v="1"/>
    <x v="0"/>
    <x v="0"/>
    <x v="16"/>
    <s v="과천안산선 70량"/>
  </r>
  <r>
    <n v="19"/>
    <x v="1"/>
    <x v="3"/>
    <x v="4"/>
    <x v="1"/>
    <x v="1"/>
    <s v="동해선 28량"/>
  </r>
  <r>
    <n v="20"/>
    <x v="0"/>
    <x v="3"/>
    <x v="8"/>
    <x v="2"/>
    <x v="17"/>
    <s v="경인선 80량"/>
  </r>
  <r>
    <n v="21"/>
    <x v="0"/>
    <x v="4"/>
    <x v="2"/>
    <x v="0"/>
    <x v="18"/>
    <s v="과천안산선 70량"/>
  </r>
  <r>
    <n v="22"/>
    <x v="0"/>
    <x v="4"/>
    <x v="7"/>
    <x v="2"/>
    <x v="19"/>
    <s v="경인선 80량"/>
  </r>
  <r>
    <n v="23"/>
    <x v="1"/>
    <x v="5"/>
    <x v="10"/>
    <x v="2"/>
    <x v="1"/>
    <s v="경인선 80량"/>
  </r>
  <r>
    <n v="24"/>
    <x v="1"/>
    <x v="5"/>
    <x v="10"/>
    <x v="1"/>
    <x v="1"/>
    <s v="동해선 28량"/>
  </r>
  <r>
    <n v="25"/>
    <x v="1"/>
    <x v="5"/>
    <x v="10"/>
    <x v="2"/>
    <x v="1"/>
    <s v="경인선 80량"/>
  </r>
  <r>
    <n v="26"/>
    <x v="1"/>
    <x v="3"/>
    <x v="5"/>
    <x v="0"/>
    <x v="20"/>
    <s v="과천안산선 70량"/>
  </r>
  <r>
    <n v="27"/>
    <x v="0"/>
    <x v="1"/>
    <x v="1"/>
    <x v="0"/>
    <x v="21"/>
    <s v="과천안산선 70량"/>
  </r>
  <r>
    <n v="28"/>
    <x v="0"/>
    <x v="0"/>
    <x v="3"/>
    <x v="0"/>
    <x v="22"/>
    <s v="과천안산선 70량"/>
  </r>
  <r>
    <n v="29"/>
    <x v="0"/>
    <x v="0"/>
    <x v="7"/>
    <x v="2"/>
    <x v="23"/>
    <s v="경인선 80량"/>
  </r>
  <r>
    <n v="30"/>
    <x v="0"/>
    <x v="0"/>
    <x v="1"/>
    <x v="0"/>
    <x v="24"/>
    <s v="과천안산선 70량"/>
  </r>
  <r>
    <n v="31"/>
    <x v="0"/>
    <x v="4"/>
    <x v="8"/>
    <x v="0"/>
    <x v="25"/>
    <s v="경원선 18량"/>
  </r>
  <r>
    <n v="32"/>
    <x v="0"/>
    <x v="0"/>
    <x v="4"/>
    <x v="2"/>
    <x v="26"/>
    <s v="경인선 80량"/>
  </r>
  <r>
    <n v="33"/>
    <x v="0"/>
    <x v="4"/>
    <x v="3"/>
    <x v="2"/>
    <x v="27"/>
    <s v="경인선 80량"/>
  </r>
  <r>
    <n v="34"/>
    <x v="1"/>
    <x v="3"/>
    <x v="8"/>
    <x v="0"/>
    <x v="28"/>
    <s v="과천안산선 70량"/>
  </r>
  <r>
    <n v="35"/>
    <x v="0"/>
    <x v="3"/>
    <x v="9"/>
    <x v="2"/>
    <x v="29"/>
    <s v="경인선 80량"/>
  </r>
  <r>
    <n v="36"/>
    <x v="0"/>
    <x v="1"/>
    <x v="8"/>
    <x v="0"/>
    <x v="30"/>
    <s v="1호선 40량"/>
  </r>
  <r>
    <n v="37"/>
    <x v="0"/>
    <x v="4"/>
    <x v="3"/>
    <x v="2"/>
    <x v="31"/>
    <s v="경인선 80량"/>
  </r>
  <r>
    <n v="38"/>
    <x v="0"/>
    <x v="4"/>
    <x v="3"/>
    <x v="2"/>
    <x v="31"/>
    <s v="경인선 80량"/>
  </r>
  <r>
    <n v="39"/>
    <x v="1"/>
    <x v="5"/>
    <x v="10"/>
    <x v="2"/>
    <x v="1"/>
    <s v="경인선 80량"/>
  </r>
  <r>
    <n v="40"/>
    <x v="0"/>
    <x v="4"/>
    <x v="3"/>
    <x v="2"/>
    <x v="32"/>
    <s v="경인선 80량"/>
  </r>
  <r>
    <n v="41"/>
    <x v="0"/>
    <x v="0"/>
    <x v="4"/>
    <x v="2"/>
    <x v="33"/>
    <s v="경인선 80량"/>
  </r>
  <r>
    <n v="42"/>
    <x v="0"/>
    <x v="2"/>
    <x v="5"/>
    <x v="2"/>
    <x v="34"/>
    <s v="경인선 80량"/>
  </r>
  <r>
    <n v="43"/>
    <x v="0"/>
    <x v="4"/>
    <x v="3"/>
    <x v="1"/>
    <x v="1"/>
    <s v="동해선 28량"/>
  </r>
  <r>
    <n v="44"/>
    <x v="0"/>
    <x v="4"/>
    <x v="11"/>
    <x v="2"/>
    <x v="35"/>
    <s v="경인선 80량"/>
  </r>
  <r>
    <n v="45"/>
    <x v="0"/>
    <x v="4"/>
    <x v="3"/>
    <x v="2"/>
    <x v="36"/>
    <s v="경인선 80량"/>
  </r>
  <r>
    <n v="46"/>
    <x v="0"/>
    <x v="4"/>
    <x v="3"/>
    <x v="2"/>
    <x v="37"/>
    <s v="경인선 80량"/>
  </r>
  <r>
    <n v="47"/>
    <x v="0"/>
    <x v="4"/>
    <x v="0"/>
    <x v="2"/>
    <x v="38"/>
    <s v="경인선 80량"/>
  </r>
  <r>
    <n v="48"/>
    <x v="0"/>
    <x v="0"/>
    <x v="4"/>
    <x v="2"/>
    <x v="39"/>
    <s v="경인선 80량"/>
  </r>
  <r>
    <n v="49"/>
    <x v="0"/>
    <x v="4"/>
    <x v="3"/>
    <x v="2"/>
    <x v="40"/>
    <s v="경인선 80량"/>
  </r>
  <r>
    <n v="50"/>
    <x v="0"/>
    <x v="0"/>
    <x v="2"/>
    <x v="0"/>
    <x v="41"/>
    <s v="과천안산선 70량"/>
  </r>
  <r>
    <n v="51"/>
    <x v="0"/>
    <x v="2"/>
    <x v="11"/>
    <x v="1"/>
    <x v="1"/>
    <s v="수인선 36량"/>
  </r>
  <r>
    <n v="52"/>
    <x v="0"/>
    <x v="0"/>
    <x v="4"/>
    <x v="2"/>
    <x v="42"/>
    <s v="경인선 80량"/>
  </r>
  <r>
    <n v="53"/>
    <x v="0"/>
    <x v="4"/>
    <x v="12"/>
    <x v="2"/>
    <x v="42"/>
    <s v="경인선 80량"/>
  </r>
  <r>
    <n v="54"/>
    <x v="0"/>
    <x v="4"/>
    <x v="12"/>
    <x v="2"/>
    <x v="43"/>
    <s v="경인선 80량"/>
  </r>
  <r>
    <n v="55"/>
    <x v="0"/>
    <x v="4"/>
    <x v="13"/>
    <x v="2"/>
    <x v="44"/>
    <s v="경인선 80량"/>
  </r>
  <r>
    <n v="56"/>
    <x v="0"/>
    <x v="3"/>
    <x v="12"/>
    <x v="0"/>
    <x v="45"/>
    <s v="1호선 40량"/>
  </r>
  <r>
    <n v="57"/>
    <x v="0"/>
    <x v="4"/>
    <x v="8"/>
    <x v="0"/>
    <x v="46"/>
    <s v="1호선 40량"/>
  </r>
  <r>
    <n v="58"/>
    <x v="1"/>
    <x v="5"/>
    <x v="10"/>
    <x v="1"/>
    <x v="1"/>
    <s v="소사원시 28량"/>
  </r>
  <r>
    <n v="59"/>
    <x v="1"/>
    <x v="0"/>
    <x v="4"/>
    <x v="2"/>
    <x v="47"/>
    <s v="경인선 80량"/>
  </r>
  <r>
    <n v="60"/>
    <x v="0"/>
    <x v="1"/>
    <x v="1"/>
    <x v="2"/>
    <x v="48"/>
    <s v="경인선 80량"/>
  </r>
  <r>
    <n v="61"/>
    <x v="1"/>
    <x v="5"/>
    <x v="10"/>
    <x v="1"/>
    <x v="1"/>
    <s v="수인선 36량"/>
  </r>
  <r>
    <n v="62"/>
    <x v="0"/>
    <x v="1"/>
    <x v="8"/>
    <x v="0"/>
    <x v="49"/>
    <s v="1호선 40량"/>
  </r>
  <r>
    <n v="63"/>
    <x v="0"/>
    <x v="0"/>
    <x v="4"/>
    <x v="2"/>
    <x v="50"/>
    <s v="경인선 80량"/>
  </r>
  <r>
    <n v="64"/>
    <x v="0"/>
    <x v="4"/>
    <x v="1"/>
    <x v="1"/>
    <x v="1"/>
    <s v="수인선 36량"/>
  </r>
  <r>
    <n v="65"/>
    <x v="1"/>
    <x v="3"/>
    <x v="12"/>
    <x v="0"/>
    <x v="51"/>
    <s v="과천안산선 70량"/>
  </r>
  <r>
    <n v="66"/>
    <x v="0"/>
    <x v="0"/>
    <x v="2"/>
    <x v="0"/>
    <x v="52"/>
    <s v="과천안산선 70량"/>
  </r>
  <r>
    <n v="67"/>
    <x v="0"/>
    <x v="1"/>
    <x v="8"/>
    <x v="0"/>
    <x v="53"/>
    <s v="1호선 40량"/>
  </r>
  <r>
    <n v="68"/>
    <x v="1"/>
    <x v="0"/>
    <x v="14"/>
    <x v="1"/>
    <x v="1"/>
    <s v="소사원시 28량"/>
  </r>
  <r>
    <n v="69"/>
    <x v="0"/>
    <x v="1"/>
    <x v="8"/>
    <x v="2"/>
    <x v="9"/>
    <s v="분당선 108량"/>
  </r>
  <r>
    <n v="70"/>
    <x v="1"/>
    <x v="5"/>
    <x v="10"/>
    <x v="1"/>
    <x v="1"/>
    <s v="수인선 36량"/>
  </r>
  <r>
    <n v="71"/>
    <x v="0"/>
    <x v="1"/>
    <x v="1"/>
    <x v="0"/>
    <x v="54"/>
    <s v="과천안산선 70량"/>
  </r>
  <r>
    <n v="72"/>
    <x v="1"/>
    <x v="5"/>
    <x v="10"/>
    <x v="1"/>
    <x v="1"/>
    <s v="소사원시 28량"/>
  </r>
  <r>
    <n v="73"/>
    <x v="0"/>
    <x v="0"/>
    <x v="15"/>
    <x v="2"/>
    <x v="42"/>
    <s v="경인선 80량"/>
  </r>
  <r>
    <n v="74"/>
    <x v="0"/>
    <x v="1"/>
    <x v="3"/>
    <x v="2"/>
    <x v="55"/>
    <s v="분당선 108량"/>
  </r>
  <r>
    <n v="75"/>
    <x v="0"/>
    <x v="1"/>
    <x v="16"/>
    <x v="2"/>
    <x v="56"/>
    <s v="경인선 80량"/>
  </r>
  <r>
    <n v="76"/>
    <x v="0"/>
    <x v="4"/>
    <x v="13"/>
    <x v="2"/>
    <x v="57"/>
    <s v="분당선 108량"/>
  </r>
  <r>
    <n v="77"/>
    <x v="0"/>
    <x v="4"/>
    <x v="1"/>
    <x v="2"/>
    <x v="9"/>
    <s v="분당선 108량"/>
  </r>
  <r>
    <n v="78"/>
    <x v="0"/>
    <x v="4"/>
    <x v="1"/>
    <x v="2"/>
    <x v="58"/>
    <s v="분당선 108량"/>
  </r>
  <r>
    <n v="79"/>
    <x v="0"/>
    <x v="1"/>
    <x v="8"/>
    <x v="2"/>
    <x v="17"/>
    <s v="분당선 108량"/>
  </r>
  <r>
    <n v="80"/>
    <x v="0"/>
    <x v="1"/>
    <x v="3"/>
    <x v="2"/>
    <x v="59"/>
    <s v="분당선 108량"/>
  </r>
  <r>
    <n v="81"/>
    <x v="0"/>
    <x v="4"/>
    <x v="1"/>
    <x v="2"/>
    <x v="60"/>
    <s v="분당선 108량"/>
  </r>
  <r>
    <n v="82"/>
    <x v="0"/>
    <x v="0"/>
    <x v="1"/>
    <x v="0"/>
    <x v="61"/>
    <s v="과천안산선 70량"/>
  </r>
  <r>
    <n v="83"/>
    <x v="0"/>
    <x v="1"/>
    <x v="8"/>
    <x v="2"/>
    <x v="62"/>
    <s v="분당선 108량"/>
  </r>
  <r>
    <n v="84"/>
    <x v="0"/>
    <x v="1"/>
    <x v="1"/>
    <x v="0"/>
    <x v="63"/>
    <s v="과천안산선 70량"/>
  </r>
  <r>
    <n v="85"/>
    <x v="0"/>
    <x v="1"/>
    <x v="8"/>
    <x v="0"/>
    <x v="64"/>
    <s v="과천안산선 70량"/>
  </r>
  <r>
    <n v="86"/>
    <x v="0"/>
    <x v="2"/>
    <x v="17"/>
    <x v="2"/>
    <x v="9"/>
    <s v="분당선 108량"/>
  </r>
  <r>
    <n v="87"/>
    <x v="0"/>
    <x v="0"/>
    <x v="18"/>
    <x v="2"/>
    <x v="65"/>
    <s v="분당선 108량"/>
  </r>
  <r>
    <n v="88"/>
    <x v="0"/>
    <x v="0"/>
    <x v="1"/>
    <x v="2"/>
    <x v="66"/>
    <s v="분당선 108량"/>
  </r>
  <r>
    <n v="89"/>
    <x v="1"/>
    <x v="0"/>
    <x v="2"/>
    <x v="0"/>
    <x v="67"/>
    <s v="1호선 40량"/>
  </r>
  <r>
    <n v="90"/>
    <x v="0"/>
    <x v="2"/>
    <x v="19"/>
    <x v="2"/>
    <x v="9"/>
    <s v="분당선 108량"/>
  </r>
  <r>
    <n v="91"/>
    <x v="0"/>
    <x v="2"/>
    <x v="17"/>
    <x v="2"/>
    <x v="9"/>
    <s v="분당선 108량"/>
  </r>
  <r>
    <n v="92"/>
    <x v="0"/>
    <x v="4"/>
    <x v="1"/>
    <x v="2"/>
    <x v="9"/>
    <s v="분당선 108량"/>
  </r>
  <r>
    <n v="93"/>
    <x v="1"/>
    <x v="5"/>
    <x v="10"/>
    <x v="2"/>
    <x v="1"/>
    <s v="분당선 108량"/>
  </r>
  <r>
    <n v="94"/>
    <x v="0"/>
    <x v="3"/>
    <x v="20"/>
    <x v="2"/>
    <x v="9"/>
    <s v="분당선 108량"/>
  </r>
  <r>
    <n v="95"/>
    <x v="0"/>
    <x v="1"/>
    <x v="13"/>
    <x v="2"/>
    <x v="68"/>
    <s v="경인선 80량"/>
  </r>
  <r>
    <n v="96"/>
    <x v="0"/>
    <x v="2"/>
    <x v="21"/>
    <x v="2"/>
    <x v="69"/>
    <s v="경인선 80량"/>
  </r>
  <r>
    <n v="97"/>
    <x v="0"/>
    <x v="3"/>
    <x v="8"/>
    <x v="2"/>
    <x v="70"/>
    <s v="분당선 108량"/>
  </r>
  <r>
    <n v="98"/>
    <x v="0"/>
    <x v="0"/>
    <x v="22"/>
    <x v="2"/>
    <x v="71"/>
    <s v="분당선 108량"/>
  </r>
  <r>
    <n v="99"/>
    <x v="0"/>
    <x v="1"/>
    <x v="8"/>
    <x v="2"/>
    <x v="72"/>
    <s v="분당선 108량"/>
  </r>
  <r>
    <n v="100"/>
    <x v="0"/>
    <x v="3"/>
    <x v="5"/>
    <x v="0"/>
    <x v="73"/>
    <s v="과천안산선 70량"/>
  </r>
  <r>
    <n v="101"/>
    <x v="0"/>
    <x v="4"/>
    <x v="3"/>
    <x v="2"/>
    <x v="60"/>
    <s v="분당선 108량"/>
  </r>
  <r>
    <n v="102"/>
    <x v="0"/>
    <x v="4"/>
    <x v="1"/>
    <x v="2"/>
    <x v="74"/>
    <s v="경인선 80량"/>
  </r>
  <r>
    <n v="103"/>
    <x v="0"/>
    <x v="0"/>
    <x v="4"/>
    <x v="0"/>
    <x v="75"/>
    <s v="과천안산선 70량"/>
  </r>
  <r>
    <n v="104"/>
    <x v="0"/>
    <x v="4"/>
    <x v="13"/>
    <x v="2"/>
    <x v="76"/>
    <s v="경인선 80량"/>
  </r>
  <r>
    <n v="105"/>
    <x v="0"/>
    <x v="0"/>
    <x v="12"/>
    <x v="2"/>
    <x v="8"/>
    <s v="경인선 80량"/>
  </r>
  <r>
    <n v="106"/>
    <x v="0"/>
    <x v="4"/>
    <x v="1"/>
    <x v="2"/>
    <x v="77"/>
    <s v="분당선 108량"/>
  </r>
  <r>
    <n v="107"/>
    <x v="0"/>
    <x v="1"/>
    <x v="8"/>
    <x v="2"/>
    <x v="78"/>
    <s v="분당선 108량"/>
  </r>
  <r>
    <n v="108"/>
    <x v="0"/>
    <x v="2"/>
    <x v="17"/>
    <x v="2"/>
    <x v="79"/>
    <s v="분당선 108량"/>
  </r>
  <r>
    <n v="109"/>
    <x v="0"/>
    <x v="4"/>
    <x v="8"/>
    <x v="2"/>
    <x v="36"/>
    <s v="분당선 108량"/>
  </r>
  <r>
    <n v="110"/>
    <x v="0"/>
    <x v="1"/>
    <x v="8"/>
    <x v="2"/>
    <x v="58"/>
    <s v="분당선 108량"/>
  </r>
  <r>
    <n v="111"/>
    <x v="0"/>
    <x v="2"/>
    <x v="5"/>
    <x v="2"/>
    <x v="80"/>
    <s v="경인선 80량"/>
  </r>
  <r>
    <n v="112"/>
    <x v="0"/>
    <x v="1"/>
    <x v="16"/>
    <x v="2"/>
    <x v="71"/>
    <s v="분당선 108량"/>
  </r>
  <r>
    <n v="113"/>
    <x v="0"/>
    <x v="4"/>
    <x v="0"/>
    <x v="0"/>
    <x v="81"/>
    <s v="과천안산선 70량"/>
  </r>
  <r>
    <n v="114"/>
    <x v="0"/>
    <x v="4"/>
    <x v="3"/>
    <x v="2"/>
    <x v="82"/>
    <s v="경인선 80량"/>
  </r>
  <r>
    <n v="115"/>
    <x v="0"/>
    <x v="0"/>
    <x v="18"/>
    <x v="0"/>
    <x v="83"/>
    <s v="과천안산선 70량"/>
  </r>
  <r>
    <n v="116"/>
    <x v="0"/>
    <x v="4"/>
    <x v="14"/>
    <x v="0"/>
    <x v="84"/>
    <s v="1호선 40량"/>
  </r>
  <r>
    <n v="117"/>
    <x v="0"/>
    <x v="4"/>
    <x v="6"/>
    <x v="2"/>
    <x v="85"/>
    <s v="경인선 80량"/>
  </r>
  <r>
    <n v="118"/>
    <x v="0"/>
    <x v="0"/>
    <x v="13"/>
    <x v="2"/>
    <x v="85"/>
    <s v="경인선 80량"/>
  </r>
  <r>
    <n v="119"/>
    <x v="0"/>
    <x v="1"/>
    <x v="1"/>
    <x v="2"/>
    <x v="86"/>
    <s v="경인선 80량"/>
  </r>
  <r>
    <n v="120"/>
    <x v="0"/>
    <x v="0"/>
    <x v="5"/>
    <x v="0"/>
    <x v="87"/>
    <s v="과천안산선 70량"/>
  </r>
  <r>
    <n v="121"/>
    <x v="0"/>
    <x v="4"/>
    <x v="14"/>
    <x v="0"/>
    <x v="88"/>
    <s v="1호선 40량"/>
  </r>
  <r>
    <n v="122"/>
    <x v="1"/>
    <x v="5"/>
    <x v="10"/>
    <x v="1"/>
    <x v="1"/>
    <s v="소사원시 28량"/>
  </r>
  <r>
    <n v="123"/>
    <x v="1"/>
    <x v="5"/>
    <x v="10"/>
    <x v="0"/>
    <x v="1"/>
    <s v="과천안산선 70량"/>
  </r>
  <r>
    <n v="124"/>
    <x v="0"/>
    <x v="2"/>
    <x v="17"/>
    <x v="2"/>
    <x v="89"/>
    <s v="분당선 108량"/>
  </r>
  <r>
    <n v="125"/>
    <x v="0"/>
    <x v="3"/>
    <x v="18"/>
    <x v="2"/>
    <x v="90"/>
    <s v="분당선 108량"/>
  </r>
  <r>
    <n v="126"/>
    <x v="0"/>
    <x v="4"/>
    <x v="1"/>
    <x v="2"/>
    <x v="91"/>
    <s v="분당선 108량"/>
  </r>
  <r>
    <n v="127"/>
    <x v="0"/>
    <x v="4"/>
    <x v="8"/>
    <x v="2"/>
    <x v="92"/>
    <s v="분당선 108량"/>
  </r>
  <r>
    <n v="128"/>
    <x v="1"/>
    <x v="5"/>
    <x v="10"/>
    <x v="2"/>
    <x v="1"/>
    <s v="분당선 108량"/>
  </r>
  <r>
    <n v="129"/>
    <x v="0"/>
    <x v="1"/>
    <x v="8"/>
    <x v="2"/>
    <x v="93"/>
    <s v="분당선 108량"/>
  </r>
  <r>
    <n v="130"/>
    <x v="0"/>
    <x v="1"/>
    <x v="8"/>
    <x v="2"/>
    <x v="94"/>
    <s v="분당선 108량"/>
  </r>
  <r>
    <n v="131"/>
    <x v="0"/>
    <x v="1"/>
    <x v="16"/>
    <x v="2"/>
    <x v="71"/>
    <s v="분당선 108량"/>
  </r>
  <r>
    <n v="132"/>
    <x v="0"/>
    <x v="3"/>
    <x v="23"/>
    <x v="2"/>
    <x v="95"/>
    <s v="분당선 108량"/>
  </r>
  <r>
    <n v="133"/>
    <x v="0"/>
    <x v="3"/>
    <x v="22"/>
    <x v="2"/>
    <x v="71"/>
    <s v="분당선 108량"/>
  </r>
  <r>
    <n v="134"/>
    <x v="1"/>
    <x v="3"/>
    <x v="5"/>
    <x v="2"/>
    <x v="96"/>
    <s v="분당선 108량"/>
  </r>
  <r>
    <n v="135"/>
    <x v="0"/>
    <x v="4"/>
    <x v="13"/>
    <x v="2"/>
    <x v="97"/>
    <s v="분당선 108량"/>
  </r>
  <r>
    <n v="136"/>
    <x v="0"/>
    <x v="4"/>
    <x v="12"/>
    <x v="2"/>
    <x v="42"/>
    <s v="분당선 108량"/>
  </r>
  <r>
    <n v="137"/>
    <x v="0"/>
    <x v="2"/>
    <x v="5"/>
    <x v="2"/>
    <x v="57"/>
    <s v="분당선 108량"/>
  </r>
  <r>
    <n v="138"/>
    <x v="0"/>
    <x v="4"/>
    <x v="13"/>
    <x v="2"/>
    <x v="98"/>
    <s v="분당선 108량"/>
  </r>
  <r>
    <n v="139"/>
    <x v="0"/>
    <x v="1"/>
    <x v="3"/>
    <x v="2"/>
    <x v="99"/>
    <s v="분당선 108량"/>
  </r>
  <r>
    <n v="140"/>
    <x v="0"/>
    <x v="0"/>
    <x v="8"/>
    <x v="2"/>
    <x v="100"/>
    <s v="분당선 108량"/>
  </r>
  <r>
    <n v="141"/>
    <x v="0"/>
    <x v="0"/>
    <x v="8"/>
    <x v="2"/>
    <x v="100"/>
    <s v="분당선 108량"/>
  </r>
  <r>
    <n v="142"/>
    <x v="0"/>
    <x v="1"/>
    <x v="8"/>
    <x v="2"/>
    <x v="101"/>
    <s v="분당선 108량"/>
  </r>
  <r>
    <n v="143"/>
    <x v="1"/>
    <x v="5"/>
    <x v="10"/>
    <x v="2"/>
    <x v="1"/>
    <s v="분당선 108량"/>
  </r>
  <r>
    <n v="144"/>
    <x v="0"/>
    <x v="0"/>
    <x v="3"/>
    <x v="2"/>
    <x v="102"/>
    <s v="경인선 80량"/>
  </r>
  <r>
    <n v="145"/>
    <x v="0"/>
    <x v="4"/>
    <x v="13"/>
    <x v="2"/>
    <x v="103"/>
    <s v="경인선 80량"/>
  </r>
  <r>
    <n v="146"/>
    <x v="0"/>
    <x v="4"/>
    <x v="0"/>
    <x v="2"/>
    <x v="104"/>
    <s v="과천안산선 180량"/>
  </r>
  <r>
    <n v="147"/>
    <x v="0"/>
    <x v="0"/>
    <x v="13"/>
    <x v="2"/>
    <x v="105"/>
    <s v="경인선 80량"/>
  </r>
  <r>
    <n v="148"/>
    <x v="0"/>
    <x v="2"/>
    <x v="5"/>
    <x v="2"/>
    <x v="106"/>
    <s v="과천안산선 180량"/>
  </r>
  <r>
    <n v="149"/>
    <x v="0"/>
    <x v="4"/>
    <x v="0"/>
    <x v="2"/>
    <x v="107"/>
    <s v="분당선 108량"/>
  </r>
  <r>
    <n v="150"/>
    <x v="0"/>
    <x v="1"/>
    <x v="8"/>
    <x v="2"/>
    <x v="107"/>
    <s v="분당선 108량"/>
  </r>
  <r>
    <n v="151"/>
    <x v="0"/>
    <x v="0"/>
    <x v="5"/>
    <x v="0"/>
    <x v="108"/>
    <s v="과천안산선 70량"/>
  </r>
  <r>
    <n v="152"/>
    <x v="0"/>
    <x v="0"/>
    <x v="3"/>
    <x v="2"/>
    <x v="109"/>
    <s v="분당선 108량"/>
  </r>
  <r>
    <n v="153"/>
    <x v="0"/>
    <x v="4"/>
    <x v="14"/>
    <x v="0"/>
    <x v="110"/>
    <s v="과천안산선 70량"/>
  </r>
  <r>
    <n v="154"/>
    <x v="0"/>
    <x v="4"/>
    <x v="13"/>
    <x v="2"/>
    <x v="111"/>
    <s v="과천안산선 180량"/>
  </r>
  <r>
    <n v="155"/>
    <x v="0"/>
    <x v="4"/>
    <x v="13"/>
    <x v="2"/>
    <x v="112"/>
    <s v="경인선 80량"/>
  </r>
  <r>
    <n v="156"/>
    <x v="0"/>
    <x v="2"/>
    <x v="5"/>
    <x v="2"/>
    <x v="113"/>
    <s v="경인선 80량"/>
  </r>
  <r>
    <n v="157"/>
    <x v="0"/>
    <x v="4"/>
    <x v="14"/>
    <x v="0"/>
    <x v="114"/>
    <s v="과천안산선 70량"/>
  </r>
  <r>
    <n v="158"/>
    <x v="0"/>
    <x v="4"/>
    <x v="13"/>
    <x v="2"/>
    <x v="76"/>
    <s v="과천안산선 180량"/>
  </r>
  <r>
    <n v="159"/>
    <x v="0"/>
    <x v="4"/>
    <x v="24"/>
    <x v="0"/>
    <x v="115"/>
    <s v="과천안산선 70량"/>
  </r>
  <r>
    <n v="160"/>
    <x v="0"/>
    <x v="2"/>
    <x v="3"/>
    <x v="2"/>
    <x v="116"/>
    <s v="과천안산선 180량"/>
  </r>
  <r>
    <n v="161"/>
    <x v="0"/>
    <x v="3"/>
    <x v="6"/>
    <x v="0"/>
    <x v="117"/>
    <s v="과천안산선 70량"/>
  </r>
  <r>
    <n v="162"/>
    <x v="0"/>
    <x v="4"/>
    <x v="2"/>
    <x v="2"/>
    <x v="118"/>
    <s v="과천안산선 180량"/>
  </r>
  <r>
    <n v="163"/>
    <x v="1"/>
    <x v="5"/>
    <x v="10"/>
    <x v="2"/>
    <x v="1"/>
    <s v="과천안산선 180량"/>
  </r>
  <r>
    <n v="164"/>
    <x v="0"/>
    <x v="1"/>
    <x v="3"/>
    <x v="2"/>
    <x v="119"/>
    <s v="경인선 80량"/>
  </r>
  <r>
    <n v="165"/>
    <x v="0"/>
    <x v="3"/>
    <x v="4"/>
    <x v="2"/>
    <x v="70"/>
    <s v="분당선 108량"/>
  </r>
  <r>
    <n v="166"/>
    <x v="0"/>
    <x v="3"/>
    <x v="4"/>
    <x v="2"/>
    <x v="120"/>
    <s v="경인선 80량"/>
  </r>
  <r>
    <n v="167"/>
    <x v="0"/>
    <x v="0"/>
    <x v="3"/>
    <x v="0"/>
    <x v="121"/>
    <s v="과천안산선 70량"/>
  </r>
  <r>
    <n v="168"/>
    <x v="0"/>
    <x v="3"/>
    <x v="4"/>
    <x v="2"/>
    <x v="96"/>
    <s v="과천안산선 180량"/>
  </r>
  <r>
    <n v="169"/>
    <x v="0"/>
    <x v="0"/>
    <x v="3"/>
    <x v="0"/>
    <x v="46"/>
    <s v="과천안산선 70량"/>
  </r>
  <r>
    <n v="170"/>
    <x v="0"/>
    <x v="0"/>
    <x v="5"/>
    <x v="0"/>
    <x v="122"/>
    <s v="과천안산선 70량"/>
  </r>
  <r>
    <n v="171"/>
    <x v="0"/>
    <x v="4"/>
    <x v="3"/>
    <x v="2"/>
    <x v="123"/>
    <s v="경인선 80량"/>
  </r>
  <r>
    <n v="172"/>
    <x v="0"/>
    <x v="4"/>
    <x v="13"/>
    <x v="2"/>
    <x v="124"/>
    <s v="과천안산선 180량"/>
  </r>
  <r>
    <n v="173"/>
    <x v="0"/>
    <x v="0"/>
    <x v="3"/>
    <x v="2"/>
    <x v="82"/>
    <s v="과천안산선 180량"/>
  </r>
  <r>
    <n v="174"/>
    <x v="0"/>
    <x v="3"/>
    <x v="4"/>
    <x v="2"/>
    <x v="125"/>
    <s v="과천안산선 180량"/>
  </r>
  <r>
    <n v="175"/>
    <x v="0"/>
    <x v="0"/>
    <x v="5"/>
    <x v="0"/>
    <x v="126"/>
    <s v="과천안산선 70량"/>
  </r>
  <r>
    <n v="176"/>
    <x v="0"/>
    <x v="1"/>
    <x v="3"/>
    <x v="2"/>
    <x v="127"/>
    <s v="경인선 80량"/>
  </r>
  <r>
    <n v="177"/>
    <x v="0"/>
    <x v="4"/>
    <x v="2"/>
    <x v="2"/>
    <x v="128"/>
    <s v="과천안산선 180량"/>
  </r>
  <r>
    <n v="178"/>
    <x v="0"/>
    <x v="4"/>
    <x v="13"/>
    <x v="2"/>
    <x v="129"/>
    <s v="과천안산선 180량"/>
  </r>
  <r>
    <n v="179"/>
    <x v="0"/>
    <x v="4"/>
    <x v="13"/>
    <x v="2"/>
    <x v="130"/>
    <s v="과천안산선 180량"/>
  </r>
  <r>
    <n v="180"/>
    <x v="1"/>
    <x v="5"/>
    <x v="10"/>
    <x v="1"/>
    <x v="1"/>
    <s v="1호선 90량"/>
  </r>
  <r>
    <n v="181"/>
    <x v="0"/>
    <x v="4"/>
    <x v="14"/>
    <x v="2"/>
    <x v="131"/>
    <s v="경인선 80량"/>
  </r>
  <r>
    <n v="182"/>
    <x v="0"/>
    <x v="4"/>
    <x v="8"/>
    <x v="0"/>
    <x v="132"/>
    <s v="과천안산선 70량"/>
  </r>
  <r>
    <n v="183"/>
    <x v="0"/>
    <x v="1"/>
    <x v="8"/>
    <x v="2"/>
    <x v="133"/>
    <s v="경인선 80량"/>
  </r>
  <r>
    <n v="184"/>
    <x v="0"/>
    <x v="3"/>
    <x v="6"/>
    <x v="2"/>
    <x v="134"/>
    <s v="경인선 80량"/>
  </r>
  <r>
    <n v="185"/>
    <x v="0"/>
    <x v="4"/>
    <x v="12"/>
    <x v="2"/>
    <x v="135"/>
    <s v="경인선 80량"/>
  </r>
  <r>
    <n v="186"/>
    <x v="0"/>
    <x v="3"/>
    <x v="6"/>
    <x v="0"/>
    <x v="136"/>
    <s v="1호선 40량"/>
  </r>
  <r>
    <n v="187"/>
    <x v="0"/>
    <x v="1"/>
    <x v="25"/>
    <x v="2"/>
    <x v="137"/>
    <s v="분당선 108량"/>
  </r>
  <r>
    <n v="188"/>
    <x v="0"/>
    <x v="3"/>
    <x v="4"/>
    <x v="2"/>
    <x v="138"/>
    <s v="분당선 108량"/>
  </r>
  <r>
    <n v="189"/>
    <x v="0"/>
    <x v="1"/>
    <x v="8"/>
    <x v="0"/>
    <x v="139"/>
    <s v="과천안산선 70량"/>
  </r>
  <r>
    <n v="190"/>
    <x v="0"/>
    <x v="4"/>
    <x v="26"/>
    <x v="2"/>
    <x v="140"/>
    <s v="과천안산선 180량"/>
  </r>
  <r>
    <n v="191"/>
    <x v="0"/>
    <x v="4"/>
    <x v="13"/>
    <x v="2"/>
    <x v="141"/>
    <s v="경인선 80량"/>
  </r>
  <r>
    <n v="192"/>
    <x v="0"/>
    <x v="4"/>
    <x v="13"/>
    <x v="2"/>
    <x v="134"/>
    <s v="경인선 80량"/>
  </r>
  <r>
    <n v="193"/>
    <x v="0"/>
    <x v="4"/>
    <x v="8"/>
    <x v="2"/>
    <x v="142"/>
    <s v="과천안산선 180량"/>
  </r>
  <r>
    <n v="194"/>
    <x v="0"/>
    <x v="1"/>
    <x v="8"/>
    <x v="0"/>
    <x v="143"/>
    <s v="과천안산선 70량"/>
  </r>
  <r>
    <n v="195"/>
    <x v="0"/>
    <x v="1"/>
    <x v="8"/>
    <x v="0"/>
    <x v="144"/>
    <s v="1호선 40량"/>
  </r>
  <r>
    <n v="196"/>
    <x v="0"/>
    <x v="0"/>
    <x v="17"/>
    <x v="2"/>
    <x v="145"/>
    <s v="경인선 80량"/>
  </r>
  <r>
    <n v="197"/>
    <x v="0"/>
    <x v="0"/>
    <x v="1"/>
    <x v="0"/>
    <x v="146"/>
    <s v="과천안산선 70량"/>
  </r>
  <r>
    <n v="198"/>
    <x v="0"/>
    <x v="4"/>
    <x v="26"/>
    <x v="0"/>
    <x v="147"/>
    <s v="과천안산선 70량"/>
  </r>
  <r>
    <n v="199"/>
    <x v="0"/>
    <x v="4"/>
    <x v="0"/>
    <x v="0"/>
    <x v="148"/>
    <s v="경원선 18량"/>
  </r>
  <r>
    <n v="200"/>
    <x v="0"/>
    <x v="3"/>
    <x v="23"/>
    <x v="2"/>
    <x v="149"/>
    <s v="경인선 80량"/>
  </r>
  <r>
    <n v="201"/>
    <x v="0"/>
    <x v="0"/>
    <x v="26"/>
    <x v="0"/>
    <x v="150"/>
    <s v="과천안산선 70량"/>
  </r>
  <r>
    <n v="202"/>
    <x v="0"/>
    <x v="2"/>
    <x v="26"/>
    <x v="0"/>
    <x v="151"/>
    <s v="경원선 18량"/>
  </r>
  <r>
    <n v="203"/>
    <x v="0"/>
    <x v="0"/>
    <x v="1"/>
    <x v="2"/>
    <x v="152"/>
    <s v="분당선 108량"/>
  </r>
  <r>
    <n v="204"/>
    <x v="2"/>
    <x v="3"/>
    <x v="3"/>
    <x v="0"/>
    <x v="153"/>
    <s v="1호선 40량"/>
  </r>
  <r>
    <n v="205"/>
    <x v="0"/>
    <x v="4"/>
    <x v="26"/>
    <x v="2"/>
    <x v="154"/>
    <s v="과천안산선 180량"/>
  </r>
  <r>
    <n v="206"/>
    <x v="0"/>
    <x v="3"/>
    <x v="27"/>
    <x v="0"/>
    <x v="155"/>
    <s v="1호선 40량"/>
  </r>
  <r>
    <n v="207"/>
    <x v="0"/>
    <x v="4"/>
    <x v="1"/>
    <x v="2"/>
    <x v="156"/>
    <s v="과천안산선 180량"/>
  </r>
  <r>
    <n v="208"/>
    <x v="0"/>
    <x v="1"/>
    <x v="8"/>
    <x v="0"/>
    <x v="157"/>
    <s v="과천안산선 70량"/>
  </r>
  <r>
    <n v="209"/>
    <x v="0"/>
    <x v="3"/>
    <x v="23"/>
    <x v="2"/>
    <x v="158"/>
    <s v="경인선 80량"/>
  </r>
  <r>
    <n v="210"/>
    <x v="0"/>
    <x v="1"/>
    <x v="8"/>
    <x v="0"/>
    <x v="110"/>
    <s v="과천안산선 70량"/>
  </r>
  <r>
    <n v="211"/>
    <x v="0"/>
    <x v="1"/>
    <x v="3"/>
    <x v="2"/>
    <x v="159"/>
    <s v="분당선 108량"/>
  </r>
  <r>
    <n v="212"/>
    <x v="0"/>
    <x v="0"/>
    <x v="28"/>
    <x v="2"/>
    <x v="120"/>
    <s v="경인선 80량"/>
  </r>
  <r>
    <n v="213"/>
    <x v="0"/>
    <x v="4"/>
    <x v="1"/>
    <x v="2"/>
    <x v="160"/>
    <s v="과천안산선 180량"/>
  </r>
  <r>
    <n v="214"/>
    <x v="0"/>
    <x v="4"/>
    <x v="26"/>
    <x v="2"/>
    <x v="161"/>
    <s v="과천안산선 180량"/>
  </r>
  <r>
    <n v="215"/>
    <x v="0"/>
    <x v="1"/>
    <x v="8"/>
    <x v="2"/>
    <x v="162"/>
    <s v="과천안산선 180량"/>
  </r>
  <r>
    <n v="216"/>
    <x v="0"/>
    <x v="2"/>
    <x v="26"/>
    <x v="2"/>
    <x v="163"/>
    <s v="경인선 80량"/>
  </r>
  <r>
    <n v="217"/>
    <x v="1"/>
    <x v="3"/>
    <x v="5"/>
    <x v="0"/>
    <x v="164"/>
    <s v="1호선 40량"/>
  </r>
  <r>
    <n v="218"/>
    <x v="1"/>
    <x v="3"/>
    <x v="5"/>
    <x v="0"/>
    <x v="165"/>
    <s v="1호선 40량"/>
  </r>
  <r>
    <n v="219"/>
    <x v="0"/>
    <x v="3"/>
    <x v="23"/>
    <x v="2"/>
    <x v="166"/>
    <s v="경인선 80량"/>
  </r>
  <r>
    <n v="220"/>
    <x v="0"/>
    <x v="3"/>
    <x v="9"/>
    <x v="2"/>
    <x v="167"/>
    <s v="과천안산선 180량"/>
  </r>
  <r>
    <n v="221"/>
    <x v="0"/>
    <x v="3"/>
    <x v="27"/>
    <x v="2"/>
    <x v="168"/>
    <s v="과천안산선 180량"/>
  </r>
  <r>
    <n v="222"/>
    <x v="0"/>
    <x v="0"/>
    <x v="26"/>
    <x v="2"/>
    <x v="168"/>
    <s v="분당선 108량"/>
  </r>
  <r>
    <n v="223"/>
    <x v="0"/>
    <x v="4"/>
    <x v="27"/>
    <x v="0"/>
    <x v="169"/>
    <s v="과천안산선 70량"/>
  </r>
  <r>
    <n v="224"/>
    <x v="0"/>
    <x v="1"/>
    <x v="25"/>
    <x v="2"/>
    <x v="170"/>
    <s v="과천안산선 180량"/>
  </r>
  <r>
    <n v="225"/>
    <x v="1"/>
    <x v="5"/>
    <x v="10"/>
    <x v="0"/>
    <x v="1"/>
    <s v="경원선 18량"/>
  </r>
  <r>
    <n v="226"/>
    <x v="1"/>
    <x v="5"/>
    <x v="10"/>
    <x v="0"/>
    <x v="1"/>
    <s v="1호선 40량"/>
  </r>
  <r>
    <n v="227"/>
    <x v="1"/>
    <x v="5"/>
    <x v="10"/>
    <x v="2"/>
    <x v="1"/>
    <s v="경인선 80량"/>
  </r>
  <r>
    <n v="228"/>
    <x v="0"/>
    <x v="0"/>
    <x v="7"/>
    <x v="2"/>
    <x v="171"/>
    <s v="경인선 80량"/>
  </r>
  <r>
    <n v="229"/>
    <x v="0"/>
    <x v="3"/>
    <x v="6"/>
    <x v="2"/>
    <x v="171"/>
    <s v="경인선 80량"/>
  </r>
  <r>
    <n v="230"/>
    <x v="0"/>
    <x v="1"/>
    <x v="8"/>
    <x v="2"/>
    <x v="172"/>
    <s v="경인선 80량"/>
  </r>
  <r>
    <n v="231"/>
    <x v="2"/>
    <x v="3"/>
    <x v="3"/>
    <x v="2"/>
    <x v="172"/>
    <s v="경인선 80량"/>
  </r>
  <r>
    <n v="232"/>
    <x v="0"/>
    <x v="4"/>
    <x v="8"/>
    <x v="0"/>
    <x v="173"/>
    <s v="과천안산선 70량"/>
  </r>
  <r>
    <n v="233"/>
    <x v="0"/>
    <x v="2"/>
    <x v="4"/>
    <x v="2"/>
    <x v="174"/>
    <s v="과천안산선 180량"/>
  </r>
  <r>
    <n v="234"/>
    <x v="1"/>
    <x v="5"/>
    <x v="10"/>
    <x v="2"/>
    <x v="1"/>
    <s v="경인선 80량"/>
  </r>
  <r>
    <n v="235"/>
    <x v="1"/>
    <x v="5"/>
    <x v="10"/>
    <x v="2"/>
    <x v="1"/>
    <s v="과천안산선 180량"/>
  </r>
  <r>
    <n v="236"/>
    <x v="0"/>
    <x v="1"/>
    <x v="8"/>
    <x v="2"/>
    <x v="175"/>
    <s v="경인선 80량"/>
  </r>
  <r>
    <n v="237"/>
    <x v="1"/>
    <x v="5"/>
    <x v="10"/>
    <x v="0"/>
    <x v="1"/>
    <s v="과천안산선 70량"/>
  </r>
  <r>
    <n v="238"/>
    <x v="0"/>
    <x v="3"/>
    <x v="12"/>
    <x v="0"/>
    <x v="176"/>
    <s v="과천안산선 70량"/>
  </r>
  <r>
    <n v="239"/>
    <x v="0"/>
    <x v="1"/>
    <x v="8"/>
    <x v="0"/>
    <x v="176"/>
    <s v="과천안산선 70량"/>
  </r>
  <r>
    <n v="240"/>
    <x v="0"/>
    <x v="3"/>
    <x v="23"/>
    <x v="2"/>
    <x v="177"/>
    <s v="경인선 80량"/>
  </r>
  <r>
    <n v="241"/>
    <x v="0"/>
    <x v="4"/>
    <x v="26"/>
    <x v="2"/>
    <x v="178"/>
    <s v="경인선 80량"/>
  </r>
  <r>
    <n v="242"/>
    <x v="0"/>
    <x v="1"/>
    <x v="8"/>
    <x v="0"/>
    <x v="179"/>
    <s v="과천안산선 70량"/>
  </r>
  <r>
    <n v="243"/>
    <x v="0"/>
    <x v="4"/>
    <x v="26"/>
    <x v="0"/>
    <x v="180"/>
    <s v="과천안산선 70량"/>
  </r>
  <r>
    <n v="244"/>
    <x v="1"/>
    <x v="0"/>
    <x v="2"/>
    <x v="0"/>
    <x v="181"/>
    <s v="과천안산선 70량"/>
  </r>
  <r>
    <n v="245"/>
    <x v="1"/>
    <x v="0"/>
    <x v="2"/>
    <x v="0"/>
    <x v="181"/>
    <s v="과천안산선 70량"/>
  </r>
  <r>
    <n v="246"/>
    <x v="0"/>
    <x v="3"/>
    <x v="9"/>
    <x v="2"/>
    <x v="182"/>
    <s v="과천안산선 180량"/>
  </r>
  <r>
    <n v="247"/>
    <x v="0"/>
    <x v="3"/>
    <x v="4"/>
    <x v="2"/>
    <x v="182"/>
    <s v="과천안산선 180량"/>
  </r>
  <r>
    <n v="248"/>
    <x v="0"/>
    <x v="3"/>
    <x v="8"/>
    <x v="2"/>
    <x v="183"/>
    <s v="과천안산선 180량"/>
  </r>
  <r>
    <n v="249"/>
    <x v="2"/>
    <x v="0"/>
    <x v="24"/>
    <x v="2"/>
    <x v="184"/>
    <s v="경인선 80량"/>
  </r>
  <r>
    <n v="250"/>
    <x v="1"/>
    <x v="3"/>
    <x v="29"/>
    <x v="2"/>
    <x v="185"/>
    <s v="과천안산선 180량"/>
  </r>
  <r>
    <n v="251"/>
    <x v="0"/>
    <x v="4"/>
    <x v="1"/>
    <x v="2"/>
    <x v="85"/>
    <s v="과천안산선 180량"/>
  </r>
  <r>
    <n v="252"/>
    <x v="0"/>
    <x v="3"/>
    <x v="4"/>
    <x v="2"/>
    <x v="182"/>
    <s v="과천안산선 180량"/>
  </r>
  <r>
    <n v="253"/>
    <x v="1"/>
    <x v="5"/>
    <x v="10"/>
    <x v="0"/>
    <x v="1"/>
    <s v="과천안산선 70량"/>
  </r>
  <r>
    <n v="254"/>
    <x v="1"/>
    <x v="3"/>
    <x v="2"/>
    <x v="0"/>
    <x v="186"/>
    <s v="과천안산선 70량"/>
  </r>
  <r>
    <n v="255"/>
    <x v="0"/>
    <x v="4"/>
    <x v="11"/>
    <x v="0"/>
    <x v="187"/>
    <s v="1호선 40량"/>
  </r>
  <r>
    <n v="256"/>
    <x v="0"/>
    <x v="4"/>
    <x v="8"/>
    <x v="2"/>
    <x v="188"/>
    <s v="경인선 80량"/>
  </r>
  <r>
    <n v="257"/>
    <x v="0"/>
    <x v="1"/>
    <x v="8"/>
    <x v="0"/>
    <x v="189"/>
    <s v="과천안산선 70량"/>
  </r>
  <r>
    <n v="258"/>
    <x v="1"/>
    <x v="5"/>
    <x v="10"/>
    <x v="2"/>
    <x v="1"/>
    <s v="분당선 108량"/>
  </r>
  <r>
    <n v="259"/>
    <x v="0"/>
    <x v="1"/>
    <x v="8"/>
    <x v="0"/>
    <x v="190"/>
    <s v="경원선 18량"/>
  </r>
  <r>
    <n v="260"/>
    <x v="1"/>
    <x v="3"/>
    <x v="2"/>
    <x v="2"/>
    <x v="112"/>
    <s v="과천안산선 180량"/>
  </r>
  <r>
    <n v="261"/>
    <x v="0"/>
    <x v="2"/>
    <x v="4"/>
    <x v="2"/>
    <x v="105"/>
    <s v="과천안산선 180량"/>
  </r>
  <r>
    <n v="262"/>
    <x v="0"/>
    <x v="3"/>
    <x v="26"/>
    <x v="2"/>
    <x v="127"/>
    <s v="경인선 80량"/>
  </r>
  <r>
    <n v="263"/>
    <x v="0"/>
    <x v="4"/>
    <x v="2"/>
    <x v="2"/>
    <x v="191"/>
    <s v="경인선 80량"/>
  </r>
  <r>
    <n v="264"/>
    <x v="1"/>
    <x v="3"/>
    <x v="29"/>
    <x v="2"/>
    <x v="74"/>
    <s v="과천안산선 180량"/>
  </r>
  <r>
    <n v="265"/>
    <x v="1"/>
    <x v="5"/>
    <x v="10"/>
    <x v="2"/>
    <x v="1"/>
    <s v="경인선 80량"/>
  </r>
  <r>
    <n v="266"/>
    <x v="1"/>
    <x v="5"/>
    <x v="10"/>
    <x v="0"/>
    <x v="1"/>
    <s v="1호선 40량"/>
  </r>
  <r>
    <n v="267"/>
    <x v="1"/>
    <x v="5"/>
    <x v="10"/>
    <x v="2"/>
    <x v="1"/>
    <s v="분당선 108량"/>
  </r>
  <r>
    <n v="268"/>
    <x v="0"/>
    <x v="1"/>
    <x v="8"/>
    <x v="0"/>
    <x v="192"/>
    <s v="경원선 18량"/>
  </r>
  <r>
    <n v="269"/>
    <x v="0"/>
    <x v="1"/>
    <x v="25"/>
    <x v="2"/>
    <x v="193"/>
    <s v="분당선 108량"/>
  </r>
  <r>
    <n v="270"/>
    <x v="0"/>
    <x v="4"/>
    <x v="27"/>
    <x v="0"/>
    <x v="187"/>
    <s v="1호선 40량"/>
  </r>
  <r>
    <n v="271"/>
    <x v="0"/>
    <x v="3"/>
    <x v="8"/>
    <x v="0"/>
    <x v="187"/>
    <s v="1호선 40량"/>
  </r>
  <r>
    <n v="272"/>
    <x v="0"/>
    <x v="4"/>
    <x v="27"/>
    <x v="2"/>
    <x v="194"/>
    <s v="경인선 80량"/>
  </r>
  <r>
    <n v="273"/>
    <x v="0"/>
    <x v="4"/>
    <x v="26"/>
    <x v="2"/>
    <x v="195"/>
    <s v="경인선 80량"/>
  </r>
  <r>
    <n v="274"/>
    <x v="1"/>
    <x v="5"/>
    <x v="10"/>
    <x v="1"/>
    <x v="1"/>
    <s v="소사원시 28량"/>
  </r>
  <r>
    <n v="275"/>
    <x v="0"/>
    <x v="4"/>
    <x v="26"/>
    <x v="2"/>
    <x v="195"/>
    <s v="경인선 80량"/>
  </r>
  <r>
    <n v="276"/>
    <x v="0"/>
    <x v="3"/>
    <x v="6"/>
    <x v="0"/>
    <x v="196"/>
    <s v="과천안산선 70량"/>
  </r>
  <r>
    <n v="277"/>
    <x v="0"/>
    <x v="1"/>
    <x v="8"/>
    <x v="0"/>
    <x v="197"/>
    <s v="과천안산선 70량"/>
  </r>
  <r>
    <n v="278"/>
    <x v="0"/>
    <x v="3"/>
    <x v="8"/>
    <x v="2"/>
    <x v="198"/>
    <s v="과천안산선 180량"/>
  </r>
  <r>
    <n v="279"/>
    <x v="0"/>
    <x v="4"/>
    <x v="26"/>
    <x v="2"/>
    <x v="199"/>
    <s v="과천안산선 180량"/>
  </r>
  <r>
    <n v="280"/>
    <x v="0"/>
    <x v="0"/>
    <x v="0"/>
    <x v="2"/>
    <x v="200"/>
    <s v="경인선 80량"/>
  </r>
  <r>
    <n v="281"/>
    <x v="0"/>
    <x v="3"/>
    <x v="26"/>
    <x v="2"/>
    <x v="201"/>
    <s v="경인선 80량"/>
  </r>
  <r>
    <n v="282"/>
    <x v="0"/>
    <x v="3"/>
    <x v="4"/>
    <x v="1"/>
    <x v="1"/>
    <s v="동해선 28량"/>
  </r>
  <r>
    <n v="283"/>
    <x v="0"/>
    <x v="1"/>
    <x v="8"/>
    <x v="2"/>
    <x v="202"/>
    <s v="경인선 80량"/>
  </r>
  <r>
    <n v="284"/>
    <x v="1"/>
    <x v="3"/>
    <x v="18"/>
    <x v="0"/>
    <x v="203"/>
    <s v="1호선 40량"/>
  </r>
  <r>
    <n v="285"/>
    <x v="0"/>
    <x v="4"/>
    <x v="8"/>
    <x v="0"/>
    <x v="204"/>
    <s v="과천안산선 70량"/>
  </r>
  <r>
    <n v="286"/>
    <x v="0"/>
    <x v="3"/>
    <x v="13"/>
    <x v="2"/>
    <x v="135"/>
    <s v="경인선 80량"/>
  </r>
  <r>
    <n v="287"/>
    <x v="2"/>
    <x v="3"/>
    <x v="3"/>
    <x v="2"/>
    <x v="135"/>
    <s v="경인선 80량"/>
  </r>
  <r>
    <n v="288"/>
    <x v="0"/>
    <x v="3"/>
    <x v="6"/>
    <x v="2"/>
    <x v="205"/>
    <s v="경인선 80량"/>
  </r>
  <r>
    <n v="289"/>
    <x v="1"/>
    <x v="5"/>
    <x v="10"/>
    <x v="2"/>
    <x v="1"/>
    <s v="경인선 80량"/>
  </r>
  <r>
    <n v="290"/>
    <x v="0"/>
    <x v="4"/>
    <x v="0"/>
    <x v="0"/>
    <x v="206"/>
    <s v="과천안산선 70량"/>
  </r>
  <r>
    <n v="291"/>
    <x v="0"/>
    <x v="4"/>
    <x v="7"/>
    <x v="0"/>
    <x v="207"/>
    <s v="경원선 18량"/>
  </r>
  <r>
    <n v="292"/>
    <x v="1"/>
    <x v="5"/>
    <x v="10"/>
    <x v="2"/>
    <x v="1"/>
    <s v="경인선 80량"/>
  </r>
  <r>
    <n v="293"/>
    <x v="0"/>
    <x v="1"/>
    <x v="30"/>
    <x v="2"/>
    <x v="208"/>
    <s v="분당선 108량"/>
  </r>
  <r>
    <n v="294"/>
    <x v="0"/>
    <x v="1"/>
    <x v="8"/>
    <x v="0"/>
    <x v="209"/>
    <s v="1호선 40량"/>
  </r>
  <r>
    <n v="295"/>
    <x v="0"/>
    <x v="0"/>
    <x v="2"/>
    <x v="0"/>
    <x v="210"/>
    <s v="과천안산선 70량"/>
  </r>
  <r>
    <n v="296"/>
    <x v="0"/>
    <x v="3"/>
    <x v="8"/>
    <x v="0"/>
    <x v="211"/>
    <s v="과천안산선 70량"/>
  </r>
  <r>
    <n v="297"/>
    <x v="0"/>
    <x v="3"/>
    <x v="9"/>
    <x v="2"/>
    <x v="212"/>
    <s v="과천안산선 180량"/>
  </r>
  <r>
    <n v="298"/>
    <x v="1"/>
    <x v="3"/>
    <x v="2"/>
    <x v="2"/>
    <x v="213"/>
    <s v="분당선 108량"/>
  </r>
  <r>
    <n v="299"/>
    <x v="1"/>
    <x v="5"/>
    <x v="10"/>
    <x v="1"/>
    <x v="1"/>
    <s v="소사원시 28량"/>
  </r>
  <r>
    <n v="300"/>
    <x v="0"/>
    <x v="4"/>
    <x v="26"/>
    <x v="2"/>
    <x v="214"/>
    <s v="경인선 80량"/>
  </r>
  <r>
    <n v="301"/>
    <x v="1"/>
    <x v="3"/>
    <x v="29"/>
    <x v="0"/>
    <x v="187"/>
    <s v="1호선 40량"/>
  </r>
  <r>
    <n v="302"/>
    <x v="0"/>
    <x v="3"/>
    <x v="4"/>
    <x v="2"/>
    <x v="214"/>
    <s v="경인선 80량"/>
  </r>
  <r>
    <n v="303"/>
    <x v="0"/>
    <x v="3"/>
    <x v="5"/>
    <x v="2"/>
    <x v="215"/>
    <s v="경인선 80량"/>
  </r>
  <r>
    <n v="304"/>
    <x v="0"/>
    <x v="3"/>
    <x v="6"/>
    <x v="0"/>
    <x v="216"/>
    <s v="과천안산선 70량"/>
  </r>
  <r>
    <n v="305"/>
    <x v="0"/>
    <x v="4"/>
    <x v="3"/>
    <x v="2"/>
    <x v="217"/>
    <s v="경인선 80량"/>
  </r>
  <r>
    <n v="306"/>
    <x v="0"/>
    <x v="3"/>
    <x v="4"/>
    <x v="2"/>
    <x v="217"/>
    <s v="경인선 80량"/>
  </r>
  <r>
    <n v="307"/>
    <x v="1"/>
    <x v="5"/>
    <x v="10"/>
    <x v="2"/>
    <x v="1"/>
    <s v="과천안산선 180량"/>
  </r>
  <r>
    <n v="308"/>
    <x v="0"/>
    <x v="0"/>
    <x v="0"/>
    <x v="0"/>
    <x v="218"/>
    <s v="과천안산선 70량"/>
  </r>
  <r>
    <n v="309"/>
    <x v="1"/>
    <x v="5"/>
    <x v="10"/>
    <x v="0"/>
    <x v="1"/>
    <s v="경원선 18량"/>
  </r>
  <r>
    <n v="310"/>
    <x v="0"/>
    <x v="3"/>
    <x v="8"/>
    <x v="0"/>
    <x v="219"/>
    <s v="과천안산선 70량"/>
  </r>
  <r>
    <n v="311"/>
    <x v="0"/>
    <x v="3"/>
    <x v="21"/>
    <x v="0"/>
    <x v="220"/>
    <s v="과천안산선 70량"/>
  </r>
  <r>
    <n v="312"/>
    <x v="0"/>
    <x v="1"/>
    <x v="3"/>
    <x v="2"/>
    <x v="221"/>
    <s v="과천안산선 180량"/>
  </r>
  <r>
    <n v="313"/>
    <x v="0"/>
    <x v="4"/>
    <x v="26"/>
    <x v="2"/>
    <x v="221"/>
    <s v="과천안산선 180량"/>
  </r>
  <r>
    <n v="314"/>
    <x v="0"/>
    <x v="4"/>
    <x v="8"/>
    <x v="0"/>
    <x v="222"/>
    <s v="경원선 18량"/>
  </r>
  <r>
    <n v="315"/>
    <x v="1"/>
    <x v="5"/>
    <x v="10"/>
    <x v="0"/>
    <x v="1"/>
    <s v="과천안산선 70량"/>
  </r>
  <r>
    <n v="316"/>
    <x v="0"/>
    <x v="1"/>
    <x v="8"/>
    <x v="2"/>
    <x v="223"/>
    <s v="과천안산선 180량"/>
  </r>
  <r>
    <n v="317"/>
    <x v="0"/>
    <x v="3"/>
    <x v="26"/>
    <x v="2"/>
    <x v="224"/>
    <s v="경인선 80량"/>
  </r>
  <r>
    <n v="318"/>
    <x v="0"/>
    <x v="3"/>
    <x v="8"/>
    <x v="0"/>
    <x v="225"/>
    <s v="과천안산선 70량"/>
  </r>
  <r>
    <n v="319"/>
    <x v="0"/>
    <x v="1"/>
    <x v="25"/>
    <x v="2"/>
    <x v="224"/>
    <s v="경인선 80량"/>
  </r>
  <r>
    <n v="320"/>
    <x v="1"/>
    <x v="5"/>
    <x v="10"/>
    <x v="2"/>
    <x v="1"/>
    <s v="경인선 80량"/>
  </r>
  <r>
    <n v="321"/>
    <x v="2"/>
    <x v="3"/>
    <x v="2"/>
    <x v="2"/>
    <x v="166"/>
    <s v="경인선 80량"/>
  </r>
  <r>
    <n v="322"/>
    <x v="0"/>
    <x v="2"/>
    <x v="8"/>
    <x v="0"/>
    <x v="226"/>
    <s v="과천안산선 70량"/>
  </r>
  <r>
    <n v="323"/>
    <x v="2"/>
    <x v="3"/>
    <x v="3"/>
    <x v="2"/>
    <x v="227"/>
    <s v="과천안산선 180량"/>
  </r>
  <r>
    <n v="324"/>
    <x v="0"/>
    <x v="1"/>
    <x v="25"/>
    <x v="2"/>
    <x v="162"/>
    <s v="분당선 108량"/>
  </r>
  <r>
    <n v="325"/>
    <x v="0"/>
    <x v="3"/>
    <x v="5"/>
    <x v="2"/>
    <x v="228"/>
    <s v="경인선 80량"/>
  </r>
  <r>
    <n v="326"/>
    <x v="1"/>
    <x v="5"/>
    <x v="10"/>
    <x v="0"/>
    <x v="1"/>
    <s v="1호선 40량"/>
  </r>
  <r>
    <n v="327"/>
    <x v="0"/>
    <x v="3"/>
    <x v="7"/>
    <x v="0"/>
    <x v="88"/>
    <s v="과천안산선 70량"/>
  </r>
  <r>
    <n v="328"/>
    <x v="1"/>
    <x v="5"/>
    <x v="10"/>
    <x v="0"/>
    <x v="1"/>
    <s v="과천안산선 70량"/>
  </r>
  <r>
    <n v="329"/>
    <x v="0"/>
    <x v="0"/>
    <x v="0"/>
    <x v="0"/>
    <x v="229"/>
    <s v="과천안산선 70량"/>
  </r>
  <r>
    <n v="330"/>
    <x v="0"/>
    <x v="0"/>
    <x v="12"/>
    <x v="0"/>
    <x v="146"/>
    <s v="과천안산선 70량"/>
  </r>
  <r>
    <n v="331"/>
    <x v="1"/>
    <x v="5"/>
    <x v="10"/>
    <x v="2"/>
    <x v="1"/>
    <s v="과천안산선 180량"/>
  </r>
  <r>
    <n v="332"/>
    <x v="1"/>
    <x v="5"/>
    <x v="10"/>
    <x v="0"/>
    <x v="1"/>
    <s v="1호선 40량"/>
  </r>
  <r>
    <n v="333"/>
    <x v="0"/>
    <x v="4"/>
    <x v="26"/>
    <x v="2"/>
    <x v="230"/>
    <s v="경인선 80량"/>
  </r>
  <r>
    <n v="334"/>
    <x v="0"/>
    <x v="2"/>
    <x v="12"/>
    <x v="2"/>
    <x v="42"/>
    <s v="분당선 108량"/>
  </r>
  <r>
    <n v="335"/>
    <x v="1"/>
    <x v="3"/>
    <x v="7"/>
    <x v="2"/>
    <x v="82"/>
    <s v="과천안산선 180량"/>
  </r>
  <r>
    <n v="336"/>
    <x v="2"/>
    <x v="0"/>
    <x v="17"/>
    <x v="0"/>
    <x v="231"/>
    <s v="과천안산선 70량"/>
  </r>
  <r>
    <n v="337"/>
    <x v="0"/>
    <x v="1"/>
    <x v="25"/>
    <x v="2"/>
    <x v="232"/>
    <s v="분당선 108량"/>
  </r>
  <r>
    <n v="338"/>
    <x v="0"/>
    <x v="3"/>
    <x v="8"/>
    <x v="2"/>
    <x v="233"/>
    <s v="경인선 80량"/>
  </r>
  <r>
    <n v="339"/>
    <x v="0"/>
    <x v="2"/>
    <x v="26"/>
    <x v="2"/>
    <x v="234"/>
    <s v="경인선 80량"/>
  </r>
  <r>
    <n v="340"/>
    <x v="2"/>
    <x v="3"/>
    <x v="6"/>
    <x v="0"/>
    <x v="235"/>
    <s v="과천안산선 70량"/>
  </r>
  <r>
    <n v="341"/>
    <x v="0"/>
    <x v="3"/>
    <x v="31"/>
    <x v="0"/>
    <x v="236"/>
    <s v="과천안산선 70량"/>
  </r>
  <r>
    <n v="342"/>
    <x v="0"/>
    <x v="3"/>
    <x v="8"/>
    <x v="2"/>
    <x v="233"/>
    <s v="경인선 80량"/>
  </r>
  <r>
    <n v="343"/>
    <x v="0"/>
    <x v="4"/>
    <x v="26"/>
    <x v="2"/>
    <x v="237"/>
    <s v="경인선 80량"/>
  </r>
  <r>
    <n v="344"/>
    <x v="1"/>
    <x v="5"/>
    <x v="10"/>
    <x v="2"/>
    <x v="1"/>
    <s v="경인선 80량"/>
  </r>
  <r>
    <n v="345"/>
    <x v="0"/>
    <x v="3"/>
    <x v="6"/>
    <x v="0"/>
    <x v="238"/>
    <s v="과천안산선 70량"/>
  </r>
  <r>
    <n v="346"/>
    <x v="2"/>
    <x v="3"/>
    <x v="3"/>
    <x v="2"/>
    <x v="239"/>
    <s v="경인선 80량"/>
  </r>
  <r>
    <n v="347"/>
    <x v="0"/>
    <x v="3"/>
    <x v="18"/>
    <x v="2"/>
    <x v="240"/>
    <s v="경인선 80량"/>
  </r>
  <r>
    <n v="348"/>
    <x v="1"/>
    <x v="3"/>
    <x v="29"/>
    <x v="0"/>
    <x v="241"/>
    <s v="1호선 40량"/>
  </r>
  <r>
    <n v="349"/>
    <x v="2"/>
    <x v="3"/>
    <x v="6"/>
    <x v="0"/>
    <x v="242"/>
    <s v="과천안산선 70량"/>
  </r>
  <r>
    <n v="350"/>
    <x v="1"/>
    <x v="5"/>
    <x v="10"/>
    <x v="2"/>
    <x v="1"/>
    <s v="과천안산선 180량"/>
  </r>
  <r>
    <n v="351"/>
    <x v="2"/>
    <x v="3"/>
    <x v="6"/>
    <x v="0"/>
    <x v="216"/>
    <s v="과천안산선 70량"/>
  </r>
  <r>
    <n v="352"/>
    <x v="0"/>
    <x v="2"/>
    <x v="26"/>
    <x v="0"/>
    <x v="243"/>
    <s v="1호선 40량"/>
  </r>
  <r>
    <n v="353"/>
    <x v="1"/>
    <x v="3"/>
    <x v="29"/>
    <x v="2"/>
    <x v="244"/>
    <s v="경인선 80량"/>
  </r>
  <r>
    <n v="354"/>
    <x v="0"/>
    <x v="3"/>
    <x v="4"/>
    <x v="2"/>
    <x v="245"/>
    <s v="과천안산선 180량"/>
  </r>
  <r>
    <n v="355"/>
    <x v="0"/>
    <x v="1"/>
    <x v="8"/>
    <x v="0"/>
    <x v="246"/>
    <s v="1호선 40량"/>
  </r>
  <r>
    <n v="356"/>
    <x v="0"/>
    <x v="3"/>
    <x v="4"/>
    <x v="2"/>
    <x v="247"/>
    <s v="경인선 80량"/>
  </r>
  <r>
    <n v="357"/>
    <x v="0"/>
    <x v="3"/>
    <x v="32"/>
    <x v="2"/>
    <x v="248"/>
    <s v="과천안산선 180량"/>
  </r>
  <r>
    <n v="358"/>
    <x v="0"/>
    <x v="1"/>
    <x v="26"/>
    <x v="2"/>
    <x v="249"/>
    <s v="과천안산선 180량"/>
  </r>
  <r>
    <n v="359"/>
    <x v="0"/>
    <x v="0"/>
    <x v="30"/>
    <x v="2"/>
    <x v="85"/>
    <s v="분당선 108량"/>
  </r>
  <r>
    <n v="360"/>
    <x v="0"/>
    <x v="3"/>
    <x v="26"/>
    <x v="2"/>
    <x v="85"/>
    <s v="과천안산선 180량"/>
  </r>
  <r>
    <n v="361"/>
    <x v="1"/>
    <x v="2"/>
    <x v="26"/>
    <x v="2"/>
    <x v="250"/>
    <s v="경인선 80량"/>
  </r>
  <r>
    <n v="362"/>
    <x v="2"/>
    <x v="3"/>
    <x v="17"/>
    <x v="2"/>
    <x v="194"/>
    <s v="경인선 80량"/>
  </r>
  <r>
    <n v="363"/>
    <x v="0"/>
    <x v="1"/>
    <x v="25"/>
    <x v="2"/>
    <x v="194"/>
    <s v="경인선 80량"/>
  </r>
  <r>
    <n v="364"/>
    <x v="2"/>
    <x v="3"/>
    <x v="2"/>
    <x v="2"/>
    <x v="194"/>
    <s v="경인선 80량"/>
  </r>
  <r>
    <n v="365"/>
    <x v="0"/>
    <x v="3"/>
    <x v="26"/>
    <x v="2"/>
    <x v="251"/>
    <s v="경인선 80량"/>
  </r>
  <r>
    <n v="366"/>
    <x v="1"/>
    <x v="5"/>
    <x v="10"/>
    <x v="0"/>
    <x v="1"/>
    <s v="과천안산선 70량"/>
  </r>
  <r>
    <n v="367"/>
    <x v="1"/>
    <x v="5"/>
    <x v="10"/>
    <x v="2"/>
    <x v="1"/>
    <s v="분당선 108량"/>
  </r>
  <r>
    <n v="368"/>
    <x v="2"/>
    <x v="0"/>
    <x v="17"/>
    <x v="0"/>
    <x v="206"/>
    <s v="과천안산선 70량"/>
  </r>
  <r>
    <n v="369"/>
    <x v="1"/>
    <x v="2"/>
    <x v="33"/>
    <x v="0"/>
    <x v="252"/>
    <s v="1호선 40량"/>
  </r>
  <r>
    <n v="370"/>
    <x v="2"/>
    <x v="3"/>
    <x v="17"/>
    <x v="2"/>
    <x v="201"/>
    <s v="경인선 80량"/>
  </r>
  <r>
    <n v="371"/>
    <x v="2"/>
    <x v="3"/>
    <x v="8"/>
    <x v="2"/>
    <x v="201"/>
    <s v="경인선 80량"/>
  </r>
  <r>
    <n v="372"/>
    <x v="2"/>
    <x v="0"/>
    <x v="12"/>
    <x v="2"/>
    <x v="253"/>
    <s v="과천안산선 180량"/>
  </r>
  <r>
    <n v="373"/>
    <x v="0"/>
    <x v="1"/>
    <x v="8"/>
    <x v="2"/>
    <x v="193"/>
    <s v="분당선 108량"/>
  </r>
  <r>
    <n v="374"/>
    <x v="0"/>
    <x v="4"/>
    <x v="7"/>
    <x v="0"/>
    <x v="254"/>
    <s v="1호선 40량"/>
  </r>
  <r>
    <n v="375"/>
    <x v="0"/>
    <x v="4"/>
    <x v="8"/>
    <x v="2"/>
    <x v="255"/>
    <s v="경인선 80량"/>
  </r>
  <r>
    <n v="376"/>
    <x v="1"/>
    <x v="5"/>
    <x v="10"/>
    <x v="2"/>
    <x v="1"/>
    <s v="과천안산선 180량"/>
  </r>
  <r>
    <n v="377"/>
    <x v="0"/>
    <x v="3"/>
    <x v="4"/>
    <x v="2"/>
    <x v="140"/>
    <s v="분당선 108량"/>
  </r>
  <r>
    <n v="378"/>
    <x v="0"/>
    <x v="1"/>
    <x v="8"/>
    <x v="0"/>
    <x v="256"/>
    <s v="과천안산선 70량"/>
  </r>
  <r>
    <n v="379"/>
    <x v="0"/>
    <x v="4"/>
    <x v="26"/>
    <x v="0"/>
    <x v="173"/>
    <s v="과천안산선 70량"/>
  </r>
  <r>
    <n v="380"/>
    <x v="0"/>
    <x v="3"/>
    <x v="4"/>
    <x v="2"/>
    <x v="257"/>
    <s v="경인선 80량"/>
  </r>
  <r>
    <n v="381"/>
    <x v="0"/>
    <x v="4"/>
    <x v="8"/>
    <x v="0"/>
    <x v="258"/>
    <s v="과천안산선 70량"/>
  </r>
  <r>
    <n v="382"/>
    <x v="0"/>
    <x v="0"/>
    <x v="18"/>
    <x v="2"/>
    <x v="259"/>
    <s v="분당선 108량"/>
  </r>
  <r>
    <n v="383"/>
    <x v="0"/>
    <x v="3"/>
    <x v="4"/>
    <x v="2"/>
    <x v="260"/>
    <s v="경인선 80량"/>
  </r>
  <r>
    <n v="384"/>
    <x v="2"/>
    <x v="0"/>
    <x v="32"/>
    <x v="2"/>
    <x v="214"/>
    <s v="경인선 80량"/>
  </r>
  <r>
    <n v="385"/>
    <x v="0"/>
    <x v="0"/>
    <x v="7"/>
    <x v="2"/>
    <x v="261"/>
    <s v="경인선 80량"/>
  </r>
  <r>
    <n v="386"/>
    <x v="0"/>
    <x v="3"/>
    <x v="4"/>
    <x v="2"/>
    <x v="262"/>
    <s v="과천안산선 180량"/>
  </r>
  <r>
    <n v="387"/>
    <x v="2"/>
    <x v="3"/>
    <x v="6"/>
    <x v="0"/>
    <x v="263"/>
    <s v="과천안산선 70량"/>
  </r>
  <r>
    <n v="388"/>
    <x v="0"/>
    <x v="3"/>
    <x v="2"/>
    <x v="2"/>
    <x v="142"/>
    <s v="과천안산선 180량"/>
  </r>
  <r>
    <n v="389"/>
    <x v="1"/>
    <x v="3"/>
    <x v="29"/>
    <x v="2"/>
    <x v="264"/>
    <s v="경인선 80량"/>
  </r>
  <r>
    <n v="390"/>
    <x v="0"/>
    <x v="0"/>
    <x v="0"/>
    <x v="2"/>
    <x v="265"/>
    <s v="분당선 108량"/>
  </r>
  <r>
    <n v="391"/>
    <x v="1"/>
    <x v="3"/>
    <x v="34"/>
    <x v="2"/>
    <x v="224"/>
    <s v="경인선 80량"/>
  </r>
  <r>
    <n v="392"/>
    <x v="2"/>
    <x v="0"/>
    <x v="35"/>
    <x v="2"/>
    <x v="213"/>
    <s v="과천안산선 180량"/>
  </r>
  <r>
    <n v="393"/>
    <x v="0"/>
    <x v="0"/>
    <x v="26"/>
    <x v="2"/>
    <x v="266"/>
    <s v="분당선 108량"/>
  </r>
  <r>
    <n v="394"/>
    <x v="1"/>
    <x v="3"/>
    <x v="8"/>
    <x v="2"/>
    <x v="267"/>
    <s v="과천안산선 180량"/>
  </r>
  <r>
    <n v="395"/>
    <x v="0"/>
    <x v="4"/>
    <x v="12"/>
    <x v="2"/>
    <x v="68"/>
    <s v="과천안산선 180량"/>
  </r>
  <r>
    <n v="396"/>
    <x v="0"/>
    <x v="1"/>
    <x v="17"/>
    <x v="0"/>
    <x v="268"/>
    <s v="과천안산선 70량"/>
  </r>
  <r>
    <n v="397"/>
    <x v="0"/>
    <x v="4"/>
    <x v="26"/>
    <x v="2"/>
    <x v="221"/>
    <s v="분당선 108량"/>
  </r>
  <r>
    <n v="398"/>
    <x v="0"/>
    <x v="1"/>
    <x v="25"/>
    <x v="2"/>
    <x v="269"/>
    <s v="경인선 80량"/>
  </r>
  <r>
    <n v="399"/>
    <x v="1"/>
    <x v="3"/>
    <x v="5"/>
    <x v="2"/>
    <x v="270"/>
    <s v="과천안산선 180량"/>
  </r>
  <r>
    <n v="400"/>
    <x v="0"/>
    <x v="0"/>
    <x v="12"/>
    <x v="0"/>
    <x v="271"/>
    <s v="과천안산선 70량"/>
  </r>
  <r>
    <n v="401"/>
    <x v="0"/>
    <x v="0"/>
    <x v="22"/>
    <x v="2"/>
    <x v="80"/>
    <s v="과천안산선 180량"/>
  </r>
  <r>
    <n v="402"/>
    <x v="0"/>
    <x v="1"/>
    <x v="25"/>
    <x v="2"/>
    <x v="270"/>
    <s v="과천안산선 180량"/>
  </r>
  <r>
    <n v="403"/>
    <x v="0"/>
    <x v="3"/>
    <x v="4"/>
    <x v="2"/>
    <x v="162"/>
    <s v="과천안산선 180량"/>
  </r>
  <r>
    <n v="404"/>
    <x v="1"/>
    <x v="3"/>
    <x v="8"/>
    <x v="2"/>
    <x v="162"/>
    <s v="과천안산선 180량"/>
  </r>
  <r>
    <n v="405"/>
    <x v="0"/>
    <x v="0"/>
    <x v="7"/>
    <x v="2"/>
    <x v="272"/>
    <s v="경인선 80량"/>
  </r>
  <r>
    <n v="406"/>
    <x v="0"/>
    <x v="0"/>
    <x v="5"/>
    <x v="0"/>
    <x v="273"/>
    <s v="과천안산선 70량"/>
  </r>
  <r>
    <n v="407"/>
    <x v="0"/>
    <x v="3"/>
    <x v="27"/>
    <x v="0"/>
    <x v="274"/>
    <s v="과천안산선 70량"/>
  </r>
  <r>
    <n v="408"/>
    <x v="0"/>
    <x v="1"/>
    <x v="17"/>
    <x v="0"/>
    <x v="275"/>
    <s v="과천안산선 70량"/>
  </r>
  <r>
    <n v="409"/>
    <x v="0"/>
    <x v="3"/>
    <x v="26"/>
    <x v="0"/>
    <x v="276"/>
    <s v="1호선 40량"/>
  </r>
  <r>
    <n v="410"/>
    <x v="0"/>
    <x v="1"/>
    <x v="25"/>
    <x v="2"/>
    <x v="162"/>
    <s v="과천안산선 180량"/>
  </r>
  <r>
    <n v="411"/>
    <x v="0"/>
    <x v="4"/>
    <x v="2"/>
    <x v="2"/>
    <x v="277"/>
    <s v="과천안산선 180량"/>
  </r>
  <r>
    <n v="412"/>
    <x v="0"/>
    <x v="1"/>
    <x v="25"/>
    <x v="2"/>
    <x v="123"/>
    <s v="분당선 108량"/>
  </r>
  <r>
    <n v="413"/>
    <x v="0"/>
    <x v="3"/>
    <x v="13"/>
    <x v="2"/>
    <x v="278"/>
    <s v="과천안산선 180량"/>
  </r>
  <r>
    <n v="414"/>
    <x v="0"/>
    <x v="3"/>
    <x v="23"/>
    <x v="0"/>
    <x v="256"/>
    <s v="과천안산선 70량"/>
  </r>
  <r>
    <n v="415"/>
    <x v="0"/>
    <x v="4"/>
    <x v="11"/>
    <x v="0"/>
    <x v="279"/>
    <s v="과천안산선 70량"/>
  </r>
  <r>
    <n v="416"/>
    <x v="0"/>
    <x v="3"/>
    <x v="36"/>
    <x v="2"/>
    <x v="280"/>
    <s v="경인선 80량"/>
  </r>
  <r>
    <n v="417"/>
    <x v="0"/>
    <x v="0"/>
    <x v="22"/>
    <x v="2"/>
    <x v="281"/>
    <s v="분당선 108량"/>
  </r>
  <r>
    <n v="418"/>
    <x v="0"/>
    <x v="1"/>
    <x v="25"/>
    <x v="2"/>
    <x v="123"/>
    <s v="분당선 108량"/>
  </r>
  <r>
    <n v="419"/>
    <x v="0"/>
    <x v="4"/>
    <x v="26"/>
    <x v="0"/>
    <x v="282"/>
    <s v="과천안산선 70량"/>
  </r>
  <r>
    <n v="420"/>
    <x v="2"/>
    <x v="6"/>
    <x v="6"/>
    <x v="0"/>
    <x v="283"/>
    <s v="과천안산선 70량"/>
  </r>
  <r>
    <n v="421"/>
    <x v="0"/>
    <x v="1"/>
    <x v="17"/>
    <x v="0"/>
    <x v="283"/>
    <s v="과천안산선 70량"/>
  </r>
  <r>
    <n v="422"/>
    <x v="0"/>
    <x v="3"/>
    <x v="8"/>
    <x v="2"/>
    <x v="280"/>
    <s v="경인선 80량"/>
  </r>
  <r>
    <n v="423"/>
    <x v="0"/>
    <x v="4"/>
    <x v="11"/>
    <x v="2"/>
    <x v="280"/>
    <s v="경인선 80량"/>
  </r>
  <r>
    <n v="424"/>
    <x v="1"/>
    <x v="3"/>
    <x v="26"/>
    <x v="0"/>
    <x v="284"/>
    <s v="1호선 40량"/>
  </r>
  <r>
    <n v="425"/>
    <x v="1"/>
    <x v="3"/>
    <x v="17"/>
    <x v="0"/>
    <x v="285"/>
    <s v="과천안산선 70량"/>
  </r>
  <r>
    <n v="426"/>
    <x v="0"/>
    <x v="4"/>
    <x v="11"/>
    <x v="2"/>
    <x v="124"/>
    <s v="과천안산선 180량"/>
  </r>
  <r>
    <n v="427"/>
    <x v="0"/>
    <x v="3"/>
    <x v="4"/>
    <x v="2"/>
    <x v="286"/>
    <s v="경인선 80량"/>
  </r>
  <r>
    <n v="428"/>
    <x v="1"/>
    <x v="3"/>
    <x v="17"/>
    <x v="0"/>
    <x v="268"/>
    <s v="과천안산선 70량"/>
  </r>
  <r>
    <n v="429"/>
    <x v="0"/>
    <x v="4"/>
    <x v="26"/>
    <x v="2"/>
    <x v="232"/>
    <s v="분당선 108량"/>
  </r>
  <r>
    <n v="430"/>
    <x v="0"/>
    <x v="4"/>
    <x v="11"/>
    <x v="2"/>
    <x v="287"/>
    <s v="분당선 108량"/>
  </r>
  <r>
    <n v="431"/>
    <x v="1"/>
    <x v="6"/>
    <x v="5"/>
    <x v="2"/>
    <x v="288"/>
    <s v="경인선 80량"/>
  </r>
  <r>
    <n v="432"/>
    <x v="0"/>
    <x v="0"/>
    <x v="3"/>
    <x v="2"/>
    <x v="168"/>
    <s v="과천안산선 180량"/>
  </r>
  <r>
    <n v="433"/>
    <x v="0"/>
    <x v="4"/>
    <x v="11"/>
    <x v="2"/>
    <x v="287"/>
    <s v="분당선 108량"/>
  </r>
  <r>
    <n v="434"/>
    <x v="0"/>
    <x v="2"/>
    <x v="8"/>
    <x v="2"/>
    <x v="289"/>
    <s v="과천안산선 180량"/>
  </r>
  <r>
    <n v="435"/>
    <x v="0"/>
    <x v="0"/>
    <x v="3"/>
    <x v="2"/>
    <x v="290"/>
    <s v="과천안산선 180량"/>
  </r>
  <r>
    <n v="436"/>
    <x v="0"/>
    <x v="4"/>
    <x v="11"/>
    <x v="2"/>
    <x v="174"/>
    <s v="과천안산선 180량"/>
  </r>
  <r>
    <n v="437"/>
    <x v="2"/>
    <x v="0"/>
    <x v="8"/>
    <x v="2"/>
    <x v="174"/>
    <s v="과천안산선 180량"/>
  </r>
  <r>
    <n v="438"/>
    <x v="2"/>
    <x v="6"/>
    <x v="3"/>
    <x v="2"/>
    <x v="291"/>
    <s v="과천안산선 180량"/>
  </r>
  <r>
    <n v="439"/>
    <x v="1"/>
    <x v="5"/>
    <x v="10"/>
    <x v="2"/>
    <x v="1"/>
    <s v="분당선 108량"/>
  </r>
  <r>
    <n v="440"/>
    <x v="2"/>
    <x v="6"/>
    <x v="3"/>
    <x v="0"/>
    <x v="292"/>
    <s v="1호선 40량"/>
  </r>
  <r>
    <n v="441"/>
    <x v="0"/>
    <x v="3"/>
    <x v="13"/>
    <x v="2"/>
    <x v="178"/>
    <s v="과천안산선 180량"/>
  </r>
  <r>
    <n v="442"/>
    <x v="0"/>
    <x v="4"/>
    <x v="26"/>
    <x v="2"/>
    <x v="293"/>
    <s v="경인선 80량"/>
  </r>
  <r>
    <n v="443"/>
    <x v="2"/>
    <x v="6"/>
    <x v="8"/>
    <x v="2"/>
    <x v="294"/>
    <s v="과천안산선 180량"/>
  </r>
  <r>
    <n v="444"/>
    <x v="0"/>
    <x v="4"/>
    <x v="11"/>
    <x v="2"/>
    <x v="104"/>
    <s v="분당선 108량"/>
  </r>
  <r>
    <n v="445"/>
    <x v="2"/>
    <x v="6"/>
    <x v="3"/>
    <x v="2"/>
    <x v="293"/>
    <s v="경인선 80량"/>
  </r>
  <r>
    <n v="446"/>
    <x v="1"/>
    <x v="5"/>
    <x v="10"/>
    <x v="2"/>
    <x v="1"/>
    <s v="경인선 80량"/>
  </r>
  <r>
    <n v="447"/>
    <x v="1"/>
    <x v="5"/>
    <x v="10"/>
    <x v="2"/>
    <x v="1"/>
    <s v="과천안산선 180량"/>
  </r>
  <r>
    <n v="448"/>
    <x v="0"/>
    <x v="1"/>
    <x v="8"/>
    <x v="2"/>
    <x v="295"/>
    <s v="과천안산선 180량"/>
  </r>
  <r>
    <n v="449"/>
    <x v="1"/>
    <x v="6"/>
    <x v="4"/>
    <x v="0"/>
    <x v="296"/>
    <s v="1호선 40량"/>
  </r>
  <r>
    <n v="450"/>
    <x v="0"/>
    <x v="1"/>
    <x v="8"/>
    <x v="2"/>
    <x v="297"/>
    <s v="경인선 80량"/>
  </r>
  <r>
    <n v="451"/>
    <x v="2"/>
    <x v="6"/>
    <x v="3"/>
    <x v="0"/>
    <x v="298"/>
    <s v="1호선 40량"/>
  </r>
  <r>
    <n v="452"/>
    <x v="0"/>
    <x v="3"/>
    <x v="4"/>
    <x v="2"/>
    <x v="299"/>
    <s v="과천안산선 180량"/>
  </r>
  <r>
    <n v="453"/>
    <x v="0"/>
    <x v="1"/>
    <x v="8"/>
    <x v="2"/>
    <x v="300"/>
    <s v="경인선 80량"/>
  </r>
  <r>
    <n v="454"/>
    <x v="0"/>
    <x v="1"/>
    <x v="26"/>
    <x v="2"/>
    <x v="301"/>
    <s v="경인선 80량"/>
  </r>
  <r>
    <n v="455"/>
    <x v="2"/>
    <x v="0"/>
    <x v="8"/>
    <x v="2"/>
    <x v="74"/>
    <s v="과천안산선 180량"/>
  </r>
  <r>
    <n v="456"/>
    <x v="0"/>
    <x v="3"/>
    <x v="8"/>
    <x v="2"/>
    <x v="300"/>
    <s v="경인선 80량"/>
  </r>
  <r>
    <n v="457"/>
    <x v="0"/>
    <x v="1"/>
    <x v="26"/>
    <x v="2"/>
    <x v="302"/>
    <s v="과천안산선 180량"/>
  </r>
  <r>
    <n v="458"/>
    <x v="1"/>
    <x v="5"/>
    <x v="10"/>
    <x v="2"/>
    <x v="1"/>
    <s v="경인선 80량"/>
  </r>
  <r>
    <n v="459"/>
    <x v="0"/>
    <x v="0"/>
    <x v="13"/>
    <x v="2"/>
    <x v="303"/>
    <s v="분당선 108량"/>
  </r>
  <r>
    <n v="460"/>
    <x v="0"/>
    <x v="0"/>
    <x v="3"/>
    <x v="2"/>
    <x v="304"/>
    <s v="과천안산선 180량"/>
  </r>
  <r>
    <n v="461"/>
    <x v="2"/>
    <x v="0"/>
    <x v="8"/>
    <x v="2"/>
    <x v="76"/>
    <s v="과천안산선 180량"/>
  </r>
  <r>
    <n v="462"/>
    <x v="2"/>
    <x v="6"/>
    <x v="8"/>
    <x v="2"/>
    <x v="76"/>
    <s v="과천안산선 180량"/>
  </r>
  <r>
    <n v="463"/>
    <x v="0"/>
    <x v="3"/>
    <x v="4"/>
    <x v="2"/>
    <x v="305"/>
    <s v="경인선 80량"/>
  </r>
  <r>
    <n v="464"/>
    <x v="0"/>
    <x v="1"/>
    <x v="17"/>
    <x v="0"/>
    <x v="306"/>
    <s v="과천안산선 70량"/>
  </r>
  <r>
    <n v="465"/>
    <x v="1"/>
    <x v="5"/>
    <x v="10"/>
    <x v="2"/>
    <x v="1"/>
    <s v="과천안산선 180량"/>
  </r>
  <r>
    <n v="466"/>
    <x v="2"/>
    <x v="0"/>
    <x v="8"/>
    <x v="2"/>
    <x v="76"/>
    <s v="과천안산선 180량"/>
  </r>
  <r>
    <n v="467"/>
    <x v="1"/>
    <x v="3"/>
    <x v="29"/>
    <x v="0"/>
    <x v="284"/>
    <s v="1호선 40량"/>
  </r>
  <r>
    <n v="468"/>
    <x v="1"/>
    <x v="5"/>
    <x v="10"/>
    <x v="0"/>
    <x v="1"/>
    <s v="1호선 40량"/>
  </r>
  <r>
    <n v="469"/>
    <x v="1"/>
    <x v="5"/>
    <x v="10"/>
    <x v="2"/>
    <x v="1"/>
    <s v="과천안산선 180량"/>
  </r>
  <r>
    <n v="470"/>
    <x v="0"/>
    <x v="3"/>
    <x v="17"/>
    <x v="2"/>
    <x v="307"/>
    <s v="경인선 80량"/>
  </r>
  <r>
    <n v="471"/>
    <x v="1"/>
    <x v="3"/>
    <x v="29"/>
    <x v="0"/>
    <x v="284"/>
    <s v="1호선 40량"/>
  </r>
  <r>
    <n v="472"/>
    <x v="2"/>
    <x v="6"/>
    <x v="3"/>
    <x v="2"/>
    <x v="308"/>
    <s v="과천안산선 180량"/>
  </r>
  <r>
    <n v="473"/>
    <x v="2"/>
    <x v="6"/>
    <x v="26"/>
    <x v="2"/>
    <x v="309"/>
    <s v="과천안산선 180량"/>
  </r>
  <r>
    <n v="474"/>
    <x v="2"/>
    <x v="6"/>
    <x v="6"/>
    <x v="0"/>
    <x v="310"/>
    <s v="과천안산선 70량"/>
  </r>
  <r>
    <n v="475"/>
    <x v="2"/>
    <x v="0"/>
    <x v="17"/>
    <x v="0"/>
    <x v="310"/>
    <s v="과천안산선 70량"/>
  </r>
  <r>
    <n v="476"/>
    <x v="0"/>
    <x v="1"/>
    <x v="25"/>
    <x v="2"/>
    <x v="311"/>
    <s v="과천안산선 180량"/>
  </r>
  <r>
    <n v="477"/>
    <x v="1"/>
    <x v="5"/>
    <x v="10"/>
    <x v="2"/>
    <x v="1"/>
    <s v="분당선 108량"/>
  </r>
  <r>
    <n v="478"/>
    <x v="0"/>
    <x v="1"/>
    <x v="25"/>
    <x v="2"/>
    <x v="312"/>
    <s v="분당선 108량"/>
  </r>
  <r>
    <n v="479"/>
    <x v="0"/>
    <x v="3"/>
    <x v="23"/>
    <x v="0"/>
    <x v="313"/>
    <s v="과천안산선 70량"/>
  </r>
  <r>
    <n v="480"/>
    <x v="0"/>
    <x v="3"/>
    <x v="4"/>
    <x v="2"/>
    <x v="314"/>
    <s v="과천안산선 180량"/>
  </r>
  <r>
    <n v="481"/>
    <x v="0"/>
    <x v="4"/>
    <x v="1"/>
    <x v="2"/>
    <x v="208"/>
    <s v="분당선 108량"/>
  </r>
  <r>
    <n v="482"/>
    <x v="0"/>
    <x v="1"/>
    <x v="8"/>
    <x v="2"/>
    <x v="315"/>
    <s v="분당선 108량"/>
  </r>
  <r>
    <n v="483"/>
    <x v="2"/>
    <x v="0"/>
    <x v="17"/>
    <x v="0"/>
    <x v="316"/>
    <s v="과천안산선 70량"/>
  </r>
  <r>
    <n v="484"/>
    <x v="0"/>
    <x v="0"/>
    <x v="12"/>
    <x v="2"/>
    <x v="215"/>
    <s v="과천안산선 180량"/>
  </r>
  <r>
    <n v="485"/>
    <x v="2"/>
    <x v="1"/>
    <x v="8"/>
    <x v="2"/>
    <x v="93"/>
    <s v="분당선 108량"/>
  </r>
  <r>
    <n v="486"/>
    <x v="2"/>
    <x v="6"/>
    <x v="3"/>
    <x v="2"/>
    <x v="317"/>
    <s v="과천안산선 180량"/>
  </r>
  <r>
    <n v="487"/>
    <x v="1"/>
    <x v="3"/>
    <x v="29"/>
    <x v="2"/>
    <x v="318"/>
    <s v="경인선 80량"/>
  </r>
  <r>
    <n v="488"/>
    <x v="2"/>
    <x v="6"/>
    <x v="32"/>
    <x v="2"/>
    <x v="319"/>
    <s v="경인선 80량"/>
  </r>
  <r>
    <n v="489"/>
    <x v="1"/>
    <x v="2"/>
    <x v="1"/>
    <x v="2"/>
    <x v="320"/>
    <s v="경인선 80량"/>
  </r>
  <r>
    <n v="490"/>
    <x v="1"/>
    <x v="5"/>
    <x v="10"/>
    <x v="2"/>
    <x v="1"/>
    <s v="경인선 80량"/>
  </r>
  <r>
    <n v="491"/>
    <x v="1"/>
    <x v="5"/>
    <x v="10"/>
    <x v="2"/>
    <x v="1"/>
    <s v="과천안산선 180량"/>
  </r>
  <r>
    <n v="492"/>
    <x v="2"/>
    <x v="6"/>
    <x v="37"/>
    <x v="2"/>
    <x v="321"/>
    <s v="과천안산선 180량"/>
  </r>
  <r>
    <n v="493"/>
    <x v="0"/>
    <x v="1"/>
    <x v="26"/>
    <x v="2"/>
    <x v="322"/>
    <s v="경인선 80량"/>
  </r>
  <r>
    <n v="494"/>
    <x v="0"/>
    <x v="4"/>
    <x v="11"/>
    <x v="0"/>
    <x v="323"/>
    <s v="1호선 40량"/>
  </r>
  <r>
    <n v="495"/>
    <x v="0"/>
    <x v="0"/>
    <x v="18"/>
    <x v="2"/>
    <x v="321"/>
    <s v="과천안산선 180량"/>
  </r>
  <r>
    <n v="496"/>
    <x v="0"/>
    <x v="1"/>
    <x v="25"/>
    <x v="2"/>
    <x v="221"/>
    <s v="과천안산선 180량"/>
  </r>
  <r>
    <n v="497"/>
    <x v="0"/>
    <x v="3"/>
    <x v="26"/>
    <x v="2"/>
    <x v="221"/>
    <s v="과천안산선 180량"/>
  </r>
  <r>
    <n v="498"/>
    <x v="0"/>
    <x v="1"/>
    <x v="26"/>
    <x v="2"/>
    <x v="221"/>
    <s v="과천안산선 180량"/>
  </r>
  <r>
    <n v="499"/>
    <x v="0"/>
    <x v="3"/>
    <x v="9"/>
    <x v="2"/>
    <x v="324"/>
    <s v="경인선 80량"/>
  </r>
  <r>
    <n v="500"/>
    <x v="0"/>
    <x v="3"/>
    <x v="12"/>
    <x v="2"/>
    <x v="324"/>
    <s v="경인선 80량"/>
  </r>
  <r>
    <n v="501"/>
    <x v="1"/>
    <x v="3"/>
    <x v="29"/>
    <x v="2"/>
    <x v="324"/>
    <s v="경인선 80량"/>
  </r>
  <r>
    <n v="502"/>
    <x v="0"/>
    <x v="3"/>
    <x v="27"/>
    <x v="2"/>
    <x v="324"/>
    <s v="경인선 80량"/>
  </r>
  <r>
    <n v="503"/>
    <x v="0"/>
    <x v="3"/>
    <x v="13"/>
    <x v="2"/>
    <x v="325"/>
    <s v="분당선 108량"/>
  </r>
  <r>
    <n v="504"/>
    <x v="1"/>
    <x v="5"/>
    <x v="10"/>
    <x v="2"/>
    <x v="1"/>
    <s v="과천안산선 180량"/>
  </r>
  <r>
    <n v="505"/>
    <x v="2"/>
    <x v="3"/>
    <x v="17"/>
    <x v="2"/>
    <x v="326"/>
    <s v="경인선 80량"/>
  </r>
  <r>
    <n v="506"/>
    <x v="0"/>
    <x v="4"/>
    <x v="11"/>
    <x v="2"/>
    <x v="327"/>
    <s v="경인선 80량"/>
  </r>
  <r>
    <n v="507"/>
    <x v="2"/>
    <x v="6"/>
    <x v="18"/>
    <x v="0"/>
    <x v="328"/>
    <s v="과천안산선 70량"/>
  </r>
  <r>
    <n v="508"/>
    <x v="1"/>
    <x v="5"/>
    <x v="10"/>
    <x v="2"/>
    <x v="1"/>
    <s v="경인선 80량"/>
  </r>
  <r>
    <n v="509"/>
    <x v="2"/>
    <x v="6"/>
    <x v="18"/>
    <x v="2"/>
    <x v="329"/>
    <s v="과천안산선 180량"/>
  </r>
  <r>
    <n v="510"/>
    <x v="1"/>
    <x v="3"/>
    <x v="25"/>
    <x v="2"/>
    <x v="162"/>
    <s v="분당선 108량"/>
  </r>
  <r>
    <n v="511"/>
    <x v="2"/>
    <x v="6"/>
    <x v="18"/>
    <x v="0"/>
    <x v="330"/>
    <s v="과천안산선 70량"/>
  </r>
  <r>
    <n v="512"/>
    <x v="1"/>
    <x v="3"/>
    <x v="29"/>
    <x v="2"/>
    <x v="156"/>
    <s v="과천안산선 180량"/>
  </r>
  <r>
    <n v="513"/>
    <x v="2"/>
    <x v="6"/>
    <x v="4"/>
    <x v="2"/>
    <x v="156"/>
    <s v="과천안산선 180량"/>
  </r>
  <r>
    <n v="514"/>
    <x v="1"/>
    <x v="5"/>
    <x v="10"/>
    <x v="2"/>
    <x v="1"/>
    <s v="과천안산선 180량"/>
  </r>
  <r>
    <n v="515"/>
    <x v="2"/>
    <x v="6"/>
    <x v="6"/>
    <x v="2"/>
    <x v="331"/>
    <s v="경인선 80량"/>
  </r>
  <r>
    <n v="516"/>
    <x v="1"/>
    <x v="3"/>
    <x v="29"/>
    <x v="2"/>
    <x v="331"/>
    <s v="경인선 80량"/>
  </r>
  <r>
    <n v="517"/>
    <x v="0"/>
    <x v="3"/>
    <x v="12"/>
    <x v="0"/>
    <x v="332"/>
    <s v="과천안산선 70량"/>
  </r>
  <r>
    <n v="518"/>
    <x v="0"/>
    <x v="0"/>
    <x v="1"/>
    <x v="2"/>
    <x v="156"/>
    <s v="과천안산선 180량"/>
  </r>
  <r>
    <n v="519"/>
    <x v="2"/>
    <x v="3"/>
    <x v="8"/>
    <x v="2"/>
    <x v="329"/>
    <s v="과천안산선 180량"/>
  </r>
  <r>
    <n v="520"/>
    <x v="0"/>
    <x v="3"/>
    <x v="12"/>
    <x v="0"/>
    <x v="333"/>
    <s v="과천안산선 70량"/>
  </r>
  <r>
    <n v="521"/>
    <x v="0"/>
    <x v="1"/>
    <x v="26"/>
    <x v="2"/>
    <x v="334"/>
    <s v="과천안산선 180량"/>
  </r>
  <r>
    <n v="522"/>
    <x v="2"/>
    <x v="6"/>
    <x v="3"/>
    <x v="2"/>
    <x v="335"/>
    <s v="경인선 80량"/>
  </r>
  <r>
    <n v="523"/>
    <x v="2"/>
    <x v="0"/>
    <x v="17"/>
    <x v="0"/>
    <x v="336"/>
    <s v="과천안산선 70량"/>
  </r>
  <r>
    <n v="524"/>
    <x v="0"/>
    <x v="3"/>
    <x v="38"/>
    <x v="0"/>
    <x v="148"/>
    <s v="과천안산선 70량"/>
  </r>
  <r>
    <n v="525"/>
    <x v="1"/>
    <x v="3"/>
    <x v="39"/>
    <x v="0"/>
    <x v="336"/>
    <s v="과천안산선 70량"/>
  </r>
  <r>
    <n v="526"/>
    <x v="1"/>
    <x v="5"/>
    <x v="10"/>
    <x v="0"/>
    <x v="1"/>
    <s v="과천안산선 70량"/>
  </r>
  <r>
    <n v="527"/>
    <x v="0"/>
    <x v="4"/>
    <x v="11"/>
    <x v="2"/>
    <x v="160"/>
    <s v="과천안산선 180량"/>
  </r>
  <r>
    <n v="528"/>
    <x v="0"/>
    <x v="3"/>
    <x v="33"/>
    <x v="2"/>
    <x v="337"/>
    <s v="분당선 108량"/>
  </r>
  <r>
    <n v="529"/>
    <x v="0"/>
    <x v="1"/>
    <x v="26"/>
    <x v="2"/>
    <x v="338"/>
    <s v="과천안산선 180량"/>
  </r>
  <r>
    <n v="530"/>
    <x v="2"/>
    <x v="6"/>
    <x v="40"/>
    <x v="0"/>
    <x v="339"/>
    <s v="과천안산선 70량"/>
  </r>
  <r>
    <n v="531"/>
    <x v="0"/>
    <x v="3"/>
    <x v="31"/>
    <x v="0"/>
    <x v="340"/>
    <s v="과천안산선 70량"/>
  </r>
  <r>
    <n v="532"/>
    <x v="0"/>
    <x v="2"/>
    <x v="13"/>
    <x v="2"/>
    <x v="341"/>
    <s v="분당선 108량"/>
  </r>
  <r>
    <n v="533"/>
    <x v="0"/>
    <x v="0"/>
    <x v="3"/>
    <x v="2"/>
    <x v="48"/>
    <s v="분당선 108량"/>
  </r>
  <r>
    <n v="534"/>
    <x v="0"/>
    <x v="3"/>
    <x v="31"/>
    <x v="0"/>
    <x v="316"/>
    <s v="과천안산선 70량"/>
  </r>
  <r>
    <n v="535"/>
    <x v="0"/>
    <x v="3"/>
    <x v="38"/>
    <x v="0"/>
    <x v="316"/>
    <s v="과천안산선 70량"/>
  </r>
  <r>
    <n v="536"/>
    <x v="1"/>
    <x v="5"/>
    <x v="10"/>
    <x v="2"/>
    <x v="1"/>
    <s v="분당선 108량"/>
  </r>
  <r>
    <n v="537"/>
    <x v="1"/>
    <x v="6"/>
    <x v="5"/>
    <x v="0"/>
    <x v="342"/>
    <s v="과천안산선 70량"/>
  </r>
  <r>
    <n v="538"/>
    <x v="2"/>
    <x v="6"/>
    <x v="12"/>
    <x v="2"/>
    <x v="237"/>
    <s v="경인선 80량"/>
  </r>
  <r>
    <n v="539"/>
    <x v="0"/>
    <x v="0"/>
    <x v="5"/>
    <x v="0"/>
    <x v="343"/>
    <s v="과천안산선 70량"/>
  </r>
  <r>
    <n v="540"/>
    <x v="0"/>
    <x v="1"/>
    <x v="3"/>
    <x v="2"/>
    <x v="344"/>
    <s v="분당선 108량"/>
  </r>
  <r>
    <n v="541"/>
    <x v="0"/>
    <x v="4"/>
    <x v="11"/>
    <x v="0"/>
    <x v="345"/>
    <s v="과천안산선 70량"/>
  </r>
  <r>
    <n v="542"/>
    <x v="0"/>
    <x v="2"/>
    <x v="8"/>
    <x v="0"/>
    <x v="211"/>
    <s v="과천안산선 70량"/>
  </r>
  <r>
    <n v="543"/>
    <x v="0"/>
    <x v="1"/>
    <x v="3"/>
    <x v="2"/>
    <x v="240"/>
    <s v="과천안산선 180량"/>
  </r>
  <r>
    <n v="544"/>
    <x v="0"/>
    <x v="1"/>
    <x v="8"/>
    <x v="0"/>
    <x v="343"/>
    <s v="과천안산선 70량"/>
  </r>
  <r>
    <n v="545"/>
    <x v="1"/>
    <x v="5"/>
    <x v="10"/>
    <x v="2"/>
    <x v="1"/>
    <s v="과천안산선 180량"/>
  </r>
  <r>
    <n v="546"/>
    <x v="0"/>
    <x v="3"/>
    <x v="41"/>
    <x v="2"/>
    <x v="346"/>
    <s v="과천안산선 180량"/>
  </r>
  <r>
    <n v="547"/>
    <x v="0"/>
    <x v="0"/>
    <x v="26"/>
    <x v="0"/>
    <x v="347"/>
    <s v="1호선 40량"/>
  </r>
  <r>
    <n v="548"/>
    <x v="2"/>
    <x v="6"/>
    <x v="17"/>
    <x v="2"/>
    <x v="348"/>
    <s v="경인선 80량"/>
  </r>
  <r>
    <n v="549"/>
    <x v="2"/>
    <x v="3"/>
    <x v="5"/>
    <x v="2"/>
    <x v="349"/>
    <s v="경인선 80량"/>
  </r>
  <r>
    <n v="550"/>
    <x v="2"/>
    <x v="3"/>
    <x v="18"/>
    <x v="2"/>
    <x v="178"/>
    <s v="분당선 108량"/>
  </r>
  <r>
    <n v="551"/>
    <x v="0"/>
    <x v="0"/>
    <x v="8"/>
    <x v="2"/>
    <x v="245"/>
    <s v="과천안산선 180량"/>
  </r>
  <r>
    <n v="552"/>
    <x v="0"/>
    <x v="0"/>
    <x v="21"/>
    <x v="2"/>
    <x v="350"/>
    <s v="경인선 80량"/>
  </r>
  <r>
    <n v="553"/>
    <x v="0"/>
    <x v="1"/>
    <x v="3"/>
    <x v="2"/>
    <x v="350"/>
    <s v="경인선 80량"/>
  </r>
  <r>
    <n v="554"/>
    <x v="1"/>
    <x v="4"/>
    <x v="11"/>
    <x v="2"/>
    <x v="351"/>
    <s v="과천안산선 180량"/>
  </r>
  <r>
    <n v="555"/>
    <x v="2"/>
    <x v="6"/>
    <x v="17"/>
    <x v="2"/>
    <x v="352"/>
    <s v="경인선 80량"/>
  </r>
  <r>
    <n v="556"/>
    <x v="2"/>
    <x v="6"/>
    <x v="17"/>
    <x v="2"/>
    <x v="352"/>
    <s v="경인선 80량"/>
  </r>
  <r>
    <n v="557"/>
    <x v="0"/>
    <x v="0"/>
    <x v="26"/>
    <x v="0"/>
    <x v="353"/>
    <s v="1호선 40량"/>
  </r>
  <r>
    <n v="558"/>
    <x v="2"/>
    <x v="0"/>
    <x v="32"/>
    <x v="2"/>
    <x v="354"/>
    <s v="과천안산선 180량"/>
  </r>
  <r>
    <n v="559"/>
    <x v="0"/>
    <x v="3"/>
    <x v="26"/>
    <x v="0"/>
    <x v="355"/>
    <s v="1호선 40량"/>
  </r>
  <r>
    <n v="560"/>
    <x v="0"/>
    <x v="0"/>
    <x v="26"/>
    <x v="0"/>
    <x v="356"/>
    <s v="1호선 40량"/>
  </r>
  <r>
    <n v="561"/>
    <x v="2"/>
    <x v="6"/>
    <x v="32"/>
    <x v="2"/>
    <x v="188"/>
    <s v="과천안산선 180량"/>
  </r>
  <r>
    <n v="562"/>
    <x v="0"/>
    <x v="0"/>
    <x v="4"/>
    <x v="2"/>
    <x v="188"/>
    <s v="과천안산선 180량"/>
  </r>
  <r>
    <n v="563"/>
    <x v="2"/>
    <x v="3"/>
    <x v="42"/>
    <x v="2"/>
    <x v="188"/>
    <s v="과천안산선 180량"/>
  </r>
  <r>
    <n v="564"/>
    <x v="0"/>
    <x v="4"/>
    <x v="13"/>
    <x v="2"/>
    <x v="357"/>
    <s v="과천안산선 180량"/>
  </r>
  <r>
    <n v="565"/>
    <x v="0"/>
    <x v="4"/>
    <x v="26"/>
    <x v="0"/>
    <x v="330"/>
    <s v="과천안산선 70량"/>
  </r>
  <r>
    <n v="566"/>
    <x v="2"/>
    <x v="6"/>
    <x v="1"/>
    <x v="2"/>
    <x v="105"/>
    <s v="과천안산선 180량"/>
  </r>
  <r>
    <n v="567"/>
    <x v="2"/>
    <x v="6"/>
    <x v="18"/>
    <x v="2"/>
    <x v="113"/>
    <s v="과천안산선 180량"/>
  </r>
  <r>
    <n v="568"/>
    <x v="1"/>
    <x v="5"/>
    <x v="10"/>
    <x v="2"/>
    <x v="1"/>
    <s v="과천안산선 180량"/>
  </r>
  <r>
    <n v="569"/>
    <x v="1"/>
    <x v="3"/>
    <x v="8"/>
    <x v="2"/>
    <x v="358"/>
    <s v="과천안산선 180량"/>
  </r>
  <r>
    <n v="570"/>
    <x v="0"/>
    <x v="0"/>
    <x v="13"/>
    <x v="2"/>
    <x v="359"/>
    <s v="분당선 108량"/>
  </r>
  <r>
    <n v="571"/>
    <x v="0"/>
    <x v="0"/>
    <x v="3"/>
    <x v="2"/>
    <x v="360"/>
    <s v="과천안산선 180량"/>
  </r>
  <r>
    <n v="572"/>
    <x v="0"/>
    <x v="1"/>
    <x v="8"/>
    <x v="0"/>
    <x v="310"/>
    <s v="과천안산선 70량"/>
  </r>
  <r>
    <n v="573"/>
    <x v="0"/>
    <x v="1"/>
    <x v="8"/>
    <x v="2"/>
    <x v="360"/>
    <s v="과천안산선 180량"/>
  </r>
  <r>
    <n v="574"/>
    <x v="2"/>
    <x v="6"/>
    <x v="43"/>
    <x v="0"/>
    <x v="361"/>
    <s v="1호선 40량"/>
  </r>
  <r>
    <n v="575"/>
    <x v="0"/>
    <x v="3"/>
    <x v="1"/>
    <x v="2"/>
    <x v="362"/>
    <s v="분당선 108량"/>
  </r>
  <r>
    <n v="576"/>
    <x v="0"/>
    <x v="2"/>
    <x v="26"/>
    <x v="0"/>
    <x v="363"/>
    <s v="과천안산선 70량"/>
  </r>
  <r>
    <n v="577"/>
    <x v="0"/>
    <x v="3"/>
    <x v="18"/>
    <x v="2"/>
    <x v="364"/>
    <s v="분당선 108량"/>
  </r>
  <r>
    <n v="578"/>
    <x v="0"/>
    <x v="2"/>
    <x v="26"/>
    <x v="0"/>
    <x v="363"/>
    <s v="과천안산선 70량"/>
  </r>
  <r>
    <n v="579"/>
    <x v="1"/>
    <x v="2"/>
    <x v="1"/>
    <x v="2"/>
    <x v="365"/>
    <s v="과천안산선 180량"/>
  </r>
  <r>
    <n v="580"/>
    <x v="2"/>
    <x v="6"/>
    <x v="8"/>
    <x v="0"/>
    <x v="366"/>
    <s v="경원선 18량"/>
  </r>
  <r>
    <n v="581"/>
    <x v="1"/>
    <x v="5"/>
    <x v="10"/>
    <x v="2"/>
    <x v="1"/>
    <s v="과천안산선 180량"/>
  </r>
  <r>
    <n v="582"/>
    <x v="1"/>
    <x v="5"/>
    <x v="10"/>
    <x v="0"/>
    <x v="1"/>
    <s v="경원선 18량"/>
  </r>
  <r>
    <n v="583"/>
    <x v="0"/>
    <x v="4"/>
    <x v="13"/>
    <x v="2"/>
    <x v="308"/>
    <s v="과천안산선 180량"/>
  </r>
  <r>
    <n v="584"/>
    <x v="0"/>
    <x v="2"/>
    <x v="26"/>
    <x v="0"/>
    <x v="367"/>
    <s v="과천안산선 70량"/>
  </r>
  <r>
    <n v="585"/>
    <x v="2"/>
    <x v="6"/>
    <x v="12"/>
    <x v="2"/>
    <x v="260"/>
    <s v="경인선 80량"/>
  </r>
  <r>
    <n v="586"/>
    <x v="1"/>
    <x v="5"/>
    <x v="10"/>
    <x v="2"/>
    <x v="1"/>
    <s v="과천안산선 180량"/>
  </r>
  <r>
    <n v="587"/>
    <x v="0"/>
    <x v="2"/>
    <x v="26"/>
    <x v="2"/>
    <x v="368"/>
    <s v="경인선 80량"/>
  </r>
  <r>
    <n v="588"/>
    <x v="0"/>
    <x v="3"/>
    <x v="4"/>
    <x v="2"/>
    <x v="369"/>
    <s v="과천안산선 180량"/>
  </r>
  <r>
    <n v="589"/>
    <x v="1"/>
    <x v="3"/>
    <x v="8"/>
    <x v="2"/>
    <x v="370"/>
    <s v="경인선 80량"/>
  </r>
  <r>
    <n v="590"/>
    <x v="1"/>
    <x v="6"/>
    <x v="8"/>
    <x v="0"/>
    <x v="371"/>
    <s v="과천안산선 70량"/>
  </r>
  <r>
    <n v="591"/>
    <x v="1"/>
    <x v="5"/>
    <x v="10"/>
    <x v="2"/>
    <x v="1"/>
    <s v="과천안산선 180량"/>
  </r>
  <r>
    <n v="592"/>
    <x v="2"/>
    <x v="0"/>
    <x v="32"/>
    <x v="2"/>
    <x v="370"/>
    <s v="경인선 80량"/>
  </r>
  <r>
    <n v="593"/>
    <x v="2"/>
    <x v="6"/>
    <x v="25"/>
    <x v="2"/>
    <x v="370"/>
    <s v="경인선 80량"/>
  </r>
  <r>
    <n v="594"/>
    <x v="2"/>
    <x v="6"/>
    <x v="3"/>
    <x v="2"/>
    <x v="372"/>
    <s v="과천안산선 180량"/>
  </r>
  <r>
    <n v="595"/>
    <x v="0"/>
    <x v="3"/>
    <x v="4"/>
    <x v="2"/>
    <x v="373"/>
    <s v="과천안산선 180량"/>
  </r>
  <r>
    <n v="596"/>
    <x v="0"/>
    <x v="4"/>
    <x v="26"/>
    <x v="2"/>
    <x v="372"/>
    <s v="과천안산선 180량"/>
  </r>
  <r>
    <n v="597"/>
    <x v="2"/>
    <x v="6"/>
    <x v="3"/>
    <x v="0"/>
    <x v="374"/>
    <s v="1호선 40량"/>
  </r>
  <r>
    <n v="598"/>
    <x v="2"/>
    <x v="6"/>
    <x v="44"/>
    <x v="0"/>
    <x v="375"/>
    <s v="과천안산선 70량"/>
  </r>
  <r>
    <n v="599"/>
    <x v="0"/>
    <x v="3"/>
    <x v="23"/>
    <x v="2"/>
    <x v="372"/>
    <s v="분당선 108량"/>
  </r>
  <r>
    <n v="600"/>
    <x v="0"/>
    <x v="4"/>
    <x v="13"/>
    <x v="2"/>
    <x v="145"/>
    <s v="과천안산선 180량"/>
  </r>
  <r>
    <n v="601"/>
    <x v="1"/>
    <x v="5"/>
    <x v="10"/>
    <x v="2"/>
    <x v="1"/>
    <s v="분당선 108량"/>
  </r>
  <r>
    <n v="602"/>
    <x v="0"/>
    <x v="0"/>
    <x v="35"/>
    <x v="0"/>
    <x v="180"/>
    <s v="과천안산선 70량"/>
  </r>
  <r>
    <n v="603"/>
    <x v="0"/>
    <x v="3"/>
    <x v="27"/>
    <x v="0"/>
    <x v="376"/>
    <s v="과천안산선 70량"/>
  </r>
  <r>
    <n v="604"/>
    <x v="1"/>
    <x v="5"/>
    <x v="10"/>
    <x v="0"/>
    <x v="1"/>
    <s v="과천안산선 70량"/>
  </r>
  <r>
    <n v="605"/>
    <x v="0"/>
    <x v="3"/>
    <x v="4"/>
    <x v="2"/>
    <x v="377"/>
    <s v="분당선 108량"/>
  </r>
  <r>
    <n v="606"/>
    <x v="0"/>
    <x v="3"/>
    <x v="4"/>
    <x v="2"/>
    <x v="378"/>
    <s v="과천안산선 180량"/>
  </r>
  <r>
    <n v="607"/>
    <x v="2"/>
    <x v="0"/>
    <x v="0"/>
    <x v="0"/>
    <x v="379"/>
    <s v="과천안산선 70량"/>
  </r>
  <r>
    <n v="608"/>
    <x v="2"/>
    <x v="4"/>
    <x v="17"/>
    <x v="1"/>
    <x v="1"/>
    <s v="동해선 28량"/>
  </r>
  <r>
    <n v="609"/>
    <x v="1"/>
    <x v="5"/>
    <x v="10"/>
    <x v="2"/>
    <x v="1"/>
    <s v="과천안산선 180량"/>
  </r>
  <r>
    <n v="610"/>
    <x v="1"/>
    <x v="5"/>
    <x v="10"/>
    <x v="2"/>
    <x v="1"/>
    <s v="과천안산선 180량"/>
  </r>
  <r>
    <n v="611"/>
    <x v="2"/>
    <x v="6"/>
    <x v="41"/>
    <x v="0"/>
    <x v="207"/>
    <s v="과천안산선 70량"/>
  </r>
  <r>
    <n v="612"/>
    <x v="0"/>
    <x v="3"/>
    <x v="9"/>
    <x v="2"/>
    <x v="265"/>
    <s v="과천안산선 180량"/>
  </r>
  <r>
    <n v="613"/>
    <x v="0"/>
    <x v="1"/>
    <x v="8"/>
    <x v="2"/>
    <x v="224"/>
    <s v="분당선 108량"/>
  </r>
  <r>
    <n v="614"/>
    <x v="1"/>
    <x v="3"/>
    <x v="1"/>
    <x v="2"/>
    <x v="213"/>
    <s v="분당선 108량"/>
  </r>
  <r>
    <n v="615"/>
    <x v="2"/>
    <x v="0"/>
    <x v="13"/>
    <x v="2"/>
    <x v="68"/>
    <s v="분당선 108량"/>
  </r>
  <r>
    <n v="616"/>
    <x v="0"/>
    <x v="3"/>
    <x v="4"/>
    <x v="2"/>
    <x v="380"/>
    <s v="과천안산선 180량"/>
  </r>
  <r>
    <n v="617"/>
    <x v="0"/>
    <x v="3"/>
    <x v="4"/>
    <x v="2"/>
    <x v="380"/>
    <s v="과천안산선 180량"/>
  </r>
  <r>
    <n v="618"/>
    <x v="2"/>
    <x v="6"/>
    <x v="3"/>
    <x v="0"/>
    <x v="381"/>
    <s v="1호선 40량"/>
  </r>
  <r>
    <n v="619"/>
    <x v="0"/>
    <x v="1"/>
    <x v="25"/>
    <x v="2"/>
    <x v="267"/>
    <s v="분당선 108량"/>
  </r>
  <r>
    <n v="620"/>
    <x v="1"/>
    <x v="5"/>
    <x v="10"/>
    <x v="3"/>
    <x v="8"/>
    <e v="#N/A"/>
  </r>
  <r>
    <n v="621"/>
    <x v="0"/>
    <x v="1"/>
    <x v="26"/>
    <x v="2"/>
    <x v="382"/>
    <s v="과천안산선 180량"/>
  </r>
  <r>
    <n v="622"/>
    <x v="0"/>
    <x v="3"/>
    <x v="4"/>
    <x v="2"/>
    <x v="383"/>
    <s v="과천안산선 180량"/>
  </r>
  <r>
    <n v="623"/>
    <x v="2"/>
    <x v="6"/>
    <x v="4"/>
    <x v="2"/>
    <x v="154"/>
    <s v="과천안산선 180량"/>
  </r>
  <r>
    <n v="624"/>
    <x v="2"/>
    <x v="3"/>
    <x v="18"/>
    <x v="2"/>
    <x v="384"/>
    <s v="분당선 108량"/>
  </r>
  <r>
    <n v="625"/>
    <x v="0"/>
    <x v="0"/>
    <x v="3"/>
    <x v="2"/>
    <x v="385"/>
    <s v="과천안산선 180량"/>
  </r>
  <r>
    <n v="626"/>
    <x v="2"/>
    <x v="0"/>
    <x v="5"/>
    <x v="0"/>
    <x v="386"/>
    <s v="1호선 40량"/>
  </r>
  <r>
    <n v="627"/>
    <x v="0"/>
    <x v="2"/>
    <x v="26"/>
    <x v="2"/>
    <x v="387"/>
    <s v="분당선 108량"/>
  </r>
  <r>
    <n v="628"/>
    <x v="0"/>
    <x v="0"/>
    <x v="35"/>
    <x v="0"/>
    <x v="388"/>
    <s v="과천안산선 70량"/>
  </r>
  <r>
    <n v="629"/>
    <x v="0"/>
    <x v="4"/>
    <x v="7"/>
    <x v="0"/>
    <x v="389"/>
    <s v="과천안산선 70량"/>
  </r>
  <r>
    <n v="630"/>
    <x v="2"/>
    <x v="6"/>
    <x v="3"/>
    <x v="0"/>
    <x v="390"/>
    <s v="1호선 40량"/>
  </r>
  <r>
    <n v="631"/>
    <x v="1"/>
    <x v="3"/>
    <x v="5"/>
    <x v="0"/>
    <x v="333"/>
    <s v="과천안산선 70량"/>
  </r>
  <r>
    <n v="632"/>
    <x v="1"/>
    <x v="5"/>
    <x v="10"/>
    <x v="2"/>
    <x v="1"/>
    <s v="과천안산선 180량"/>
  </r>
  <r>
    <n v="633"/>
    <x v="0"/>
    <x v="3"/>
    <x v="27"/>
    <x v="0"/>
    <x v="333"/>
    <s v="과천안산선 70량"/>
  </r>
  <r>
    <n v="634"/>
    <x v="0"/>
    <x v="4"/>
    <x v="11"/>
    <x v="2"/>
    <x v="391"/>
    <s v="과천안산선 180량"/>
  </r>
  <r>
    <n v="635"/>
    <x v="0"/>
    <x v="0"/>
    <x v="12"/>
    <x v="2"/>
    <x v="391"/>
    <s v="과천안산선 180량"/>
  </r>
  <r>
    <n v="636"/>
    <x v="0"/>
    <x v="2"/>
    <x v="26"/>
    <x v="2"/>
    <x v="392"/>
    <s v="경인선 80량"/>
  </r>
  <r>
    <n v="637"/>
    <x v="0"/>
    <x v="4"/>
    <x v="13"/>
    <x v="2"/>
    <x v="393"/>
    <s v="과천안산선 180량"/>
  </r>
  <r>
    <n v="638"/>
    <x v="1"/>
    <x v="5"/>
    <x v="10"/>
    <x v="2"/>
    <x v="1"/>
    <s v="과천안산선 180량"/>
  </r>
  <r>
    <n v="639"/>
    <x v="2"/>
    <x v="3"/>
    <x v="18"/>
    <x v="2"/>
    <x v="329"/>
    <s v="과천안산선 180량"/>
  </r>
  <r>
    <n v="640"/>
    <x v="1"/>
    <x v="5"/>
    <x v="10"/>
    <x v="2"/>
    <x v="1"/>
    <s v="과천안산선 180량"/>
  </r>
  <r>
    <n v="641"/>
    <x v="0"/>
    <x v="3"/>
    <x v="23"/>
    <x v="2"/>
    <x v="394"/>
    <s v="과천안산선 180량"/>
  </r>
  <r>
    <n v="642"/>
    <x v="1"/>
    <x v="6"/>
    <x v="17"/>
    <x v="2"/>
    <x v="227"/>
    <s v="과천안산선 180량"/>
  </r>
  <r>
    <n v="643"/>
    <x v="2"/>
    <x v="6"/>
    <x v="18"/>
    <x v="2"/>
    <x v="395"/>
    <s v="과천안산선 180량"/>
  </r>
  <r>
    <n v="644"/>
    <x v="0"/>
    <x v="3"/>
    <x v="15"/>
    <x v="0"/>
    <x v="396"/>
    <s v="과천안산선 70량"/>
  </r>
  <r>
    <n v="645"/>
    <x v="0"/>
    <x v="4"/>
    <x v="11"/>
    <x v="2"/>
    <x v="397"/>
    <s v="경인선 80량"/>
  </r>
  <r>
    <n v="646"/>
    <x v="2"/>
    <x v="4"/>
    <x v="17"/>
    <x v="0"/>
    <x v="398"/>
    <s v="과천안산선 70량"/>
  </r>
  <r>
    <n v="647"/>
    <x v="2"/>
    <x v="6"/>
    <x v="41"/>
    <x v="0"/>
    <x v="399"/>
    <s v="과천안산선 70량"/>
  </r>
  <r>
    <n v="648"/>
    <x v="0"/>
    <x v="3"/>
    <x v="27"/>
    <x v="0"/>
    <x v="399"/>
    <s v="과천안산선 70량"/>
  </r>
  <r>
    <n v="649"/>
    <x v="1"/>
    <x v="3"/>
    <x v="26"/>
    <x v="0"/>
    <x v="399"/>
    <s v="과천안산선 70량"/>
  </r>
  <r>
    <n v="650"/>
    <x v="2"/>
    <x v="0"/>
    <x v="1"/>
    <x v="2"/>
    <x v="400"/>
    <s v="과천안산선 180량"/>
  </r>
  <r>
    <n v="651"/>
    <x v="0"/>
    <x v="4"/>
    <x v="11"/>
    <x v="2"/>
    <x v="232"/>
    <s v="과천안산선 180량"/>
  </r>
  <r>
    <n v="652"/>
    <x v="1"/>
    <x v="5"/>
    <x v="10"/>
    <x v="2"/>
    <x v="1"/>
    <s v="과천안산선 180량"/>
  </r>
  <r>
    <n v="653"/>
    <x v="1"/>
    <x v="6"/>
    <x v="1"/>
    <x v="2"/>
    <x v="103"/>
    <s v="과천안산선 180량"/>
  </r>
  <r>
    <n v="654"/>
    <x v="2"/>
    <x v="3"/>
    <x v="18"/>
    <x v="2"/>
    <x v="401"/>
    <s v="과천안산선 180량"/>
  </r>
  <r>
    <n v="655"/>
    <x v="1"/>
    <x v="5"/>
    <x v="10"/>
    <x v="2"/>
    <x v="1"/>
    <s v="경인선 80량"/>
  </r>
  <r>
    <n v="656"/>
    <x v="1"/>
    <x v="5"/>
    <x v="10"/>
    <x v="2"/>
    <x v="1"/>
    <s v="과천안산선 180량"/>
  </r>
  <r>
    <n v="657"/>
    <x v="0"/>
    <x v="1"/>
    <x v="26"/>
    <x v="2"/>
    <x v="402"/>
    <s v="경인선 80량"/>
  </r>
  <r>
    <n v="658"/>
    <x v="2"/>
    <x v="6"/>
    <x v="45"/>
    <x v="2"/>
    <x v="82"/>
    <s v="과천안산선 180량"/>
  </r>
  <r>
    <n v="659"/>
    <x v="0"/>
    <x v="0"/>
    <x v="3"/>
    <x v="2"/>
    <x v="82"/>
    <s v="과천안산선 180량"/>
  </r>
  <r>
    <n v="660"/>
    <x v="0"/>
    <x v="3"/>
    <x v="23"/>
    <x v="2"/>
    <x v="82"/>
    <s v="과천안산선 180량"/>
  </r>
  <r>
    <n v="661"/>
    <x v="0"/>
    <x v="4"/>
    <x v="11"/>
    <x v="2"/>
    <x v="287"/>
    <s v="과천안산선 180량"/>
  </r>
  <r>
    <n v="662"/>
    <x v="2"/>
    <x v="0"/>
    <x v="32"/>
    <x v="2"/>
    <x v="170"/>
    <s v="과천안산선 180량"/>
  </r>
  <r>
    <n v="663"/>
    <x v="0"/>
    <x v="1"/>
    <x v="3"/>
    <x v="2"/>
    <x v="403"/>
    <s v="경인선 80량"/>
  </r>
  <r>
    <n v="664"/>
    <x v="0"/>
    <x v="0"/>
    <x v="3"/>
    <x v="2"/>
    <x v="289"/>
    <s v="과천안산선 180량"/>
  </r>
  <r>
    <n v="665"/>
    <x v="0"/>
    <x v="4"/>
    <x v="11"/>
    <x v="2"/>
    <x v="232"/>
    <s v="과천안산선 180량"/>
  </r>
  <r>
    <n v="666"/>
    <x v="0"/>
    <x v="3"/>
    <x v="4"/>
    <x v="2"/>
    <x v="404"/>
    <s v="분당선 108량"/>
  </r>
  <r>
    <n v="667"/>
    <x v="0"/>
    <x v="4"/>
    <x v="3"/>
    <x v="2"/>
    <x v="405"/>
    <s v="분당선 108량"/>
  </r>
  <r>
    <n v="668"/>
    <x v="0"/>
    <x v="0"/>
    <x v="0"/>
    <x v="2"/>
    <x v="406"/>
    <s v="경인선 80량"/>
  </r>
  <r>
    <n v="669"/>
    <x v="1"/>
    <x v="5"/>
    <x v="10"/>
    <x v="2"/>
    <x v="1"/>
    <s v="과천안산선 180량"/>
  </r>
  <r>
    <n v="670"/>
    <x v="0"/>
    <x v="3"/>
    <x v="15"/>
    <x v="0"/>
    <x v="407"/>
    <s v="과천안산선 70량"/>
  </r>
  <r>
    <n v="671"/>
    <x v="1"/>
    <x v="5"/>
    <x v="10"/>
    <x v="0"/>
    <x v="1"/>
    <s v="과천안산선 70량"/>
  </r>
  <r>
    <n v="672"/>
    <x v="1"/>
    <x v="5"/>
    <x v="10"/>
    <x v="2"/>
    <x v="1"/>
    <s v="과천안산선 180량"/>
  </r>
  <r>
    <n v="673"/>
    <x v="1"/>
    <x v="5"/>
    <x v="10"/>
    <x v="2"/>
    <x v="1"/>
    <s v="과천안산선 180량"/>
  </r>
  <r>
    <n v="674"/>
    <x v="1"/>
    <x v="6"/>
    <x v="46"/>
    <x v="2"/>
    <x v="404"/>
    <s v="과천안산선 180량"/>
  </r>
  <r>
    <n v="675"/>
    <x v="2"/>
    <x v="0"/>
    <x v="32"/>
    <x v="2"/>
    <x v="404"/>
    <s v="과천안산선 180량"/>
  </r>
  <r>
    <n v="676"/>
    <x v="2"/>
    <x v="6"/>
    <x v="8"/>
    <x v="0"/>
    <x v="407"/>
    <s v="과천안산선 70량"/>
  </r>
  <r>
    <n v="677"/>
    <x v="0"/>
    <x v="3"/>
    <x v="15"/>
    <x v="0"/>
    <x v="407"/>
    <s v="과천안산선 70량"/>
  </r>
  <r>
    <n v="678"/>
    <x v="0"/>
    <x v="3"/>
    <x v="23"/>
    <x v="2"/>
    <x v="239"/>
    <s v="분당선 108량"/>
  </r>
  <r>
    <n v="679"/>
    <x v="0"/>
    <x v="0"/>
    <x v="3"/>
    <x v="2"/>
    <x v="291"/>
    <s v="과천안산선 180량"/>
  </r>
  <r>
    <n v="680"/>
    <x v="1"/>
    <x v="5"/>
    <x v="10"/>
    <x v="3"/>
    <x v="8"/>
    <e v="#N/A"/>
  </r>
  <r>
    <n v="681"/>
    <x v="1"/>
    <x v="0"/>
    <x v="8"/>
    <x v="2"/>
    <x v="408"/>
    <s v="과천안산선 180량"/>
  </r>
  <r>
    <n v="682"/>
    <x v="1"/>
    <x v="5"/>
    <x v="10"/>
    <x v="2"/>
    <x v="1"/>
    <s v="과천안산선 180량"/>
  </r>
  <r>
    <n v="683"/>
    <x v="1"/>
    <x v="5"/>
    <x v="10"/>
    <x v="2"/>
    <x v="1"/>
    <s v="과천안산선 180량"/>
  </r>
  <r>
    <n v="684"/>
    <x v="1"/>
    <x v="5"/>
    <x v="10"/>
    <x v="2"/>
    <x v="1"/>
    <s v="과천안산선 180량"/>
  </r>
  <r>
    <n v="685"/>
    <x v="1"/>
    <x v="5"/>
    <x v="10"/>
    <x v="2"/>
    <x v="1"/>
    <s v="과천안산선 180량"/>
  </r>
  <r>
    <n v="686"/>
    <x v="0"/>
    <x v="2"/>
    <x v="26"/>
    <x v="2"/>
    <x v="409"/>
    <s v="경인선 80량"/>
  </r>
  <r>
    <n v="687"/>
    <x v="0"/>
    <x v="1"/>
    <x v="3"/>
    <x v="2"/>
    <x v="409"/>
    <s v="경인선 80량"/>
  </r>
  <r>
    <n v="688"/>
    <x v="0"/>
    <x v="0"/>
    <x v="0"/>
    <x v="2"/>
    <x v="349"/>
    <s v="경인선 80량"/>
  </r>
  <r>
    <n v="689"/>
    <x v="0"/>
    <x v="3"/>
    <x v="23"/>
    <x v="2"/>
    <x v="410"/>
    <s v="경인선 80량"/>
  </r>
  <r>
    <n v="690"/>
    <x v="2"/>
    <x v="3"/>
    <x v="18"/>
    <x v="2"/>
    <x v="411"/>
    <s v="과천안산선 180량"/>
  </r>
  <r>
    <n v="691"/>
    <x v="0"/>
    <x v="1"/>
    <x v="26"/>
    <x v="2"/>
    <x v="412"/>
    <s v="분당선 108량"/>
  </r>
  <r>
    <n v="692"/>
    <x v="0"/>
    <x v="1"/>
    <x v="26"/>
    <x v="2"/>
    <x v="413"/>
    <s v="과천안산선 180량"/>
  </r>
  <r>
    <n v="693"/>
    <x v="1"/>
    <x v="5"/>
    <x v="10"/>
    <x v="2"/>
    <x v="1"/>
    <s v="과천안산선 180량"/>
  </r>
  <r>
    <n v="694"/>
    <x v="1"/>
    <x v="5"/>
    <x v="10"/>
    <x v="2"/>
    <x v="1"/>
    <s v="과천안산선 180량"/>
  </r>
  <r>
    <n v="695"/>
    <x v="1"/>
    <x v="5"/>
    <x v="10"/>
    <x v="2"/>
    <x v="1"/>
    <s v="과천안산선 180량"/>
  </r>
  <r>
    <n v="696"/>
    <x v="1"/>
    <x v="3"/>
    <x v="29"/>
    <x v="2"/>
    <x v="414"/>
    <s v="과천안산선 180량"/>
  </r>
  <r>
    <n v="697"/>
    <x v="1"/>
    <x v="5"/>
    <x v="10"/>
    <x v="2"/>
    <x v="1"/>
    <s v="과천안산선 180량"/>
  </r>
  <r>
    <n v="698"/>
    <x v="0"/>
    <x v="3"/>
    <x v="26"/>
    <x v="2"/>
    <x v="354"/>
    <s v="과천안산선 180량"/>
  </r>
  <r>
    <n v="699"/>
    <x v="1"/>
    <x v="5"/>
    <x v="10"/>
    <x v="0"/>
    <x v="1"/>
    <s v="1호선 40량"/>
  </r>
  <r>
    <n v="700"/>
    <x v="2"/>
    <x v="3"/>
    <x v="12"/>
    <x v="2"/>
    <x v="302"/>
    <s v="과천안산선 180량"/>
  </r>
  <r>
    <n v="701"/>
    <x v="2"/>
    <x v="0"/>
    <x v="39"/>
    <x v="2"/>
    <x v="50"/>
    <s v="분당선 108량"/>
  </r>
  <r>
    <n v="702"/>
    <x v="0"/>
    <x v="0"/>
    <x v="12"/>
    <x v="2"/>
    <x v="112"/>
    <s v="과천안산선 180량"/>
  </r>
  <r>
    <n v="703"/>
    <x v="0"/>
    <x v="1"/>
    <x v="26"/>
    <x v="0"/>
    <x v="415"/>
    <s v="1호선 40량"/>
  </r>
  <r>
    <n v="704"/>
    <x v="0"/>
    <x v="1"/>
    <x v="26"/>
    <x v="2"/>
    <x v="416"/>
    <s v="경인선 80량"/>
  </r>
  <r>
    <n v="705"/>
    <x v="2"/>
    <x v="3"/>
    <x v="18"/>
    <x v="2"/>
    <x v="416"/>
    <s v="경인선 80량"/>
  </r>
  <r>
    <n v="706"/>
    <x v="2"/>
    <x v="1"/>
    <x v="3"/>
    <x v="2"/>
    <x v="416"/>
    <s v="경인선 80량"/>
  </r>
  <r>
    <n v="707"/>
    <x v="2"/>
    <x v="0"/>
    <x v="32"/>
    <x v="2"/>
    <x v="191"/>
    <s v="과천안산선 180량"/>
  </r>
  <r>
    <n v="708"/>
    <x v="2"/>
    <x v="0"/>
    <x v="37"/>
    <x v="2"/>
    <x v="303"/>
    <s v="과천안산선 180량"/>
  </r>
  <r>
    <n v="709"/>
    <x v="2"/>
    <x v="6"/>
    <x v="47"/>
    <x v="0"/>
    <x v="417"/>
    <s v="1호선 40량"/>
  </r>
  <r>
    <n v="710"/>
    <x v="0"/>
    <x v="4"/>
    <x v="11"/>
    <x v="2"/>
    <x v="418"/>
    <s v="분당선 108량"/>
  </r>
  <r>
    <n v="711"/>
    <x v="0"/>
    <x v="0"/>
    <x v="26"/>
    <x v="0"/>
    <x v="419"/>
    <s v="1호선 40량"/>
  </r>
  <r>
    <n v="712"/>
    <x v="2"/>
    <x v="6"/>
    <x v="4"/>
    <x v="2"/>
    <x v="76"/>
    <s v="과천안산선 180량"/>
  </r>
  <r>
    <n v="713"/>
    <x v="1"/>
    <x v="3"/>
    <x v="8"/>
    <x v="2"/>
    <x v="128"/>
    <s v="분당선 108량"/>
  </r>
  <r>
    <n v="714"/>
    <x v="2"/>
    <x v="6"/>
    <x v="8"/>
    <x v="0"/>
    <x v="420"/>
    <s v="과천안산선 70량"/>
  </r>
  <r>
    <n v="715"/>
    <x v="2"/>
    <x v="0"/>
    <x v="32"/>
    <x v="2"/>
    <x v="362"/>
    <s v="과천안산선 180량"/>
  </r>
  <r>
    <n v="716"/>
    <x v="1"/>
    <x v="5"/>
    <x v="10"/>
    <x v="2"/>
    <x v="1"/>
    <s v="과천안산선 180량"/>
  </r>
  <r>
    <n v="717"/>
    <x v="2"/>
    <x v="3"/>
    <x v="18"/>
    <x v="2"/>
    <x v="421"/>
    <s v="경인선 80량"/>
  </r>
  <r>
    <n v="718"/>
    <x v="2"/>
    <x v="6"/>
    <x v="3"/>
    <x v="0"/>
    <x v="328"/>
    <s v="과천안산선 70량"/>
  </r>
  <r>
    <n v="719"/>
    <x v="0"/>
    <x v="4"/>
    <x v="12"/>
    <x v="2"/>
    <x v="365"/>
    <s v="과천안산선 180량"/>
  </r>
  <r>
    <n v="720"/>
    <x v="0"/>
    <x v="4"/>
    <x v="26"/>
    <x v="2"/>
    <x v="365"/>
    <s v="분당선 108량"/>
  </r>
  <r>
    <n v="721"/>
    <x v="0"/>
    <x v="1"/>
    <x v="8"/>
    <x v="2"/>
    <x v="365"/>
    <s v="과천안산선 180량"/>
  </r>
  <r>
    <n v="722"/>
    <x v="0"/>
    <x v="2"/>
    <x v="5"/>
    <x v="2"/>
    <x v="422"/>
    <s v="경인선 80량"/>
  </r>
  <r>
    <n v="723"/>
    <x v="1"/>
    <x v="5"/>
    <x v="10"/>
    <x v="2"/>
    <x v="1"/>
    <s v="과천안산선 180량"/>
  </r>
  <r>
    <n v="724"/>
    <x v="1"/>
    <x v="3"/>
    <x v="3"/>
    <x v="2"/>
    <x v="423"/>
    <s v="과천안산선 180량"/>
  </r>
  <r>
    <n v="725"/>
    <x v="1"/>
    <x v="5"/>
    <x v="10"/>
    <x v="2"/>
    <x v="1"/>
    <s v="과천안산선 180량"/>
  </r>
  <r>
    <n v="726"/>
    <x v="1"/>
    <x v="5"/>
    <x v="10"/>
    <x v="2"/>
    <x v="1"/>
    <s v="과천안산선 180량"/>
  </r>
  <r>
    <n v="727"/>
    <x v="0"/>
    <x v="0"/>
    <x v="18"/>
    <x v="2"/>
    <x v="133"/>
    <s v="과천안산선 180량"/>
  </r>
  <r>
    <n v="728"/>
    <x v="0"/>
    <x v="1"/>
    <x v="3"/>
    <x v="2"/>
    <x v="257"/>
    <s v="과천안산선 180량"/>
  </r>
  <r>
    <n v="729"/>
    <x v="2"/>
    <x v="0"/>
    <x v="32"/>
    <x v="2"/>
    <x v="309"/>
    <s v="과천안산선 180량"/>
  </r>
  <r>
    <n v="730"/>
    <x v="0"/>
    <x v="2"/>
    <x v="8"/>
    <x v="2"/>
    <x v="260"/>
    <s v="과천안산선 180량"/>
  </r>
  <r>
    <n v="731"/>
    <x v="1"/>
    <x v="3"/>
    <x v="29"/>
    <x v="2"/>
    <x v="309"/>
    <s v="과천안산선 180량"/>
  </r>
  <r>
    <n v="732"/>
    <x v="1"/>
    <x v="5"/>
    <x v="10"/>
    <x v="2"/>
    <x v="1"/>
    <s v="과천안산선 180량"/>
  </r>
  <r>
    <n v="733"/>
    <x v="0"/>
    <x v="1"/>
    <x v="26"/>
    <x v="2"/>
    <x v="140"/>
    <s v="과천안산선 180량"/>
  </r>
  <r>
    <n v="734"/>
    <x v="0"/>
    <x v="1"/>
    <x v="3"/>
    <x v="2"/>
    <x v="424"/>
    <s v="과천안산선 180량"/>
  </r>
  <r>
    <n v="735"/>
    <x v="2"/>
    <x v="6"/>
    <x v="47"/>
    <x v="2"/>
    <x v="425"/>
    <s v="경인선 80량"/>
  </r>
  <r>
    <n v="736"/>
    <x v="2"/>
    <x v="0"/>
    <x v="18"/>
    <x v="2"/>
    <x v="426"/>
    <s v="분당선 108량"/>
  </r>
  <r>
    <n v="737"/>
    <x v="1"/>
    <x v="5"/>
    <x v="10"/>
    <x v="2"/>
    <x v="1"/>
    <s v="경인선 80량"/>
  </r>
  <r>
    <n v="738"/>
    <x v="0"/>
    <x v="4"/>
    <x v="11"/>
    <x v="2"/>
    <x v="427"/>
    <s v="분당선 108량"/>
  </r>
  <r>
    <n v="739"/>
    <x v="0"/>
    <x v="1"/>
    <x v="8"/>
    <x v="2"/>
    <x v="318"/>
    <s v="경인선 80량"/>
  </r>
  <r>
    <n v="740"/>
    <x v="1"/>
    <x v="5"/>
    <x v="10"/>
    <x v="2"/>
    <x v="1"/>
    <s v="경인선 80량"/>
  </r>
  <r>
    <n v="741"/>
    <x v="1"/>
    <x v="5"/>
    <x v="10"/>
    <x v="2"/>
    <x v="1"/>
    <s v="과천안산선 180량"/>
  </r>
  <r>
    <n v="742"/>
    <x v="1"/>
    <x v="5"/>
    <x v="10"/>
    <x v="2"/>
    <x v="1"/>
    <s v="과천안산선 180량"/>
  </r>
  <r>
    <n v="743"/>
    <x v="0"/>
    <x v="1"/>
    <x v="3"/>
    <x v="0"/>
    <x v="428"/>
    <s v="과천안산선 70량"/>
  </r>
  <r>
    <n v="744"/>
    <x v="2"/>
    <x v="2"/>
    <x v="48"/>
    <x v="2"/>
    <x v="377"/>
    <s v="과천안산선 180량"/>
  </r>
  <r>
    <n v="745"/>
    <x v="0"/>
    <x v="2"/>
    <x v="49"/>
    <x v="2"/>
    <x v="377"/>
    <s v="과천안산선 180량"/>
  </r>
  <r>
    <n v="746"/>
    <x v="2"/>
    <x v="1"/>
    <x v="8"/>
    <x v="0"/>
    <x v="429"/>
    <s v="1호선 40량"/>
  </r>
  <r>
    <n v="747"/>
    <x v="2"/>
    <x v="3"/>
    <x v="12"/>
    <x v="2"/>
    <x v="212"/>
    <s v="과천안산선 180량"/>
  </r>
  <r>
    <n v="748"/>
    <x v="1"/>
    <x v="5"/>
    <x v="10"/>
    <x v="2"/>
    <x v="1"/>
    <s v="과천안산선 180량"/>
  </r>
  <r>
    <n v="749"/>
    <x v="1"/>
    <x v="5"/>
    <x v="10"/>
    <x v="2"/>
    <x v="1"/>
    <s v="과천안산선 180량"/>
  </r>
  <r>
    <n v="750"/>
    <x v="0"/>
    <x v="3"/>
    <x v="4"/>
    <x v="2"/>
    <x v="430"/>
    <s v="경인선 80량"/>
  </r>
  <r>
    <n v="751"/>
    <x v="2"/>
    <x v="1"/>
    <x v="8"/>
    <x v="0"/>
    <x v="431"/>
    <s v="1호선 40량"/>
  </r>
  <r>
    <n v="752"/>
    <x v="1"/>
    <x v="5"/>
    <x v="10"/>
    <x v="2"/>
    <x v="1"/>
    <s v="경인선 80량"/>
  </r>
  <r>
    <n v="753"/>
    <x v="0"/>
    <x v="0"/>
    <x v="8"/>
    <x v="2"/>
    <x v="221"/>
    <s v="과천안산선 180량"/>
  </r>
  <r>
    <n v="754"/>
    <x v="0"/>
    <x v="1"/>
    <x v="26"/>
    <x v="2"/>
    <x v="221"/>
    <s v="과천안산선 180량"/>
  </r>
  <r>
    <n v="755"/>
    <x v="0"/>
    <x v="3"/>
    <x v="41"/>
    <x v="2"/>
    <x v="384"/>
    <s v="분당선 108량"/>
  </r>
  <r>
    <n v="756"/>
    <x v="1"/>
    <x v="5"/>
    <x v="10"/>
    <x v="2"/>
    <x v="1"/>
    <s v="과천안산선 180량"/>
  </r>
  <r>
    <n v="757"/>
    <x v="1"/>
    <x v="3"/>
    <x v="26"/>
    <x v="1"/>
    <x v="1"/>
    <s v="동해선 28량"/>
  </r>
  <r>
    <n v="758"/>
    <x v="1"/>
    <x v="6"/>
    <x v="47"/>
    <x v="2"/>
    <x v="432"/>
    <s v="경인선 80량"/>
  </r>
  <r>
    <n v="759"/>
    <x v="1"/>
    <x v="6"/>
    <x v="26"/>
    <x v="2"/>
    <x v="433"/>
    <s v="과천안산선 180량"/>
  </r>
  <r>
    <n v="760"/>
    <x v="2"/>
    <x v="0"/>
    <x v="13"/>
    <x v="2"/>
    <x v="434"/>
    <s v="경인선 80량"/>
  </r>
  <r>
    <n v="761"/>
    <x v="0"/>
    <x v="2"/>
    <x v="5"/>
    <x v="2"/>
    <x v="435"/>
    <s v="과천안산선 180량"/>
  </r>
  <r>
    <n v="762"/>
    <x v="2"/>
    <x v="6"/>
    <x v="27"/>
    <x v="2"/>
    <x v="436"/>
    <s v="과천안산선 180량"/>
  </r>
  <r>
    <n v="763"/>
    <x v="1"/>
    <x v="5"/>
    <x v="10"/>
    <x v="2"/>
    <x v="1"/>
    <s v="과천안산선 180량"/>
  </r>
  <r>
    <n v="764"/>
    <x v="2"/>
    <x v="0"/>
    <x v="35"/>
    <x v="2"/>
    <x v="277"/>
    <s v="과천안산선 180량"/>
  </r>
  <r>
    <n v="765"/>
    <x v="1"/>
    <x v="6"/>
    <x v="23"/>
    <x v="2"/>
    <x v="281"/>
    <s v="과천안산선 180량"/>
  </r>
  <r>
    <n v="766"/>
    <x v="2"/>
    <x v="6"/>
    <x v="47"/>
    <x v="2"/>
    <x v="403"/>
    <s v="경인선 80량"/>
  </r>
  <r>
    <n v="767"/>
    <x v="0"/>
    <x v="4"/>
    <x v="11"/>
    <x v="0"/>
    <x v="437"/>
    <s v="과천안산선 70량"/>
  </r>
  <r>
    <n v="768"/>
    <x v="0"/>
    <x v="1"/>
    <x v="3"/>
    <x v="2"/>
    <x v="438"/>
    <s v="과천안산선 180량"/>
  </r>
  <r>
    <n v="769"/>
    <x v="0"/>
    <x v="0"/>
    <x v="13"/>
    <x v="2"/>
    <x v="439"/>
    <s v="경인선 80량"/>
  </r>
  <r>
    <n v="770"/>
    <x v="0"/>
    <x v="3"/>
    <x v="4"/>
    <x v="1"/>
    <x v="1"/>
    <s v="동해선 28량"/>
  </r>
  <r>
    <n v="771"/>
    <x v="2"/>
    <x v="4"/>
    <x v="17"/>
    <x v="0"/>
    <x v="203"/>
    <s v="과천안산선 70량"/>
  </r>
  <r>
    <n v="772"/>
    <x v="0"/>
    <x v="4"/>
    <x v="11"/>
    <x v="0"/>
    <x v="440"/>
    <s v="1호선 40량"/>
  </r>
  <r>
    <n v="773"/>
    <x v="0"/>
    <x v="3"/>
    <x v="3"/>
    <x v="2"/>
    <x v="441"/>
    <s v="경인선 80량"/>
  </r>
  <r>
    <n v="774"/>
    <x v="1"/>
    <x v="5"/>
    <x v="10"/>
    <x v="2"/>
    <x v="1"/>
    <s v="분당선 108량"/>
  </r>
  <r>
    <n v="775"/>
    <x v="0"/>
    <x v="4"/>
    <x v="11"/>
    <x v="0"/>
    <x v="442"/>
    <s v="과천안산선 70량"/>
  </r>
  <r>
    <n v="776"/>
    <x v="2"/>
    <x v="0"/>
    <x v="37"/>
    <x v="2"/>
    <x v="170"/>
    <s v="과천안산선 180량"/>
  </r>
  <r>
    <n v="777"/>
    <x v="0"/>
    <x v="0"/>
    <x v="26"/>
    <x v="2"/>
    <x v="240"/>
    <s v="과천안산선 180량"/>
  </r>
  <r>
    <n v="778"/>
    <x v="2"/>
    <x v="6"/>
    <x v="2"/>
    <x v="2"/>
    <x v="240"/>
    <s v="과천안산선 180량"/>
  </r>
  <r>
    <n v="779"/>
    <x v="0"/>
    <x v="1"/>
    <x v="8"/>
    <x v="2"/>
    <x v="240"/>
    <s v="과천안산선 180량"/>
  </r>
  <r>
    <n v="780"/>
    <x v="2"/>
    <x v="6"/>
    <x v="12"/>
    <x v="2"/>
    <x v="443"/>
    <s v="과천안산선 180량"/>
  </r>
  <r>
    <n v="781"/>
    <x v="2"/>
    <x v="1"/>
    <x v="8"/>
    <x v="2"/>
    <x v="170"/>
    <s v="분당선 108량"/>
  </r>
  <r>
    <n v="782"/>
    <x v="2"/>
    <x v="3"/>
    <x v="18"/>
    <x v="2"/>
    <x v="349"/>
    <s v="경인선 80량"/>
  </r>
  <r>
    <n v="783"/>
    <x v="2"/>
    <x v="6"/>
    <x v="2"/>
    <x v="2"/>
    <x v="240"/>
    <s v="과천안산선 180량"/>
  </r>
  <r>
    <n v="784"/>
    <x v="2"/>
    <x v="4"/>
    <x v="32"/>
    <x v="2"/>
    <x v="402"/>
    <s v="과천안산선 180량"/>
  </r>
  <r>
    <n v="785"/>
    <x v="0"/>
    <x v="0"/>
    <x v="50"/>
    <x v="0"/>
    <x v="444"/>
    <s v="과천안산선 70량"/>
  </r>
  <r>
    <n v="786"/>
    <x v="2"/>
    <x v="6"/>
    <x v="27"/>
    <x v="2"/>
    <x v="445"/>
    <s v="과천안산선 180량"/>
  </r>
  <r>
    <n v="787"/>
    <x v="1"/>
    <x v="6"/>
    <x v="47"/>
    <x v="2"/>
    <x v="446"/>
    <s v="과천안산선 180량"/>
  </r>
  <r>
    <n v="788"/>
    <x v="0"/>
    <x v="0"/>
    <x v="13"/>
    <x v="2"/>
    <x v="352"/>
    <s v="경인선 80량"/>
  </r>
  <r>
    <n v="789"/>
    <x v="2"/>
    <x v="0"/>
    <x v="18"/>
    <x v="2"/>
    <x v="447"/>
    <s v="과천안산선 180량"/>
  </r>
  <r>
    <n v="790"/>
    <x v="2"/>
    <x v="0"/>
    <x v="51"/>
    <x v="2"/>
    <x v="448"/>
    <s v="과천안산선 180량"/>
  </r>
  <r>
    <n v="791"/>
    <x v="2"/>
    <x v="1"/>
    <x v="8"/>
    <x v="2"/>
    <x v="411"/>
    <s v="분당선 108량"/>
  </r>
  <r>
    <n v="792"/>
    <x v="0"/>
    <x v="1"/>
    <x v="26"/>
    <x v="2"/>
    <x v="449"/>
    <s v="과천안산선 180량"/>
  </r>
  <r>
    <n v="793"/>
    <x v="2"/>
    <x v="0"/>
    <x v="8"/>
    <x v="2"/>
    <x v="410"/>
    <s v="과천안산선 180량"/>
  </r>
  <r>
    <n v="794"/>
    <x v="2"/>
    <x v="0"/>
    <x v="17"/>
    <x v="2"/>
    <x v="450"/>
    <s v="과천안산선 180량"/>
  </r>
  <r>
    <n v="795"/>
    <x v="1"/>
    <x v="3"/>
    <x v="1"/>
    <x v="2"/>
    <x v="247"/>
    <s v="과천안산선 180량"/>
  </r>
  <r>
    <n v="796"/>
    <x v="2"/>
    <x v="2"/>
    <x v="12"/>
    <x v="2"/>
    <x v="294"/>
    <s v="과천안산선 180량"/>
  </r>
  <r>
    <n v="797"/>
    <x v="2"/>
    <x v="6"/>
    <x v="23"/>
    <x v="2"/>
    <x v="451"/>
    <s v="경인선 80량"/>
  </r>
  <r>
    <n v="798"/>
    <x v="2"/>
    <x v="6"/>
    <x v="47"/>
    <x v="2"/>
    <x v="451"/>
    <s v="경인선 80량"/>
  </r>
  <r>
    <n v="799"/>
    <x v="0"/>
    <x v="4"/>
    <x v="3"/>
    <x v="2"/>
    <x v="452"/>
    <s v="과천안산선 180량"/>
  </r>
  <r>
    <n v="800"/>
    <x v="1"/>
    <x v="3"/>
    <x v="25"/>
    <x v="2"/>
    <x v="453"/>
    <s v="과천안산선 180량"/>
  </r>
  <r>
    <n v="801"/>
    <x v="0"/>
    <x v="1"/>
    <x v="1"/>
    <x v="2"/>
    <x v="248"/>
    <s v="분당선 108량"/>
  </r>
  <r>
    <n v="802"/>
    <x v="2"/>
    <x v="0"/>
    <x v="17"/>
    <x v="2"/>
    <x v="454"/>
    <s v="분당선 108량"/>
  </r>
  <r>
    <n v="803"/>
    <x v="2"/>
    <x v="3"/>
    <x v="18"/>
    <x v="2"/>
    <x v="455"/>
    <s v="경인선 80량"/>
  </r>
  <r>
    <n v="804"/>
    <x v="0"/>
    <x v="1"/>
    <x v="3"/>
    <x v="2"/>
    <x v="86"/>
    <s v="과천안산선 180량"/>
  </r>
  <r>
    <n v="805"/>
    <x v="2"/>
    <x v="1"/>
    <x v="8"/>
    <x v="2"/>
    <x v="456"/>
    <s v="경인선 80량"/>
  </r>
  <r>
    <n v="806"/>
    <x v="1"/>
    <x v="6"/>
    <x v="34"/>
    <x v="2"/>
    <x v="182"/>
    <s v="과천안산선 180량"/>
  </r>
  <r>
    <n v="807"/>
    <x v="1"/>
    <x v="5"/>
    <x v="10"/>
    <x v="2"/>
    <x v="1"/>
    <s v="과천안산선 180량"/>
  </r>
  <r>
    <n v="808"/>
    <x v="2"/>
    <x v="1"/>
    <x v="8"/>
    <x v="2"/>
    <x v="85"/>
    <s v="과천안산선 180량"/>
  </r>
  <r>
    <n v="809"/>
    <x v="2"/>
    <x v="6"/>
    <x v="47"/>
    <x v="2"/>
    <x v="185"/>
    <s v="과천안산선 180량"/>
  </r>
  <r>
    <n v="810"/>
    <x v="0"/>
    <x v="0"/>
    <x v="26"/>
    <x v="2"/>
    <x v="457"/>
    <s v="분당선 108량"/>
  </r>
  <r>
    <n v="811"/>
    <x v="1"/>
    <x v="3"/>
    <x v="8"/>
    <x v="2"/>
    <x v="458"/>
    <s v="분당선 108량"/>
  </r>
  <r>
    <n v="812"/>
    <x v="1"/>
    <x v="5"/>
    <x v="10"/>
    <x v="2"/>
    <x v="1"/>
    <s v="경인선 80량"/>
  </r>
  <r>
    <n v="813"/>
    <x v="0"/>
    <x v="4"/>
    <x v="11"/>
    <x v="0"/>
    <x v="459"/>
    <s v="과천안산선 70량"/>
  </r>
  <r>
    <n v="814"/>
    <x v="1"/>
    <x v="3"/>
    <x v="25"/>
    <x v="2"/>
    <x v="112"/>
    <s v="과천안산선 180량"/>
  </r>
  <r>
    <n v="815"/>
    <x v="1"/>
    <x v="6"/>
    <x v="45"/>
    <x v="2"/>
    <x v="460"/>
    <s v="경인선 80량"/>
  </r>
  <r>
    <n v="816"/>
    <x v="2"/>
    <x v="6"/>
    <x v="11"/>
    <x v="0"/>
    <x v="254"/>
    <s v="과천안산선 70량"/>
  </r>
  <r>
    <n v="817"/>
    <x v="2"/>
    <x v="6"/>
    <x v="47"/>
    <x v="0"/>
    <x v="461"/>
    <s v="과천안산선 70량"/>
  </r>
  <r>
    <n v="818"/>
    <x v="1"/>
    <x v="2"/>
    <x v="17"/>
    <x v="2"/>
    <x v="460"/>
    <s v="경인선 80량"/>
  </r>
  <r>
    <n v="819"/>
    <x v="1"/>
    <x v="5"/>
    <x v="10"/>
    <x v="2"/>
    <x v="1"/>
    <s v="경인선 80량"/>
  </r>
  <r>
    <n v="820"/>
    <x v="1"/>
    <x v="2"/>
    <x v="17"/>
    <x v="2"/>
    <x v="422"/>
    <s v="경인선 80량"/>
  </r>
  <r>
    <n v="821"/>
    <x v="1"/>
    <x v="5"/>
    <x v="10"/>
    <x v="2"/>
    <x v="1"/>
    <s v="경인선 80량"/>
  </r>
  <r>
    <n v="822"/>
    <x v="1"/>
    <x v="6"/>
    <x v="45"/>
    <x v="2"/>
    <x v="462"/>
    <s v="경인선 80량"/>
  </r>
  <r>
    <n v="823"/>
    <x v="2"/>
    <x v="6"/>
    <x v="47"/>
    <x v="2"/>
    <x v="200"/>
    <s v="과천안산선 180량"/>
  </r>
  <r>
    <n v="824"/>
    <x v="0"/>
    <x v="0"/>
    <x v="12"/>
    <x v="2"/>
    <x v="463"/>
    <s v="과천안산선 180량"/>
  </r>
  <r>
    <n v="825"/>
    <x v="2"/>
    <x v="0"/>
    <x v="17"/>
    <x v="2"/>
    <x v="462"/>
    <s v="경인선 80량"/>
  </r>
  <r>
    <n v="826"/>
    <x v="0"/>
    <x v="3"/>
    <x v="8"/>
    <x v="2"/>
    <x v="464"/>
    <s v="경인선 80량"/>
  </r>
  <r>
    <n v="827"/>
    <x v="1"/>
    <x v="5"/>
    <x v="10"/>
    <x v="2"/>
    <x v="1"/>
    <s v="과천안산선 180량"/>
  </r>
  <r>
    <n v="828"/>
    <x v="1"/>
    <x v="6"/>
    <x v="47"/>
    <x v="2"/>
    <x v="465"/>
    <s v="경인선 80량"/>
  </r>
  <r>
    <n v="829"/>
    <x v="2"/>
    <x v="0"/>
    <x v="1"/>
    <x v="2"/>
    <x v="466"/>
    <s v="과천안산선 180량"/>
  </r>
  <r>
    <n v="830"/>
    <x v="2"/>
    <x v="6"/>
    <x v="45"/>
    <x v="2"/>
    <x v="466"/>
    <s v="과천안산선 180량"/>
  </r>
  <r>
    <n v="831"/>
    <x v="2"/>
    <x v="6"/>
    <x v="47"/>
    <x v="0"/>
    <x v="467"/>
    <s v="과천안산선 70량"/>
  </r>
  <r>
    <n v="832"/>
    <x v="2"/>
    <x v="0"/>
    <x v="37"/>
    <x v="2"/>
    <x v="468"/>
    <s v="경인선 80량"/>
  </r>
  <r>
    <n v="833"/>
    <x v="2"/>
    <x v="0"/>
    <x v="52"/>
    <x v="0"/>
    <x v="469"/>
    <s v="과천안산선 70량"/>
  </r>
  <r>
    <n v="834"/>
    <x v="1"/>
    <x v="6"/>
    <x v="45"/>
    <x v="0"/>
    <x v="469"/>
    <s v="과천안산선 70량"/>
  </r>
  <r>
    <n v="835"/>
    <x v="0"/>
    <x v="3"/>
    <x v="4"/>
    <x v="2"/>
    <x v="470"/>
    <s v="경인선 80량"/>
  </r>
  <r>
    <n v="836"/>
    <x v="2"/>
    <x v="3"/>
    <x v="3"/>
    <x v="2"/>
    <x v="141"/>
    <s v="분당선 108량"/>
  </r>
  <r>
    <n v="837"/>
    <x v="1"/>
    <x v="6"/>
    <x v="47"/>
    <x v="1"/>
    <x v="1"/>
    <s v="동해선 28량"/>
  </r>
  <r>
    <n v="838"/>
    <x v="2"/>
    <x v="0"/>
    <x v="1"/>
    <x v="2"/>
    <x v="471"/>
    <s v="분당선 108량"/>
  </r>
  <r>
    <n v="839"/>
    <x v="0"/>
    <x v="4"/>
    <x v="11"/>
    <x v="0"/>
    <x v="241"/>
    <s v="과천안산선 70량"/>
  </r>
  <r>
    <n v="840"/>
    <x v="2"/>
    <x v="6"/>
    <x v="47"/>
    <x v="0"/>
    <x v="472"/>
    <s v="과천안산선 70량"/>
  </r>
  <r>
    <n v="841"/>
    <x v="0"/>
    <x v="1"/>
    <x v="8"/>
    <x v="2"/>
    <x v="473"/>
    <s v="경인선 80량"/>
  </r>
  <r>
    <n v="842"/>
    <x v="0"/>
    <x v="1"/>
    <x v="8"/>
    <x v="2"/>
    <x v="427"/>
    <s v="과천안산선 180량"/>
  </r>
  <r>
    <n v="843"/>
    <x v="0"/>
    <x v="1"/>
    <x v="25"/>
    <x v="2"/>
    <x v="474"/>
    <s v="과천안산선 180량"/>
  </r>
  <r>
    <n v="844"/>
    <x v="2"/>
    <x v="6"/>
    <x v="47"/>
    <x v="2"/>
    <x v="473"/>
    <s v="경인선 80량"/>
  </r>
  <r>
    <n v="845"/>
    <x v="2"/>
    <x v="6"/>
    <x v="47"/>
    <x v="2"/>
    <x v="475"/>
    <s v="경인선 80량"/>
  </r>
  <r>
    <n v="846"/>
    <x v="2"/>
    <x v="6"/>
    <x v="47"/>
    <x v="2"/>
    <x v="475"/>
    <s v="경인선 80량"/>
  </r>
  <r>
    <n v="847"/>
    <x v="1"/>
    <x v="6"/>
    <x v="47"/>
    <x v="2"/>
    <x v="382"/>
    <s v="과천안산선 180량"/>
  </r>
  <r>
    <n v="848"/>
    <x v="2"/>
    <x v="6"/>
    <x v="47"/>
    <x v="2"/>
    <x v="382"/>
    <s v="과천안산선 180량"/>
  </r>
  <r>
    <n v="849"/>
    <x v="1"/>
    <x v="6"/>
    <x v="47"/>
    <x v="2"/>
    <x v="382"/>
    <s v="과천안산선 180량"/>
  </r>
  <r>
    <n v="850"/>
    <x v="2"/>
    <x v="3"/>
    <x v="18"/>
    <x v="2"/>
    <x v="476"/>
    <s v="경인선 80량"/>
  </r>
  <r>
    <n v="851"/>
    <x v="1"/>
    <x v="5"/>
    <x v="10"/>
    <x v="2"/>
    <x v="1"/>
    <s v="경인선 80량"/>
  </r>
  <r>
    <n v="852"/>
    <x v="2"/>
    <x v="6"/>
    <x v="47"/>
    <x v="2"/>
    <x v="477"/>
    <s v="과천안산선 180량"/>
  </r>
  <r>
    <n v="853"/>
    <x v="0"/>
    <x v="0"/>
    <x v="12"/>
    <x v="2"/>
    <x v="385"/>
    <s v="과천안산선 180량"/>
  </r>
  <r>
    <n v="854"/>
    <x v="0"/>
    <x v="0"/>
    <x v="3"/>
    <x v="0"/>
    <x v="478"/>
    <s v="과천안산선 70량"/>
  </r>
  <r>
    <n v="855"/>
    <x v="1"/>
    <x v="6"/>
    <x v="47"/>
    <x v="0"/>
    <x v="479"/>
    <s v="과천안산선 70량"/>
  </r>
  <r>
    <n v="856"/>
    <x v="2"/>
    <x v="6"/>
    <x v="3"/>
    <x v="2"/>
    <x v="480"/>
    <s v="과천안산선 180량"/>
  </r>
  <r>
    <n v="857"/>
    <x v="1"/>
    <x v="6"/>
    <x v="47"/>
    <x v="2"/>
    <x v="269"/>
    <s v="과천안산선 180량"/>
  </r>
  <r>
    <n v="858"/>
    <x v="0"/>
    <x v="1"/>
    <x v="8"/>
    <x v="2"/>
    <x v="481"/>
    <s v="경인선 80량"/>
  </r>
  <r>
    <n v="859"/>
    <x v="2"/>
    <x v="0"/>
    <x v="1"/>
    <x v="2"/>
    <x v="228"/>
    <s v="분당선 108량"/>
  </r>
  <r>
    <n v="860"/>
    <x v="1"/>
    <x v="5"/>
    <x v="10"/>
    <x v="0"/>
    <x v="1"/>
    <s v="과천안산선 70량"/>
  </r>
  <r>
    <n v="861"/>
    <x v="2"/>
    <x v="6"/>
    <x v="47"/>
    <x v="2"/>
    <x v="394"/>
    <s v="과천안산선 180량"/>
  </r>
  <r>
    <n v="862"/>
    <x v="2"/>
    <x v="6"/>
    <x v="47"/>
    <x v="2"/>
    <x v="481"/>
    <s v="경인선 80량"/>
  </r>
  <r>
    <n v="863"/>
    <x v="1"/>
    <x v="6"/>
    <x v="47"/>
    <x v="2"/>
    <x v="481"/>
    <s v="경인선 80량"/>
  </r>
  <r>
    <n v="864"/>
    <x v="2"/>
    <x v="3"/>
    <x v="17"/>
    <x v="2"/>
    <x v="481"/>
    <s v="경인선 80량"/>
  </r>
  <r>
    <n v="865"/>
    <x v="0"/>
    <x v="1"/>
    <x v="8"/>
    <x v="2"/>
    <x v="337"/>
    <s v="과천안산선 180량"/>
  </r>
  <r>
    <n v="866"/>
    <x v="0"/>
    <x v="1"/>
    <x v="8"/>
    <x v="2"/>
    <x v="337"/>
    <s v="과천안산선 180량"/>
  </r>
  <r>
    <n v="867"/>
    <x v="0"/>
    <x v="1"/>
    <x v="8"/>
    <x v="2"/>
    <x v="482"/>
    <s v="과천안산선 180량"/>
  </r>
  <r>
    <n v="868"/>
    <x v="2"/>
    <x v="6"/>
    <x v="47"/>
    <x v="2"/>
    <x v="482"/>
    <s v="과천안산선 180량"/>
  </r>
  <r>
    <n v="869"/>
    <x v="0"/>
    <x v="0"/>
    <x v="3"/>
    <x v="0"/>
    <x v="483"/>
    <s v="과천안산선 70량"/>
  </r>
  <r>
    <n v="870"/>
    <x v="0"/>
    <x v="1"/>
    <x v="8"/>
    <x v="2"/>
    <x v="158"/>
    <s v="분당선 108량"/>
  </r>
  <r>
    <n v="871"/>
    <x v="0"/>
    <x v="1"/>
    <x v="8"/>
    <x v="2"/>
    <x v="484"/>
    <s v="경인선 80량"/>
  </r>
  <r>
    <n v="872"/>
    <x v="2"/>
    <x v="1"/>
    <x v="25"/>
    <x v="2"/>
    <x v="48"/>
    <s v="과천안산선 180량"/>
  </r>
  <r>
    <n v="873"/>
    <x v="2"/>
    <x v="2"/>
    <x v="8"/>
    <x v="2"/>
    <x v="48"/>
    <s v="과천안산선 180량"/>
  </r>
  <r>
    <n v="874"/>
    <x v="1"/>
    <x v="2"/>
    <x v="8"/>
    <x v="2"/>
    <x v="485"/>
    <s v="과천안산선 180량"/>
  </r>
  <r>
    <n v="875"/>
    <x v="2"/>
    <x v="6"/>
    <x v="47"/>
    <x v="2"/>
    <x v="486"/>
    <s v="과천안산선 180량"/>
  </r>
  <r>
    <n v="876"/>
    <x v="0"/>
    <x v="1"/>
    <x v="8"/>
    <x v="2"/>
    <x v="486"/>
    <s v="과천안산선 180량"/>
  </r>
  <r>
    <n v="877"/>
    <x v="0"/>
    <x v="0"/>
    <x v="3"/>
    <x v="0"/>
    <x v="487"/>
    <s v="과천안산선 70량"/>
  </r>
  <r>
    <n v="878"/>
    <x v="2"/>
    <x v="6"/>
    <x v="47"/>
    <x v="2"/>
    <x v="167"/>
    <s v="과천안산선 180량"/>
  </r>
  <r>
    <n v="879"/>
    <x v="0"/>
    <x v="4"/>
    <x v="7"/>
    <x v="2"/>
    <x v="230"/>
    <s v="분당선 108량"/>
  </r>
  <r>
    <n v="880"/>
    <x v="2"/>
    <x v="6"/>
    <x v="47"/>
    <x v="2"/>
    <x v="488"/>
    <s v="과천안산선 180량"/>
  </r>
  <r>
    <n v="881"/>
    <x v="2"/>
    <x v="0"/>
    <x v="3"/>
    <x v="2"/>
    <x v="401"/>
    <s v="분당선 108량"/>
  </r>
  <r>
    <n v="882"/>
    <x v="2"/>
    <x v="0"/>
    <x v="26"/>
    <x v="0"/>
    <x v="489"/>
    <s v="과천안산선 70량"/>
  </r>
  <r>
    <n v="883"/>
    <x v="2"/>
    <x v="0"/>
    <x v="26"/>
    <x v="0"/>
    <x v="489"/>
    <s v="과천안산선 70량"/>
  </r>
  <r>
    <n v="884"/>
    <x v="0"/>
    <x v="0"/>
    <x v="12"/>
    <x v="2"/>
    <x v="171"/>
    <s v="과천안산선 180량"/>
  </r>
  <r>
    <n v="885"/>
    <x v="2"/>
    <x v="6"/>
    <x v="45"/>
    <x v="2"/>
    <x v="171"/>
    <s v="과천안산선 180량"/>
  </r>
  <r>
    <n v="886"/>
    <x v="2"/>
    <x v="1"/>
    <x v="1"/>
    <x v="2"/>
    <x v="490"/>
    <s v="과천안산선 180량"/>
  </r>
  <r>
    <n v="887"/>
    <x v="2"/>
    <x v="6"/>
    <x v="45"/>
    <x v="2"/>
    <x v="490"/>
    <s v="과천안산선 180량"/>
  </r>
  <r>
    <n v="888"/>
    <x v="2"/>
    <x v="6"/>
    <x v="47"/>
    <x v="0"/>
    <x v="491"/>
    <s v="경원선 18량"/>
  </r>
  <r>
    <n v="889"/>
    <x v="2"/>
    <x v="0"/>
    <x v="3"/>
    <x v="2"/>
    <x v="492"/>
    <s v="과천안산선 180량"/>
  </r>
  <r>
    <n v="890"/>
    <x v="2"/>
    <x v="2"/>
    <x v="1"/>
    <x v="2"/>
    <x v="493"/>
    <s v="경인선 80량"/>
  </r>
  <r>
    <n v="891"/>
    <x v="0"/>
    <x v="0"/>
    <x v="0"/>
    <x v="2"/>
    <x v="43"/>
    <s v="과천안산선 180량"/>
  </r>
  <r>
    <n v="892"/>
    <x v="2"/>
    <x v="0"/>
    <x v="17"/>
    <x v="2"/>
    <x v="287"/>
    <s v="분당선 108량"/>
  </r>
  <r>
    <n v="893"/>
    <x v="2"/>
    <x v="0"/>
    <x v="26"/>
    <x v="0"/>
    <x v="494"/>
    <s v="과천안산선 70량"/>
  </r>
  <r>
    <n v="894"/>
    <x v="0"/>
    <x v="1"/>
    <x v="8"/>
    <x v="2"/>
    <x v="168"/>
    <s v="과천안산선 180량"/>
  </r>
  <r>
    <n v="895"/>
    <x v="2"/>
    <x v="6"/>
    <x v="47"/>
    <x v="2"/>
    <x v="240"/>
    <s v="과천안산선 180량"/>
  </r>
  <r>
    <n v="896"/>
    <x v="1"/>
    <x v="5"/>
    <x v="10"/>
    <x v="2"/>
    <x v="1"/>
    <s v="분당선 108량"/>
  </r>
  <r>
    <n v="897"/>
    <x v="2"/>
    <x v="6"/>
    <x v="47"/>
    <x v="2"/>
    <x v="495"/>
    <s v="과천안산선 180량"/>
  </r>
  <r>
    <n v="898"/>
    <x v="2"/>
    <x v="6"/>
    <x v="47"/>
    <x v="2"/>
    <x v="233"/>
    <s v="과천안산선 180량"/>
  </r>
  <r>
    <n v="899"/>
    <x v="2"/>
    <x v="0"/>
    <x v="37"/>
    <x v="0"/>
    <x v="496"/>
    <s v="1호선 40량"/>
  </r>
  <r>
    <n v="900"/>
    <x v="1"/>
    <x v="5"/>
    <x v="10"/>
    <x v="2"/>
    <x v="1"/>
    <s v="과천안산선 180량"/>
  </r>
  <r>
    <n v="901"/>
    <x v="0"/>
    <x v="1"/>
    <x v="8"/>
    <x v="2"/>
    <x v="233"/>
    <s v="과천안산선 180량"/>
  </r>
  <r>
    <n v="902"/>
    <x v="1"/>
    <x v="2"/>
    <x v="1"/>
    <x v="2"/>
    <x v="233"/>
    <s v="과천안산선 180량"/>
  </r>
  <r>
    <n v="903"/>
    <x v="2"/>
    <x v="0"/>
    <x v="49"/>
    <x v="2"/>
    <x v="233"/>
    <s v="과천안산선 180량"/>
  </r>
  <r>
    <n v="904"/>
    <x v="2"/>
    <x v="0"/>
    <x v="26"/>
    <x v="0"/>
    <x v="497"/>
    <s v="과천안산선 70량"/>
  </r>
  <r>
    <n v="905"/>
    <x v="2"/>
    <x v="6"/>
    <x v="47"/>
    <x v="2"/>
    <x v="232"/>
    <s v="과천안산선 180량"/>
  </r>
  <r>
    <n v="906"/>
    <x v="1"/>
    <x v="5"/>
    <x v="10"/>
    <x v="2"/>
    <x v="1"/>
    <s v="과천안산선 180량"/>
  </r>
  <r>
    <n v="907"/>
    <x v="1"/>
    <x v="5"/>
    <x v="10"/>
    <x v="2"/>
    <x v="1"/>
    <s v="경인선 80량"/>
  </r>
  <r>
    <n v="908"/>
    <x v="1"/>
    <x v="6"/>
    <x v="47"/>
    <x v="2"/>
    <x v="178"/>
    <s v="과천안산선 180량"/>
  </r>
  <r>
    <n v="909"/>
    <x v="0"/>
    <x v="4"/>
    <x v="7"/>
    <x v="2"/>
    <x v="178"/>
    <s v="분당선 108량"/>
  </r>
  <r>
    <n v="910"/>
    <x v="2"/>
    <x v="1"/>
    <x v="8"/>
    <x v="2"/>
    <x v="178"/>
    <s v="분당선 108량"/>
  </r>
  <r>
    <n v="911"/>
    <x v="2"/>
    <x v="3"/>
    <x v="53"/>
    <x v="2"/>
    <x v="498"/>
    <s v="과천안산선 180량"/>
  </r>
  <r>
    <n v="912"/>
    <x v="2"/>
    <x v="0"/>
    <x v="26"/>
    <x v="0"/>
    <x v="499"/>
    <s v="과천안산선 70량"/>
  </r>
  <r>
    <n v="913"/>
    <x v="0"/>
    <x v="1"/>
    <x v="3"/>
    <x v="0"/>
    <x v="499"/>
    <s v="과천안산선 70량"/>
  </r>
  <r>
    <n v="914"/>
    <x v="1"/>
    <x v="6"/>
    <x v="12"/>
    <x v="0"/>
    <x v="499"/>
    <s v="과천안산선 70량"/>
  </r>
  <r>
    <n v="915"/>
    <x v="2"/>
    <x v="0"/>
    <x v="17"/>
    <x v="2"/>
    <x v="351"/>
    <s v="분당선 108량"/>
  </r>
  <r>
    <n v="916"/>
    <x v="0"/>
    <x v="1"/>
    <x v="3"/>
    <x v="2"/>
    <x v="297"/>
    <s v="과천안산선 180량"/>
  </r>
  <r>
    <n v="917"/>
    <x v="1"/>
    <x v="5"/>
    <x v="10"/>
    <x v="0"/>
    <x v="1"/>
    <s v="과천안산선 70량"/>
  </r>
  <r>
    <n v="918"/>
    <x v="2"/>
    <x v="6"/>
    <x v="45"/>
    <x v="2"/>
    <x v="248"/>
    <s v="과천안산선 180량"/>
  </r>
  <r>
    <n v="919"/>
    <x v="2"/>
    <x v="0"/>
    <x v="26"/>
    <x v="0"/>
    <x v="500"/>
    <s v="과천안산선 70량"/>
  </r>
  <r>
    <n v="920"/>
    <x v="2"/>
    <x v="6"/>
    <x v="47"/>
    <x v="0"/>
    <x v="500"/>
    <s v="과천안산선 70량"/>
  </r>
  <r>
    <n v="921"/>
    <x v="2"/>
    <x v="0"/>
    <x v="26"/>
    <x v="0"/>
    <x v="500"/>
    <s v="과천안산선 70량"/>
  </r>
  <r>
    <n v="922"/>
    <x v="2"/>
    <x v="1"/>
    <x v="8"/>
    <x v="2"/>
    <x v="501"/>
    <s v="과천안산선 180량"/>
  </r>
  <r>
    <n v="923"/>
    <x v="2"/>
    <x v="0"/>
    <x v="17"/>
    <x v="2"/>
    <x v="502"/>
    <s v="경인선 80량"/>
  </r>
  <r>
    <n v="924"/>
    <x v="2"/>
    <x v="0"/>
    <x v="17"/>
    <x v="2"/>
    <x v="503"/>
    <s v="경인선 80량"/>
  </r>
  <r>
    <n v="925"/>
    <x v="1"/>
    <x v="3"/>
    <x v="54"/>
    <x v="2"/>
    <x v="504"/>
    <s v="경인선 80량"/>
  </r>
  <r>
    <n v="926"/>
    <x v="1"/>
    <x v="5"/>
    <x v="10"/>
    <x v="2"/>
    <x v="1"/>
    <s v="경인선 80량"/>
  </r>
  <r>
    <n v="927"/>
    <x v="2"/>
    <x v="6"/>
    <x v="55"/>
    <x v="0"/>
    <x v="505"/>
    <s v="과천안산선 70량"/>
  </r>
  <r>
    <n v="928"/>
    <x v="1"/>
    <x v="2"/>
    <x v="1"/>
    <x v="0"/>
    <x v="506"/>
    <s v="과천안산선 70량"/>
  </r>
  <r>
    <n v="929"/>
    <x v="2"/>
    <x v="1"/>
    <x v="8"/>
    <x v="0"/>
    <x v="506"/>
    <s v="과천안산선 70량"/>
  </r>
  <r>
    <n v="930"/>
    <x v="0"/>
    <x v="4"/>
    <x v="11"/>
    <x v="2"/>
    <x v="507"/>
    <s v="과천안산선 180량"/>
  </r>
  <r>
    <n v="931"/>
    <x v="2"/>
    <x v="0"/>
    <x v="4"/>
    <x v="2"/>
    <x v="422"/>
    <s v="경인선 80량"/>
  </r>
  <r>
    <n v="932"/>
    <x v="2"/>
    <x v="3"/>
    <x v="56"/>
    <x v="2"/>
    <x v="255"/>
    <s v="과천안산선 180량"/>
  </r>
  <r>
    <n v="933"/>
    <x v="2"/>
    <x v="3"/>
    <x v="4"/>
    <x v="2"/>
    <x v="508"/>
    <s v="과천안산선 180량"/>
  </r>
  <r>
    <n v="934"/>
    <x v="2"/>
    <x v="0"/>
    <x v="57"/>
    <x v="2"/>
    <x v="509"/>
    <s v="경인선 80량"/>
  </r>
  <r>
    <n v="935"/>
    <x v="2"/>
    <x v="6"/>
    <x v="47"/>
    <x v="0"/>
    <x v="209"/>
    <s v="과천안산선 70량"/>
  </r>
  <r>
    <n v="936"/>
    <x v="2"/>
    <x v="6"/>
    <x v="47"/>
    <x v="0"/>
    <x v="510"/>
    <s v="과천안산선 70량"/>
  </r>
  <r>
    <n v="937"/>
    <x v="2"/>
    <x v="6"/>
    <x v="47"/>
    <x v="2"/>
    <x v="511"/>
    <s v="경인선 80량"/>
  </r>
  <r>
    <n v="938"/>
    <x v="2"/>
    <x v="6"/>
    <x v="47"/>
    <x v="2"/>
    <x v="512"/>
    <s v="과천안산선 180량"/>
  </r>
  <r>
    <n v="939"/>
    <x v="2"/>
    <x v="6"/>
    <x v="47"/>
    <x v="2"/>
    <x v="512"/>
    <s v="과천안산선 180량"/>
  </r>
  <r>
    <n v="940"/>
    <x v="2"/>
    <x v="6"/>
    <x v="47"/>
    <x v="2"/>
    <x v="513"/>
    <s v="과천안산선 180량"/>
  </r>
  <r>
    <n v="941"/>
    <x v="0"/>
    <x v="0"/>
    <x v="7"/>
    <x v="2"/>
    <x v="513"/>
    <s v="과천안산선 180량"/>
  </r>
  <r>
    <n v="942"/>
    <x v="2"/>
    <x v="6"/>
    <x v="47"/>
    <x v="2"/>
    <x v="513"/>
    <s v="과천안산선 180량"/>
  </r>
  <r>
    <n v="943"/>
    <x v="2"/>
    <x v="6"/>
    <x v="47"/>
    <x v="2"/>
    <x v="513"/>
    <s v="과천안산선 180량"/>
  </r>
  <r>
    <n v="944"/>
    <x v="2"/>
    <x v="6"/>
    <x v="47"/>
    <x v="2"/>
    <x v="514"/>
    <s v="분당선 108량"/>
  </r>
  <r>
    <n v="945"/>
    <x v="0"/>
    <x v="4"/>
    <x v="3"/>
    <x v="2"/>
    <x v="513"/>
    <s v="분당선 108량"/>
  </r>
  <r>
    <n v="946"/>
    <x v="2"/>
    <x v="6"/>
    <x v="47"/>
    <x v="2"/>
    <x v="365"/>
    <s v="분당선 108량"/>
  </r>
  <r>
    <n v="947"/>
    <x v="2"/>
    <x v="6"/>
    <x v="47"/>
    <x v="0"/>
    <x v="515"/>
    <s v="과천안산선 70량"/>
  </r>
  <r>
    <n v="948"/>
    <x v="2"/>
    <x v="6"/>
    <x v="47"/>
    <x v="0"/>
    <x v="516"/>
    <s v="과천안산선 70량"/>
  </r>
  <r>
    <n v="949"/>
    <x v="2"/>
    <x v="0"/>
    <x v="4"/>
    <x v="2"/>
    <x v="517"/>
    <s v="경인선 80량"/>
  </r>
  <r>
    <n v="950"/>
    <x v="2"/>
    <x v="6"/>
    <x v="47"/>
    <x v="2"/>
    <x v="517"/>
    <s v="경인선 80량"/>
  </r>
  <r>
    <n v="951"/>
    <x v="2"/>
    <x v="6"/>
    <x v="47"/>
    <x v="2"/>
    <x v="426"/>
    <s v="과천안산선 180량"/>
  </r>
  <r>
    <n v="952"/>
    <x v="1"/>
    <x v="5"/>
    <x v="10"/>
    <x v="0"/>
    <x v="1"/>
    <s v="과천안산선 70량"/>
  </r>
  <r>
    <n v="953"/>
    <x v="2"/>
    <x v="6"/>
    <x v="47"/>
    <x v="0"/>
    <x v="518"/>
    <s v="1호선 40량"/>
  </r>
  <r>
    <n v="954"/>
    <x v="2"/>
    <x v="6"/>
    <x v="47"/>
    <x v="2"/>
    <x v="519"/>
    <s v="분당선 108량"/>
  </r>
  <r>
    <n v="955"/>
    <x v="2"/>
    <x v="6"/>
    <x v="47"/>
    <x v="0"/>
    <x v="520"/>
    <s v="1호선 40량"/>
  </r>
  <r>
    <n v="956"/>
    <x v="2"/>
    <x v="6"/>
    <x v="47"/>
    <x v="2"/>
    <x v="309"/>
    <s v="과천안산선 180량"/>
  </r>
  <r>
    <n v="957"/>
    <x v="2"/>
    <x v="6"/>
    <x v="47"/>
    <x v="2"/>
    <x v="199"/>
    <s v="과천안산선 180량"/>
  </r>
  <r>
    <n v="958"/>
    <x v="0"/>
    <x v="0"/>
    <x v="0"/>
    <x v="2"/>
    <x v="141"/>
    <s v="과천안산선 180량"/>
  </r>
  <r>
    <n v="959"/>
    <x v="0"/>
    <x v="4"/>
    <x v="7"/>
    <x v="0"/>
    <x v="366"/>
    <s v="과천안산선 70량"/>
  </r>
  <r>
    <n v="960"/>
    <x v="0"/>
    <x v="4"/>
    <x v="7"/>
    <x v="0"/>
    <x v="366"/>
    <s v="과천안산선 70량"/>
  </r>
  <r>
    <n v="961"/>
    <x v="2"/>
    <x v="6"/>
    <x v="47"/>
    <x v="2"/>
    <x v="311"/>
    <s v="과천안산선 180량"/>
  </r>
  <r>
    <n v="962"/>
    <x v="0"/>
    <x v="1"/>
    <x v="3"/>
    <x v="0"/>
    <x v="521"/>
    <s v="과천안산선 70량"/>
  </r>
  <r>
    <n v="963"/>
    <x v="2"/>
    <x v="0"/>
    <x v="0"/>
    <x v="2"/>
    <x v="522"/>
    <s v="과천안산선 180량"/>
  </r>
  <r>
    <n v="964"/>
    <x v="2"/>
    <x v="6"/>
    <x v="47"/>
    <x v="2"/>
    <x v="262"/>
    <s v="과천안산선 180량"/>
  </r>
  <r>
    <n v="965"/>
    <x v="2"/>
    <x v="6"/>
    <x v="47"/>
    <x v="2"/>
    <x v="214"/>
    <s v="과천안산선 180량"/>
  </r>
  <r>
    <n v="966"/>
    <x v="2"/>
    <x v="6"/>
    <x v="47"/>
    <x v="2"/>
    <x v="214"/>
    <s v="과천안산선 180량"/>
  </r>
  <r>
    <n v="967"/>
    <x v="2"/>
    <x v="6"/>
    <x v="47"/>
    <x v="2"/>
    <x v="523"/>
    <s v="경인선 80량"/>
  </r>
  <r>
    <n v="968"/>
    <x v="0"/>
    <x v="0"/>
    <x v="18"/>
    <x v="2"/>
    <x v="373"/>
    <s v="과천안산선 180량"/>
  </r>
  <r>
    <n v="969"/>
    <x v="2"/>
    <x v="6"/>
    <x v="47"/>
    <x v="0"/>
    <x v="524"/>
    <s v="과천안산선 70량"/>
  </r>
  <r>
    <n v="970"/>
    <x v="0"/>
    <x v="1"/>
    <x v="3"/>
    <x v="0"/>
    <x v="525"/>
    <s v="과천안산선 70량"/>
  </r>
  <r>
    <n v="971"/>
    <x v="2"/>
    <x v="3"/>
    <x v="17"/>
    <x v="2"/>
    <x v="526"/>
    <s v="경인선 80량"/>
  </r>
  <r>
    <n v="972"/>
    <x v="1"/>
    <x v="5"/>
    <x v="10"/>
    <x v="2"/>
    <x v="1"/>
    <s v="과천안산선 180량"/>
  </r>
  <r>
    <n v="973"/>
    <x v="2"/>
    <x v="6"/>
    <x v="47"/>
    <x v="0"/>
    <x v="399"/>
    <s v="과천안산선 70량"/>
  </r>
  <r>
    <n v="974"/>
    <x v="0"/>
    <x v="0"/>
    <x v="18"/>
    <x v="2"/>
    <x v="527"/>
    <s v="과천안산선 180량"/>
  </r>
  <r>
    <n v="975"/>
    <x v="2"/>
    <x v="6"/>
    <x v="47"/>
    <x v="2"/>
    <x v="528"/>
    <s v="과천안산선 180량"/>
  </r>
  <r>
    <n v="976"/>
    <x v="0"/>
    <x v="1"/>
    <x v="3"/>
    <x v="2"/>
    <x v="528"/>
    <s v="과천안산선 180량"/>
  </r>
  <r>
    <n v="977"/>
    <x v="2"/>
    <x v="6"/>
    <x v="47"/>
    <x v="2"/>
    <x v="266"/>
    <s v="과천안산선 180량"/>
  </r>
  <r>
    <n v="978"/>
    <x v="0"/>
    <x v="1"/>
    <x v="8"/>
    <x v="2"/>
    <x v="387"/>
    <s v="과천안산선 180량"/>
  </r>
  <r>
    <n v="979"/>
    <x v="2"/>
    <x v="6"/>
    <x v="47"/>
    <x v="2"/>
    <x v="529"/>
    <s v="경인선 80량"/>
  </r>
  <r>
    <n v="980"/>
    <x v="2"/>
    <x v="6"/>
    <x v="47"/>
    <x v="2"/>
    <x v="432"/>
    <s v="경인선 80량"/>
  </r>
  <r>
    <n v="981"/>
    <x v="2"/>
    <x v="6"/>
    <x v="47"/>
    <x v="0"/>
    <x v="530"/>
    <s v="1호선 40량"/>
  </r>
  <r>
    <n v="982"/>
    <x v="2"/>
    <x v="6"/>
    <x v="47"/>
    <x v="2"/>
    <x v="272"/>
    <s v="과천안산선 180량"/>
  </r>
  <r>
    <n v="983"/>
    <x v="2"/>
    <x v="6"/>
    <x v="47"/>
    <x v="2"/>
    <x v="221"/>
    <s v="분당선 108량"/>
  </r>
  <r>
    <n v="984"/>
    <x v="2"/>
    <x v="2"/>
    <x v="3"/>
    <x v="2"/>
    <x v="531"/>
    <s v="과천안산선 180량"/>
  </r>
  <r>
    <n v="985"/>
    <x v="0"/>
    <x v="1"/>
    <x v="8"/>
    <x v="0"/>
    <x v="532"/>
    <s v="과천안산선 70량"/>
  </r>
  <r>
    <n v="986"/>
    <x v="0"/>
    <x v="1"/>
    <x v="8"/>
    <x v="2"/>
    <x v="223"/>
    <s v="과천안산선 180량"/>
  </r>
  <r>
    <n v="987"/>
    <x v="2"/>
    <x v="6"/>
    <x v="47"/>
    <x v="2"/>
    <x v="223"/>
    <s v="과천안산선 180량"/>
  </r>
  <r>
    <n v="988"/>
    <x v="2"/>
    <x v="6"/>
    <x v="47"/>
    <x v="2"/>
    <x v="223"/>
    <s v="과천안산선 180량"/>
  </r>
  <r>
    <n v="989"/>
    <x v="2"/>
    <x v="6"/>
    <x v="47"/>
    <x v="2"/>
    <x v="0"/>
    <s v="경인선 80량"/>
  </r>
  <r>
    <n v="990"/>
    <x v="2"/>
    <x v="6"/>
    <x v="47"/>
    <x v="2"/>
    <x v="325"/>
    <s v="과천안산선 180량"/>
  </r>
  <r>
    <n v="991"/>
    <x v="2"/>
    <x v="6"/>
    <x v="47"/>
    <x v="0"/>
    <x v="510"/>
    <s v="과천안산선 70량"/>
  </r>
  <r>
    <n v="992"/>
    <x v="2"/>
    <x v="6"/>
    <x v="47"/>
    <x v="0"/>
    <x v="510"/>
    <s v="과천안산선 70량"/>
  </r>
  <r>
    <n v="993"/>
    <x v="2"/>
    <x v="0"/>
    <x v="26"/>
    <x v="2"/>
    <x v="435"/>
    <s v="과천안산선 180량"/>
  </r>
  <r>
    <n v="994"/>
    <x v="2"/>
    <x v="6"/>
    <x v="47"/>
    <x v="2"/>
    <x v="435"/>
    <s v="과천안산선 180량"/>
  </r>
  <r>
    <n v="995"/>
    <x v="2"/>
    <x v="6"/>
    <x v="47"/>
    <x v="2"/>
    <x v="435"/>
    <s v="과천안산선 180량"/>
  </r>
  <r>
    <n v="996"/>
    <x v="2"/>
    <x v="6"/>
    <x v="47"/>
    <x v="2"/>
    <x v="435"/>
    <s v="과천안산선 180량"/>
  </r>
  <r>
    <n v="997"/>
    <x v="2"/>
    <x v="6"/>
    <x v="47"/>
    <x v="2"/>
    <x v="435"/>
    <s v="과천안산선 180량"/>
  </r>
  <r>
    <n v="998"/>
    <x v="2"/>
    <x v="6"/>
    <x v="47"/>
    <x v="2"/>
    <x v="435"/>
    <s v="과천안산선 180량"/>
  </r>
  <r>
    <n v="999"/>
    <x v="1"/>
    <x v="5"/>
    <x v="10"/>
    <x v="2"/>
    <x v="1"/>
    <s v="과천안산선 180량"/>
  </r>
  <r>
    <n v="1000"/>
    <x v="1"/>
    <x v="5"/>
    <x v="10"/>
    <x v="2"/>
    <x v="1"/>
    <s v="분당선 108량"/>
  </r>
  <r>
    <n v="1001"/>
    <x v="2"/>
    <x v="6"/>
    <x v="47"/>
    <x v="1"/>
    <x v="1"/>
    <s v="동해선 28량"/>
  </r>
  <r>
    <n v="1002"/>
    <x v="2"/>
    <x v="6"/>
    <x v="47"/>
    <x v="2"/>
    <x v="327"/>
    <s v="과천안산선 180량"/>
  </r>
  <r>
    <n v="1003"/>
    <x v="2"/>
    <x v="6"/>
    <x v="47"/>
    <x v="2"/>
    <x v="533"/>
    <s v="경인선 80량"/>
  </r>
  <r>
    <n v="1004"/>
    <x v="2"/>
    <x v="6"/>
    <x v="47"/>
    <x v="2"/>
    <x v="534"/>
    <s v="분당선 108량"/>
  </r>
  <r>
    <n v="1005"/>
    <x v="2"/>
    <x v="6"/>
    <x v="47"/>
    <x v="2"/>
    <x v="535"/>
    <s v="경인선 80량"/>
  </r>
  <r>
    <n v="1006"/>
    <x v="2"/>
    <x v="0"/>
    <x v="26"/>
    <x v="2"/>
    <x v="158"/>
    <s v="과천안산선 180량"/>
  </r>
  <r>
    <n v="1007"/>
    <x v="2"/>
    <x v="6"/>
    <x v="47"/>
    <x v="2"/>
    <x v="536"/>
    <s v="분당선 108량"/>
  </r>
  <r>
    <n v="1008"/>
    <x v="2"/>
    <x v="6"/>
    <x v="47"/>
    <x v="2"/>
    <x v="480"/>
    <s v="분당선 108량"/>
  </r>
  <r>
    <n v="1009"/>
    <x v="2"/>
    <x v="0"/>
    <x v="0"/>
    <x v="0"/>
    <x v="243"/>
    <s v="과천안산선 70량"/>
  </r>
  <r>
    <n v="1010"/>
    <x v="0"/>
    <x v="1"/>
    <x v="3"/>
    <x v="2"/>
    <x v="161"/>
    <s v="과천안산선 180량"/>
  </r>
  <r>
    <n v="1011"/>
    <x v="2"/>
    <x v="0"/>
    <x v="26"/>
    <x v="2"/>
    <x v="123"/>
    <s v="과천안산선 180량"/>
  </r>
  <r>
    <n v="1012"/>
    <x v="2"/>
    <x v="2"/>
    <x v="1"/>
    <x v="2"/>
    <x v="537"/>
    <s v="경인선 80량"/>
  </r>
  <r>
    <n v="1013"/>
    <x v="2"/>
    <x v="6"/>
    <x v="47"/>
    <x v="2"/>
    <x v="480"/>
    <s v="과천안산선 180량"/>
  </r>
  <r>
    <n v="1014"/>
    <x v="2"/>
    <x v="6"/>
    <x v="47"/>
    <x v="0"/>
    <x v="298"/>
    <s v="과천안산선 70량"/>
  </r>
  <r>
    <n v="1015"/>
    <x v="2"/>
    <x v="6"/>
    <x v="47"/>
    <x v="2"/>
    <x v="538"/>
    <s v="과천안산선 180량"/>
  </r>
  <r>
    <n v="1016"/>
    <x v="2"/>
    <x v="3"/>
    <x v="17"/>
    <x v="2"/>
    <x v="539"/>
    <s v="경인선 80량"/>
  </r>
  <r>
    <n v="1017"/>
    <x v="2"/>
    <x v="6"/>
    <x v="47"/>
    <x v="0"/>
    <x v="339"/>
    <s v="과천안산선 70량"/>
  </r>
  <r>
    <n v="1018"/>
    <x v="2"/>
    <x v="6"/>
    <x v="47"/>
    <x v="2"/>
    <x v="82"/>
    <s v="과천안산선 180량"/>
  </r>
  <r>
    <n v="1019"/>
    <x v="2"/>
    <x v="6"/>
    <x v="47"/>
    <x v="2"/>
    <x v="82"/>
    <s v="과천안산선 180량"/>
  </r>
  <r>
    <n v="1020"/>
    <x v="2"/>
    <x v="6"/>
    <x v="47"/>
    <x v="2"/>
    <x v="82"/>
    <s v="과천안산선 180량"/>
  </r>
  <r>
    <n v="1021"/>
    <x v="2"/>
    <x v="6"/>
    <x v="3"/>
    <x v="0"/>
    <x v="540"/>
    <s v="과천안산선 70량"/>
  </r>
  <r>
    <n v="1022"/>
    <x v="2"/>
    <x v="6"/>
    <x v="47"/>
    <x v="0"/>
    <x v="541"/>
    <s v="1호선 40량"/>
  </r>
  <r>
    <n v="1023"/>
    <x v="2"/>
    <x v="6"/>
    <x v="47"/>
    <x v="0"/>
    <x v="542"/>
    <s v="과천안산선 70량"/>
  </r>
  <r>
    <n v="1024"/>
    <x v="2"/>
    <x v="6"/>
    <x v="47"/>
    <x v="0"/>
    <x v="543"/>
    <s v="경원선 18량"/>
  </r>
  <r>
    <n v="1025"/>
    <x v="2"/>
    <x v="6"/>
    <x v="47"/>
    <x v="2"/>
    <x v="544"/>
    <s v="과천안산선 180량"/>
  </r>
  <r>
    <n v="1026"/>
    <x v="2"/>
    <x v="6"/>
    <x v="47"/>
    <x v="2"/>
    <x v="401"/>
    <s v="분당선 108량"/>
  </r>
  <r>
    <n v="1027"/>
    <x v="2"/>
    <x v="6"/>
    <x v="47"/>
    <x v="2"/>
    <x v="488"/>
    <s v="과천안산선 180량"/>
  </r>
  <r>
    <n v="1028"/>
    <x v="2"/>
    <x v="6"/>
    <x v="47"/>
    <x v="2"/>
    <x v="234"/>
    <s v="분당선 108량"/>
  </r>
  <r>
    <n v="1029"/>
    <x v="2"/>
    <x v="6"/>
    <x v="47"/>
    <x v="2"/>
    <x v="544"/>
    <s v="과천안산선 180량"/>
  </r>
  <r>
    <n v="1030"/>
    <x v="2"/>
    <x v="6"/>
    <x v="47"/>
    <x v="2"/>
    <x v="42"/>
    <s v="과천안산선 180량"/>
  </r>
  <r>
    <n v="1031"/>
    <x v="2"/>
    <x v="6"/>
    <x v="47"/>
    <x v="2"/>
    <x v="42"/>
    <s v="과천안산선 180량"/>
  </r>
  <r>
    <n v="1032"/>
    <x v="2"/>
    <x v="6"/>
    <x v="47"/>
    <x v="2"/>
    <x v="42"/>
    <s v="과천안산선 180량"/>
  </r>
  <r>
    <n v="1033"/>
    <x v="2"/>
    <x v="6"/>
    <x v="47"/>
    <x v="2"/>
    <x v="488"/>
    <s v="과천안산선 180량"/>
  </r>
  <r>
    <n v="1034"/>
    <x v="2"/>
    <x v="6"/>
    <x v="47"/>
    <x v="0"/>
    <x v="541"/>
    <s v="1호선 40량"/>
  </r>
  <r>
    <n v="1035"/>
    <x v="1"/>
    <x v="5"/>
    <x v="10"/>
    <x v="2"/>
    <x v="1"/>
    <s v="과천안산선 180량"/>
  </r>
  <r>
    <n v="1036"/>
    <x v="2"/>
    <x v="6"/>
    <x v="47"/>
    <x v="0"/>
    <x v="545"/>
    <s v="과천안산선 70량"/>
  </r>
  <r>
    <n v="1037"/>
    <x v="2"/>
    <x v="6"/>
    <x v="47"/>
    <x v="2"/>
    <x v="400"/>
    <s v="과천안산선 180량"/>
  </r>
  <r>
    <n v="1038"/>
    <x v="2"/>
    <x v="6"/>
    <x v="47"/>
    <x v="2"/>
    <x v="175"/>
    <s v="과천안산선 180량"/>
  </r>
  <r>
    <n v="1039"/>
    <x v="2"/>
    <x v="6"/>
    <x v="47"/>
    <x v="2"/>
    <x v="291"/>
    <s v="과천안산선 180량"/>
  </r>
  <r>
    <n v="1040"/>
    <x v="2"/>
    <x v="6"/>
    <x v="47"/>
    <x v="2"/>
    <x v="346"/>
    <s v="과천안산선 180량"/>
  </r>
  <r>
    <n v="1041"/>
    <x v="3"/>
    <x v="6"/>
    <x v="47"/>
    <x v="2"/>
    <x v="492"/>
    <s v="과천안산선 180량"/>
  </r>
  <r>
    <n v="1042"/>
    <x v="3"/>
    <x v="6"/>
    <x v="47"/>
    <x v="2"/>
    <x v="492"/>
    <s v="과천안산선 180량"/>
  </r>
  <r>
    <n v="1043"/>
    <x v="3"/>
    <x v="0"/>
    <x v="0"/>
    <x v="2"/>
    <x v="492"/>
    <s v="과천안산선 180량"/>
  </r>
  <r>
    <n v="1044"/>
    <x v="3"/>
    <x v="6"/>
    <x v="47"/>
    <x v="0"/>
    <x v="546"/>
    <s v="1호선 40량"/>
  </r>
  <r>
    <n v="1045"/>
    <x v="3"/>
    <x v="6"/>
    <x v="47"/>
    <x v="2"/>
    <x v="447"/>
    <s v="과천안산선 180량"/>
  </r>
  <r>
    <n v="1046"/>
    <x v="3"/>
    <x v="6"/>
    <x v="47"/>
    <x v="0"/>
    <x v="525"/>
    <s v="과천안산선 70량"/>
  </r>
  <r>
    <n v="1047"/>
    <x v="3"/>
    <x v="6"/>
    <x v="47"/>
    <x v="0"/>
    <x v="525"/>
    <s v="과천안산선 70량"/>
  </r>
  <r>
    <n v="1048"/>
    <x v="3"/>
    <x v="0"/>
    <x v="0"/>
    <x v="0"/>
    <x v="525"/>
    <s v="과천안산선 70량"/>
  </r>
  <r>
    <n v="1049"/>
    <x v="3"/>
    <x v="6"/>
    <x v="47"/>
    <x v="0"/>
    <x v="506"/>
    <s v="과천안산선 70량"/>
  </r>
  <r>
    <n v="1050"/>
    <x v="3"/>
    <x v="6"/>
    <x v="47"/>
    <x v="2"/>
    <x v="547"/>
    <s v="과천안산선 180량"/>
  </r>
  <r>
    <n v="1051"/>
    <x v="3"/>
    <x v="6"/>
    <x v="47"/>
    <x v="2"/>
    <x v="447"/>
    <s v="과천안산선 180량"/>
  </r>
  <r>
    <n v="1052"/>
    <x v="3"/>
    <x v="6"/>
    <x v="47"/>
    <x v="2"/>
    <x v="548"/>
    <s v="경인선 80량"/>
  </r>
  <r>
    <n v="1053"/>
    <x v="3"/>
    <x v="6"/>
    <x v="47"/>
    <x v="2"/>
    <x v="410"/>
    <s v="과천안산선 180량"/>
  </r>
  <r>
    <n v="1054"/>
    <x v="3"/>
    <x v="6"/>
    <x v="47"/>
    <x v="2"/>
    <x v="549"/>
    <s v="과천안산선 180량"/>
  </r>
  <r>
    <n v="1055"/>
    <x v="3"/>
    <x v="6"/>
    <x v="47"/>
    <x v="2"/>
    <x v="550"/>
    <s v="경인선 80량"/>
  </r>
  <r>
    <n v="1056"/>
    <x v="3"/>
    <x v="6"/>
    <x v="47"/>
    <x v="2"/>
    <x v="184"/>
    <s v="과천안산선 180량"/>
  </r>
  <r>
    <n v="1057"/>
    <x v="3"/>
    <x v="6"/>
    <x v="47"/>
    <x v="2"/>
    <x v="184"/>
    <s v="과천안산선 180량"/>
  </r>
  <r>
    <n v="1058"/>
    <x v="3"/>
    <x v="6"/>
    <x v="47"/>
    <x v="2"/>
    <x v="551"/>
    <s v="경인선 80량"/>
  </r>
  <r>
    <n v="1059"/>
    <x v="3"/>
    <x v="6"/>
    <x v="47"/>
    <x v="2"/>
    <x v="351"/>
    <s v="과천안산선 180량"/>
  </r>
  <r>
    <n v="1060"/>
    <x v="3"/>
    <x v="6"/>
    <x v="47"/>
    <x v="0"/>
    <x v="552"/>
    <s v="과천안산선 70량"/>
  </r>
  <r>
    <n v="1061"/>
    <x v="1"/>
    <x v="5"/>
    <x v="10"/>
    <x v="0"/>
    <x v="1"/>
    <s v="과천안산선 70량"/>
  </r>
  <r>
    <n v="1062"/>
    <x v="3"/>
    <x v="6"/>
    <x v="47"/>
    <x v="0"/>
    <x v="459"/>
    <s v="과천안산선 70량"/>
  </r>
  <r>
    <n v="1063"/>
    <x v="3"/>
    <x v="6"/>
    <x v="47"/>
    <x v="0"/>
    <x v="459"/>
    <s v="과천안산선 70량"/>
  </r>
  <r>
    <n v="1064"/>
    <x v="3"/>
    <x v="6"/>
    <x v="47"/>
    <x v="1"/>
    <x v="1"/>
    <s v="동해선 28량"/>
  </r>
  <r>
    <n v="1065"/>
    <x v="3"/>
    <x v="6"/>
    <x v="47"/>
    <x v="2"/>
    <x v="553"/>
    <s v="경인선 80량"/>
  </r>
  <r>
    <n v="1066"/>
    <x v="3"/>
    <x v="6"/>
    <x v="47"/>
    <x v="2"/>
    <x v="250"/>
    <s v="과천안산선 180량"/>
  </r>
  <r>
    <n v="1067"/>
    <x v="3"/>
    <x v="6"/>
    <x v="47"/>
    <x v="2"/>
    <x v="554"/>
    <s v="경인선 80량"/>
  </r>
  <r>
    <n v="1068"/>
    <x v="3"/>
    <x v="6"/>
    <x v="47"/>
    <x v="2"/>
    <x v="554"/>
    <s v="경인선 80량"/>
  </r>
  <r>
    <n v="1069"/>
    <x v="3"/>
    <x v="6"/>
    <x v="47"/>
    <x v="2"/>
    <x v="554"/>
    <s v="경인선 80량"/>
  </r>
  <r>
    <n v="1070"/>
    <x v="3"/>
    <x v="6"/>
    <x v="47"/>
    <x v="2"/>
    <x v="554"/>
    <s v="경인선 80량"/>
  </r>
  <r>
    <n v="1071"/>
    <x v="3"/>
    <x v="6"/>
    <x v="47"/>
    <x v="2"/>
    <x v="555"/>
    <s v="분당선 108량"/>
  </r>
  <r>
    <n v="1072"/>
    <x v="3"/>
    <x v="6"/>
    <x v="47"/>
    <x v="0"/>
    <x v="478"/>
    <s v="과천안산선 70량"/>
  </r>
  <r>
    <n v="1073"/>
    <x v="3"/>
    <x v="6"/>
    <x v="47"/>
    <x v="2"/>
    <x v="556"/>
    <s v="과천안산선 180량"/>
  </r>
  <r>
    <n v="1074"/>
    <x v="3"/>
    <x v="6"/>
    <x v="47"/>
    <x v="0"/>
    <x v="557"/>
    <s v="과천안산선 70량"/>
  </r>
</pivotCacheRecords>
</file>

<file path=xl/pivotCache/pivotCacheRecords2.xml><?xml version="1.0" encoding="utf-8"?>
<pivotCacheRecords xmlns="http://schemas.openxmlformats.org/spreadsheetml/2006/main" xmlns:r="http://schemas.openxmlformats.org/officeDocument/2006/relationships" count="239">
  <r>
    <n v="11"/>
    <x v="0"/>
    <s v="유영돈"/>
  </r>
  <r>
    <n v="16"/>
    <x v="1"/>
    <s v="오재형"/>
  </r>
  <r>
    <n v="32"/>
    <x v="2"/>
    <s v="강명곤"/>
  </r>
  <r>
    <n v="36"/>
    <x v="1"/>
    <s v="오재형"/>
  </r>
  <r>
    <n v="49"/>
    <x v="3"/>
    <s v="김태윤"/>
  </r>
  <r>
    <n v="62"/>
    <x v="1"/>
    <s v="오재형"/>
  </r>
  <r>
    <n v="85"/>
    <x v="4"/>
    <s v="이찬용"/>
  </r>
  <r>
    <n v="107"/>
    <x v="4"/>
    <s v="이찬용"/>
  </r>
  <r>
    <n v="115"/>
    <x v="5"/>
    <s v="배노광"/>
  </r>
  <r>
    <n v="142"/>
    <x v="4"/>
    <s v="이찬용"/>
  </r>
  <r>
    <n v="144"/>
    <x v="3"/>
    <s v="김태윤"/>
  </r>
  <r>
    <n v="151"/>
    <x v="1"/>
    <s v="김장배"/>
  </r>
  <r>
    <n v="152"/>
    <x v="3"/>
    <s v="김태윤"/>
  </r>
  <r>
    <n v="156"/>
    <x v="2"/>
    <s v="강명곤"/>
  </r>
  <r>
    <n v="159"/>
    <x v="3"/>
    <s v="김태윤"/>
  </r>
  <r>
    <n v="160"/>
    <x v="3"/>
    <s v="김태윤"/>
  </r>
  <r>
    <n v="161"/>
    <x v="0"/>
    <s v="유영돈"/>
  </r>
  <r>
    <n v="169"/>
    <x v="3"/>
    <s v="김태윤"/>
  </r>
  <r>
    <n v="170"/>
    <x v="1"/>
    <s v="오재형"/>
  </r>
  <r>
    <n v="171"/>
    <x v="3"/>
    <s v="김태윤"/>
  </r>
  <r>
    <n v="184"/>
    <x v="5"/>
    <s v="배노광"/>
  </r>
  <r>
    <n v="186"/>
    <x v="5"/>
    <s v="배노광"/>
  </r>
  <r>
    <n v="189"/>
    <x v="4"/>
    <s v="이찬용"/>
  </r>
  <r>
    <n v="193"/>
    <x v="4"/>
    <s v="이찬용"/>
  </r>
  <r>
    <n v="194"/>
    <x v="1"/>
    <s v="오재형"/>
  </r>
  <r>
    <n v="195"/>
    <x v="1"/>
    <s v="오재형"/>
  </r>
  <r>
    <n v="196"/>
    <x v="2"/>
    <s v="장우현"/>
  </r>
  <r>
    <n v="204"/>
    <x v="3"/>
    <s v="김태윤"/>
  </r>
  <r>
    <n v="206"/>
    <x v="2"/>
    <s v="장우현"/>
  </r>
  <r>
    <n v="208"/>
    <x v="1"/>
    <s v="오재형"/>
  </r>
  <r>
    <n v="210"/>
    <x v="4"/>
    <s v="이찬용"/>
  </r>
  <r>
    <n v="212"/>
    <x v="2"/>
    <s v="장우현"/>
  </r>
  <r>
    <n v="215"/>
    <x v="4"/>
    <s v="이찬용"/>
  </r>
  <r>
    <n v="222"/>
    <x v="4"/>
    <s v="이선엽"/>
  </r>
  <r>
    <n v="229"/>
    <x v="0"/>
    <s v="유영돈"/>
  </r>
  <r>
    <n v="231"/>
    <x v="3"/>
    <s v="김태윤"/>
  </r>
  <r>
    <n v="239"/>
    <x v="4"/>
    <s v="이찬용"/>
  </r>
  <r>
    <n v="242"/>
    <x v="4"/>
    <s v="이찬용"/>
  </r>
  <r>
    <n v="248"/>
    <x v="4"/>
    <s v="이찬용"/>
  </r>
  <r>
    <n v="249"/>
    <x v="3"/>
    <s v="김태윤"/>
  </r>
  <r>
    <n v="257"/>
    <x v="4"/>
    <s v="이찬용"/>
  </r>
  <r>
    <n v="259"/>
    <x v="4"/>
    <s v="이찬용"/>
  </r>
  <r>
    <n v="268"/>
    <x v="4"/>
    <s v="이찬용"/>
  </r>
  <r>
    <n v="271"/>
    <x v="4"/>
    <s v="이찬용"/>
  </r>
  <r>
    <n v="276"/>
    <x v="5"/>
    <s v="배노광"/>
  </r>
  <r>
    <n v="277"/>
    <x v="4"/>
    <s v="이찬용"/>
  </r>
  <r>
    <n v="282"/>
    <x v="2"/>
    <s v="강명곤"/>
  </r>
  <r>
    <n v="287"/>
    <x v="5"/>
    <s v="김태윤"/>
  </r>
  <r>
    <n v="288"/>
    <x v="0"/>
    <s v="유영돈"/>
  </r>
  <r>
    <n v="294"/>
    <x v="4"/>
    <s v="이찬용"/>
  </r>
  <r>
    <n v="295"/>
    <x v="5"/>
    <s v="배노광"/>
  </r>
  <r>
    <n v="296"/>
    <x v="4"/>
    <s v="이찬용"/>
  </r>
  <r>
    <n v="304"/>
    <x v="5"/>
    <s v="배노광"/>
  </r>
  <r>
    <n v="305"/>
    <x v="3"/>
    <s v="김태윤"/>
  </r>
  <r>
    <n v="316"/>
    <x v="4"/>
    <s v="이찬용_x000a_이선엽"/>
  </r>
  <r>
    <n v="318"/>
    <x v="4"/>
    <s v="이찬용"/>
  </r>
  <r>
    <n v="321"/>
    <x v="5"/>
    <s v="배노광"/>
  </r>
  <r>
    <n v="322"/>
    <x v="4"/>
    <s v="이찬용"/>
  </r>
  <r>
    <n v="323"/>
    <x v="3"/>
    <s v="김태윤"/>
  </r>
  <r>
    <n v="330"/>
    <x v="6"/>
    <s v="이지훈"/>
  </r>
  <r>
    <n v="338"/>
    <x v="4"/>
    <s v="이찬용"/>
  </r>
  <r>
    <n v="340"/>
    <x v="5"/>
    <s v="배노광_x000a_유영돈"/>
  </r>
  <r>
    <n v="342"/>
    <x v="4"/>
    <s v="이찬용"/>
  </r>
  <r>
    <n v="345"/>
    <x v="5"/>
    <s v="배노광"/>
  </r>
  <r>
    <n v="346"/>
    <x v="3"/>
    <s v="김태윤"/>
  </r>
  <r>
    <n v="347"/>
    <x v="5"/>
    <s v="배노광"/>
  </r>
  <r>
    <n v="349"/>
    <x v="5"/>
    <s v="배노광_x000a_유영돈"/>
  </r>
  <r>
    <n v="351"/>
    <x v="0"/>
    <s v="배노광_x000a_유영돈"/>
  </r>
  <r>
    <n v="355"/>
    <x v="4"/>
    <s v="이찬용"/>
  </r>
  <r>
    <n v="362"/>
    <x v="2"/>
    <s v="장우현"/>
  </r>
  <r>
    <n v="364"/>
    <x v="3"/>
    <s v="김태윤"/>
  </r>
  <r>
    <n v="370"/>
    <x v="2"/>
    <s v="장우현"/>
  </r>
  <r>
    <n v="371"/>
    <x v="4"/>
    <s v="이찬용"/>
  </r>
  <r>
    <n v="372"/>
    <x v="5"/>
    <s v="배노광"/>
  </r>
  <r>
    <n v="378"/>
    <x v="4"/>
    <s v="이찬용"/>
  </r>
  <r>
    <n v="382"/>
    <x v="5"/>
    <s v="배노광"/>
  </r>
  <r>
    <n v="384"/>
    <x v="4"/>
    <s v="조현직"/>
  </r>
  <r>
    <n v="387"/>
    <x v="0"/>
    <s v="배노광_x000a_유영돈"/>
  </r>
  <r>
    <n v="392"/>
    <x v="1"/>
    <s v="오재형"/>
  </r>
  <r>
    <n v="396"/>
    <x v="2"/>
    <s v="장우현"/>
  </r>
  <r>
    <n v="400"/>
    <x v="6"/>
    <s v="이지훈"/>
  </r>
  <r>
    <n v="406"/>
    <x v="1"/>
    <s v="오재형"/>
  </r>
  <r>
    <n v="407"/>
    <x v="2"/>
    <s v="장우현"/>
  </r>
  <r>
    <n v="408"/>
    <x v="2"/>
    <s v="장우현"/>
  </r>
  <r>
    <n v="413"/>
    <x v="3"/>
    <s v="윤여근"/>
  </r>
  <r>
    <n v="421"/>
    <x v="2"/>
    <s v="장우현"/>
  </r>
  <r>
    <n v="422"/>
    <x v="4"/>
    <s v="이찬용"/>
  </r>
  <r>
    <n v="432"/>
    <x v="3"/>
    <s v="김태윤"/>
  </r>
  <r>
    <n v="435"/>
    <x v="3"/>
    <s v="윤여근"/>
  </r>
  <r>
    <n v="437"/>
    <x v="4"/>
    <s v="이찬용"/>
  </r>
  <r>
    <n v="438"/>
    <x v="3"/>
    <s v="김태윤"/>
  </r>
  <r>
    <n v="440"/>
    <x v="3"/>
    <s v="김태윤"/>
  </r>
  <r>
    <n v="441"/>
    <x v="3"/>
    <s v="윤여근"/>
  </r>
  <r>
    <n v="443"/>
    <x v="4"/>
    <s v="이찬용"/>
  </r>
  <r>
    <n v="445"/>
    <x v="3"/>
    <s v="김태윤"/>
  </r>
  <r>
    <n v="451"/>
    <x v="3"/>
    <s v="김태윤"/>
  </r>
  <r>
    <n v="453"/>
    <x v="4"/>
    <s v="이찬용"/>
  </r>
  <r>
    <n v="455"/>
    <x v="4"/>
    <s v="이찬용"/>
  </r>
  <r>
    <n v="456"/>
    <x v="4"/>
    <s v="이찬용"/>
  </r>
  <r>
    <n v="459"/>
    <x v="3"/>
    <s v="윤여근"/>
  </r>
  <r>
    <n v="460"/>
    <x v="3"/>
    <s v="김태윤"/>
  </r>
  <r>
    <n v="461"/>
    <x v="2"/>
    <s v="강명곤"/>
  </r>
  <r>
    <n v="462"/>
    <x v="3"/>
    <s v="김태윤"/>
  </r>
  <r>
    <n v="466"/>
    <x v="2"/>
    <s v="강명곤"/>
  </r>
  <r>
    <n v="472"/>
    <x v="1"/>
    <s v="오재형"/>
  </r>
  <r>
    <n v="473"/>
    <x v="4"/>
    <s v="이찬용"/>
  </r>
  <r>
    <n v="475"/>
    <x v="2"/>
    <s v="장우현"/>
  </r>
  <r>
    <n v="482"/>
    <x v="4"/>
    <s v="이찬용"/>
  </r>
  <r>
    <n v="483"/>
    <x v="2"/>
    <s v="장우현"/>
  </r>
  <r>
    <n v="485"/>
    <x v="4"/>
    <s v="이찬용"/>
  </r>
  <r>
    <n v="486"/>
    <x v="1"/>
    <s v="오재형_x000a_강명곤"/>
  </r>
  <r>
    <n v="488"/>
    <x v="4"/>
    <s v="조현직"/>
  </r>
  <r>
    <n v="492"/>
    <x v="5"/>
    <s v="민경식"/>
  </r>
  <r>
    <n v="495"/>
    <x v="5"/>
    <s v="배노광"/>
  </r>
  <r>
    <n v="502"/>
    <x v="2"/>
    <s v="장우현"/>
  </r>
  <r>
    <n v="503"/>
    <x v="3"/>
    <s v="윤여근"/>
  </r>
  <r>
    <n v="505"/>
    <x v="2"/>
    <s v="장우현"/>
  </r>
  <r>
    <n v="509"/>
    <x v="5"/>
    <s v="배노광"/>
  </r>
  <r>
    <n v="513"/>
    <x v="2"/>
    <s v="강명곤"/>
  </r>
  <r>
    <n v="515"/>
    <x v="5"/>
    <s v="배노광"/>
  </r>
  <r>
    <n v="522"/>
    <x v="3"/>
    <s v="김태윤"/>
  </r>
  <r>
    <n v="523"/>
    <x v="2"/>
    <s v="장우현"/>
  </r>
  <r>
    <n v="530"/>
    <x v="6"/>
    <s v="이지훈"/>
  </r>
  <r>
    <n v="533"/>
    <x v="3"/>
    <s v="김태윤"/>
  </r>
  <r>
    <n v="538"/>
    <x v="1"/>
    <s v="오재형"/>
  </r>
  <r>
    <n v="539"/>
    <x v="1"/>
    <s v="오재형"/>
  </r>
  <r>
    <n v="542"/>
    <x v="4"/>
    <s v="이찬용"/>
  </r>
  <r>
    <n v="544"/>
    <x v="4"/>
    <s v="이찬용"/>
  </r>
  <r>
    <n v="548"/>
    <x v="2"/>
    <s v="장우현"/>
  </r>
  <r>
    <n v="549"/>
    <x v="1"/>
    <s v="오재형"/>
  </r>
  <r>
    <n v="550"/>
    <x v="5"/>
    <s v="배노광"/>
  </r>
  <r>
    <n v="552"/>
    <x v="6"/>
    <s v="이지훈"/>
  </r>
  <r>
    <n v="555"/>
    <x v="2"/>
    <s v="장우현"/>
  </r>
  <r>
    <n v="556"/>
    <x v="2"/>
    <s v="장우현"/>
  </r>
  <r>
    <n v="558"/>
    <x v="4"/>
    <s v="조현직"/>
  </r>
  <r>
    <n v="561"/>
    <x v="4"/>
    <s v="조현직"/>
  </r>
  <r>
    <n v="562"/>
    <x v="2"/>
    <s v="강명곤"/>
  </r>
  <r>
    <n v="563"/>
    <x v="0"/>
    <s v="유영돈"/>
  </r>
  <r>
    <n v="566"/>
    <x v="4"/>
    <s v="이찬용_x000a_오재형"/>
  </r>
  <r>
    <n v="567"/>
    <x v="5"/>
    <s v="배노광"/>
  </r>
  <r>
    <n v="570"/>
    <x v="3"/>
    <s v="윤여근"/>
  </r>
  <r>
    <n v="571"/>
    <x v="3"/>
    <s v="김태윤"/>
  </r>
  <r>
    <n v="572"/>
    <x v="4"/>
    <s v="이찬용"/>
  </r>
  <r>
    <n v="573"/>
    <x v="4"/>
    <s v="이찬용"/>
  </r>
  <r>
    <n v="577"/>
    <x v="4"/>
    <s v="이선엽"/>
  </r>
  <r>
    <n v="580"/>
    <x v="4"/>
    <s v="이찬용"/>
  </r>
  <r>
    <n v="598"/>
    <x v="5"/>
    <s v="민경식"/>
  </r>
  <r>
    <n v="602"/>
    <x v="1"/>
    <s v="오재형"/>
  </r>
  <r>
    <n v="603"/>
    <x v="2"/>
    <s v="장우현"/>
  </r>
  <r>
    <n v="607"/>
    <x v="3"/>
    <s v="김기수"/>
  </r>
  <r>
    <n v="613"/>
    <x v="4"/>
    <s v="이찬용"/>
  </r>
  <r>
    <n v="615"/>
    <x v="3"/>
    <s v="윤여근"/>
  </r>
  <r>
    <n v="623"/>
    <x v="2"/>
    <s v="강명곤"/>
  </r>
  <r>
    <n v="630"/>
    <x v="3"/>
    <s v="김태윤"/>
  </r>
  <r>
    <n v="633"/>
    <x v="2"/>
    <s v="장우현"/>
  </r>
  <r>
    <n v="635"/>
    <x v="1"/>
    <s v="박진수"/>
  </r>
  <r>
    <n v="639"/>
    <x v="5"/>
    <s v="민경식"/>
  </r>
  <r>
    <n v="648"/>
    <x v="2"/>
    <s v="장우현"/>
  </r>
  <r>
    <n v="650"/>
    <x v="5"/>
    <s v="오재형_x000a_배노광_x000a_변성환"/>
  </r>
  <r>
    <n v="654"/>
    <x v="5"/>
    <s v="배노광"/>
  </r>
  <r>
    <n v="659"/>
    <x v="3"/>
    <s v="김태윤"/>
  </r>
  <r>
    <n v="662"/>
    <x v="4"/>
    <s v="조현직"/>
  </r>
  <r>
    <n v="664"/>
    <x v="3"/>
    <s v="김태윤"/>
  </r>
  <r>
    <n v="667"/>
    <x v="3"/>
    <s v="김태윤"/>
  </r>
  <r>
    <n v="668"/>
    <x v="3"/>
    <s v="김기수"/>
  </r>
  <r>
    <n v="675"/>
    <x v="4"/>
    <s v="조현직"/>
  </r>
  <r>
    <n v="676"/>
    <x v="2"/>
    <s v="강명곤"/>
  </r>
  <r>
    <n v="679"/>
    <x v="3"/>
    <s v="김태윤"/>
  </r>
  <r>
    <n v="690"/>
    <x v="5"/>
    <s v="배노광"/>
  </r>
  <r>
    <n v="701"/>
    <x v="1"/>
    <s v="박진수"/>
  </r>
  <r>
    <n v="702"/>
    <x v="6"/>
    <s v="이지훈"/>
  </r>
  <r>
    <n v="705"/>
    <x v="5"/>
    <s v="배노광"/>
  </r>
  <r>
    <n v="707"/>
    <x v="4"/>
    <s v="조현직"/>
  </r>
  <r>
    <n v="708"/>
    <x v="1"/>
    <s v="오재형"/>
  </r>
  <r>
    <n v="712"/>
    <x v="2"/>
    <s v="강명곤"/>
  </r>
  <r>
    <n v="714"/>
    <x v="4"/>
    <s v="이찬용"/>
  </r>
  <r>
    <n v="717"/>
    <x v="5"/>
    <s v="배노광"/>
  </r>
  <r>
    <n v="718"/>
    <x v="5"/>
    <s v="민경식"/>
  </r>
  <r>
    <n v="721"/>
    <x v="4"/>
    <s v="이찬용"/>
  </r>
  <r>
    <n v="730"/>
    <x v="4"/>
    <s v="이찬용"/>
  </r>
  <r>
    <n v="736"/>
    <x v="5"/>
    <s v="배노광"/>
  </r>
  <r>
    <n v="739"/>
    <x v="4"/>
    <s v="이찬용"/>
  </r>
  <r>
    <n v="745"/>
    <x v="2"/>
    <s v="강명곤"/>
  </r>
  <r>
    <n v="751"/>
    <x v="4"/>
    <s v="이찬용"/>
  </r>
  <r>
    <n v="760"/>
    <x v="3"/>
    <s v="윤여근"/>
  </r>
  <r>
    <n v="762"/>
    <x v="2"/>
    <s v="장우현"/>
  </r>
  <r>
    <n v="770"/>
    <x v="4"/>
    <s v="이찬용"/>
  </r>
  <r>
    <n v="771"/>
    <x v="2"/>
    <s v="장우현"/>
  </r>
  <r>
    <n v="773"/>
    <x v="3"/>
    <s v="김태윤"/>
  </r>
  <r>
    <n v="779"/>
    <x v="4"/>
    <s v="이찬용"/>
  </r>
  <r>
    <n v="781"/>
    <x v="4"/>
    <s v="이찬용"/>
  </r>
  <r>
    <n v="782"/>
    <x v="5"/>
    <s v="배노광"/>
  </r>
  <r>
    <n v="784"/>
    <x v="4"/>
    <s v="조현직"/>
  </r>
  <r>
    <n v="785"/>
    <x v="3"/>
    <s v="김태윤"/>
  </r>
  <r>
    <n v="788"/>
    <x v="3"/>
    <s v="윤여근"/>
  </r>
  <r>
    <n v="791"/>
    <x v="4"/>
    <s v="이찬용"/>
  </r>
  <r>
    <n v="793"/>
    <x v="4"/>
    <s v="이찬용"/>
  </r>
  <r>
    <n v="794"/>
    <x v="2"/>
    <s v="장우현"/>
  </r>
  <r>
    <n v="796"/>
    <x v="2"/>
    <s v="강명곤"/>
  </r>
  <r>
    <n v="801"/>
    <x v="7"/>
    <s v="변성환"/>
  </r>
  <r>
    <n v="802"/>
    <x v="2"/>
    <s v="장우현"/>
  </r>
  <r>
    <n v="803"/>
    <x v="5"/>
    <s v="배노광"/>
  </r>
  <r>
    <n v="810"/>
    <x v="4"/>
    <s v="이선엽"/>
  </r>
  <r>
    <n v="836"/>
    <x v="3"/>
    <s v="김태윤"/>
  </r>
  <r>
    <n v="842"/>
    <x v="4"/>
    <s v="이찬용"/>
  </r>
  <r>
    <n v="878"/>
    <x v="2"/>
    <s v="장우현"/>
  </r>
  <r>
    <n v="882"/>
    <x v="4"/>
    <s v="이선엽"/>
  </r>
  <r>
    <n v="883"/>
    <x v="4"/>
    <s v="이선엽"/>
  </r>
  <r>
    <n v="889"/>
    <x v="3"/>
    <s v="김태윤"/>
  </r>
  <r>
    <n v="892"/>
    <x v="1"/>
    <s v="오재형"/>
  </r>
  <r>
    <n v="893"/>
    <x v="4"/>
    <s v="이선엽"/>
  </r>
  <r>
    <n v="895"/>
    <x v="3"/>
    <s v="김태윤"/>
  </r>
  <r>
    <n v="904"/>
    <x v="4"/>
    <s v="이선엽"/>
  </r>
  <r>
    <n v="912"/>
    <x v="4"/>
    <s v="이선엽"/>
  </r>
  <r>
    <n v="919"/>
    <x v="4"/>
    <s v="이선엽"/>
  </r>
  <r>
    <n v="921"/>
    <x v="4"/>
    <s v="이선엽"/>
  </r>
  <r>
    <n v="923"/>
    <x v="1"/>
    <s v="오재형"/>
  </r>
  <r>
    <n v="924"/>
    <x v="1"/>
    <s v="오재형"/>
  </r>
  <r>
    <n v="931"/>
    <x v="2"/>
    <s v="강명곤"/>
  </r>
  <r>
    <n v="933"/>
    <x v="2"/>
    <s v="강명곤"/>
  </r>
  <r>
    <n v="934"/>
    <x v="5"/>
    <s v="배노광"/>
  </r>
  <r>
    <n v="944"/>
    <x v="7"/>
    <s v="변성환"/>
  </r>
  <r>
    <n v="949"/>
    <x v="2"/>
    <s v="강명곤"/>
  </r>
  <r>
    <n v="963"/>
    <x v="3"/>
    <s v="김기수"/>
  </r>
  <r>
    <n v="983"/>
    <x v="3"/>
    <s v="김태윤"/>
  </r>
  <r>
    <n v="984"/>
    <x v="5"/>
    <s v="배노광"/>
  </r>
  <r>
    <n v="993"/>
    <x v="4"/>
    <s v="이선엽"/>
  </r>
  <r>
    <n v="1002"/>
    <x v="5"/>
    <s v="배노광"/>
  </r>
  <r>
    <n v="1005"/>
    <x v="3"/>
    <s v="김태윤"/>
  </r>
  <r>
    <n v="1006"/>
    <x v="4"/>
    <s v="이선엽"/>
  </r>
  <r>
    <n v="1007"/>
    <x v="3"/>
    <s v="김태윤"/>
  </r>
  <r>
    <n v="1009"/>
    <x v="3"/>
    <s v="김기수"/>
  </r>
  <r>
    <n v="1011"/>
    <x v="4"/>
    <s v="이선엽"/>
  </r>
  <r>
    <n v="1012"/>
    <x v="7"/>
    <s v="변성환"/>
  </r>
  <r>
    <n v="1017"/>
    <x v="7"/>
    <s v="변성환"/>
  </r>
  <r>
    <n v="1021"/>
    <x v="3"/>
    <s v="김태윤"/>
  </r>
  <r>
    <n v="1028"/>
    <x v="6"/>
    <s v="이지훈"/>
  </r>
  <r>
    <n v="1043"/>
    <x v="3"/>
    <s v="김기수"/>
  </r>
  <r>
    <n v="1071"/>
    <x v="5"/>
    <s v="배노광"/>
  </r>
</pivotCacheRecords>
</file>

<file path=xl/pivotCache/pivotCacheRecords3.xml><?xml version="1.0" encoding="utf-8"?>
<pivotCacheRecords xmlns="http://schemas.openxmlformats.org/spreadsheetml/2006/main" xmlns:r="http://schemas.openxmlformats.org/officeDocument/2006/relationships" count="1121">
  <r>
    <n v="1"/>
    <x v="0"/>
    <x v="0"/>
    <x v="0"/>
  </r>
  <r>
    <n v="2"/>
    <x v="0"/>
    <x v="1"/>
    <x v="1"/>
  </r>
  <r>
    <n v="3"/>
    <x v="0"/>
    <x v="2"/>
    <x v="2"/>
  </r>
  <r>
    <n v="4"/>
    <x v="0"/>
    <x v="0"/>
    <x v="0"/>
  </r>
  <r>
    <n v="5"/>
    <x v="0"/>
    <x v="0"/>
    <x v="0"/>
  </r>
  <r>
    <n v="6"/>
    <x v="0"/>
    <x v="0"/>
    <x v="0"/>
  </r>
  <r>
    <n v="7"/>
    <x v="0"/>
    <x v="2"/>
    <x v="2"/>
  </r>
  <r>
    <n v="8"/>
    <x v="0"/>
    <x v="3"/>
    <x v="2"/>
  </r>
  <r>
    <n v="9"/>
    <x v="0"/>
    <x v="4"/>
    <x v="3"/>
  </r>
  <r>
    <n v="10"/>
    <x v="0"/>
    <x v="5"/>
    <x v="2"/>
  </r>
  <r>
    <n v="11"/>
    <x v="0"/>
    <x v="6"/>
    <x v="2"/>
  </r>
  <r>
    <n v="12"/>
    <x v="0"/>
    <x v="7"/>
    <x v="4"/>
  </r>
  <r>
    <n v="13"/>
    <x v="0"/>
    <x v="8"/>
    <x v="2"/>
  </r>
  <r>
    <n v="14"/>
    <x v="0"/>
    <x v="9"/>
    <x v="2"/>
  </r>
  <r>
    <n v="15"/>
    <x v="0"/>
    <x v="10"/>
    <x v="2"/>
  </r>
  <r>
    <n v="16"/>
    <x v="0"/>
    <x v="3"/>
    <x v="2"/>
  </r>
  <r>
    <n v="17"/>
    <x v="0"/>
    <x v="0"/>
    <x v="0"/>
  </r>
  <r>
    <n v="18"/>
    <x v="0"/>
    <x v="11"/>
    <x v="2"/>
  </r>
  <r>
    <n v="19"/>
    <x v="0"/>
    <x v="12"/>
    <x v="1"/>
  </r>
  <r>
    <n v="20"/>
    <x v="0"/>
    <x v="13"/>
    <x v="2"/>
  </r>
  <r>
    <n v="21"/>
    <x v="0"/>
    <x v="9"/>
    <x v="2"/>
  </r>
  <r>
    <n v="22"/>
    <x v="0"/>
    <x v="8"/>
    <x v="2"/>
  </r>
  <r>
    <n v="23"/>
    <x v="0"/>
    <x v="13"/>
    <x v="2"/>
  </r>
  <r>
    <n v="24"/>
    <x v="0"/>
    <x v="14"/>
    <x v="1"/>
  </r>
  <r>
    <n v="25"/>
    <x v="0"/>
    <x v="13"/>
    <x v="2"/>
  </r>
  <r>
    <n v="26"/>
    <x v="0"/>
    <x v="15"/>
    <x v="2"/>
  </r>
  <r>
    <n v="27"/>
    <x v="0"/>
    <x v="7"/>
    <x v="4"/>
  </r>
  <r>
    <n v="28"/>
    <x v="0"/>
    <x v="15"/>
    <x v="2"/>
  </r>
  <r>
    <n v="29"/>
    <x v="0"/>
    <x v="16"/>
    <x v="2"/>
  </r>
  <r>
    <n v="30"/>
    <x v="0"/>
    <x v="11"/>
    <x v="2"/>
  </r>
  <r>
    <n v="31"/>
    <x v="0"/>
    <x v="17"/>
    <x v="0"/>
  </r>
  <r>
    <n v="32"/>
    <x v="0"/>
    <x v="18"/>
    <x v="4"/>
  </r>
  <r>
    <n v="33"/>
    <x v="0"/>
    <x v="19"/>
    <x v="4"/>
  </r>
  <r>
    <n v="34"/>
    <x v="0"/>
    <x v="15"/>
    <x v="2"/>
  </r>
  <r>
    <n v="35"/>
    <x v="0"/>
    <x v="8"/>
    <x v="2"/>
  </r>
  <r>
    <n v="36"/>
    <x v="0"/>
    <x v="3"/>
    <x v="2"/>
  </r>
  <r>
    <n v="37"/>
    <x v="0"/>
    <x v="18"/>
    <x v="4"/>
  </r>
  <r>
    <n v="38"/>
    <x v="0"/>
    <x v="18"/>
    <x v="4"/>
  </r>
  <r>
    <n v="39"/>
    <x v="0"/>
    <x v="8"/>
    <x v="2"/>
  </r>
  <r>
    <n v="40"/>
    <x v="0"/>
    <x v="19"/>
    <x v="4"/>
  </r>
  <r>
    <n v="41"/>
    <x v="0"/>
    <x v="8"/>
    <x v="2"/>
  </r>
  <r>
    <n v="42"/>
    <x v="0"/>
    <x v="16"/>
    <x v="2"/>
  </r>
  <r>
    <n v="43"/>
    <x v="0"/>
    <x v="20"/>
    <x v="1"/>
  </r>
  <r>
    <n v="44"/>
    <x v="0"/>
    <x v="10"/>
    <x v="2"/>
  </r>
  <r>
    <n v="45"/>
    <x v="0"/>
    <x v="21"/>
    <x v="2"/>
  </r>
  <r>
    <n v="46"/>
    <x v="0"/>
    <x v="19"/>
    <x v="4"/>
  </r>
  <r>
    <n v="47"/>
    <x v="0"/>
    <x v="13"/>
    <x v="2"/>
  </r>
  <r>
    <n v="48"/>
    <x v="0"/>
    <x v="8"/>
    <x v="2"/>
  </r>
  <r>
    <n v="49"/>
    <x v="0"/>
    <x v="18"/>
    <x v="4"/>
  </r>
  <r>
    <n v="50"/>
    <x v="0"/>
    <x v="22"/>
    <x v="0"/>
  </r>
  <r>
    <n v="51"/>
    <x v="0"/>
    <x v="23"/>
    <x v="5"/>
  </r>
  <r>
    <n v="52"/>
    <x v="0"/>
    <x v="13"/>
    <x v="2"/>
  </r>
  <r>
    <n v="53"/>
    <x v="0"/>
    <x v="13"/>
    <x v="2"/>
  </r>
  <r>
    <n v="54"/>
    <x v="0"/>
    <x v="8"/>
    <x v="2"/>
  </r>
  <r>
    <n v="55"/>
    <x v="0"/>
    <x v="16"/>
    <x v="2"/>
  </r>
  <r>
    <n v="56"/>
    <x v="0"/>
    <x v="24"/>
    <x v="2"/>
  </r>
  <r>
    <n v="57"/>
    <x v="0"/>
    <x v="3"/>
    <x v="2"/>
  </r>
  <r>
    <n v="58"/>
    <x v="0"/>
    <x v="25"/>
    <x v="5"/>
  </r>
  <r>
    <n v="59"/>
    <x v="0"/>
    <x v="16"/>
    <x v="2"/>
  </r>
  <r>
    <n v="60"/>
    <x v="0"/>
    <x v="5"/>
    <x v="2"/>
  </r>
  <r>
    <n v="61"/>
    <x v="0"/>
    <x v="26"/>
    <x v="5"/>
  </r>
  <r>
    <n v="62"/>
    <x v="0"/>
    <x v="27"/>
    <x v="2"/>
  </r>
  <r>
    <n v="63"/>
    <x v="0"/>
    <x v="16"/>
    <x v="2"/>
  </r>
  <r>
    <n v="64"/>
    <x v="0"/>
    <x v="26"/>
    <x v="5"/>
  </r>
  <r>
    <n v="65"/>
    <x v="0"/>
    <x v="0"/>
    <x v="0"/>
  </r>
  <r>
    <n v="66"/>
    <x v="0"/>
    <x v="9"/>
    <x v="2"/>
  </r>
  <r>
    <n v="67"/>
    <x v="0"/>
    <x v="27"/>
    <x v="2"/>
  </r>
  <r>
    <n v="68"/>
    <x v="0"/>
    <x v="28"/>
    <x v="5"/>
  </r>
  <r>
    <n v="69"/>
    <x v="0"/>
    <x v="29"/>
    <x v="6"/>
  </r>
  <r>
    <n v="70"/>
    <x v="0"/>
    <x v="30"/>
    <x v="5"/>
  </r>
  <r>
    <n v="71"/>
    <x v="0"/>
    <x v="11"/>
    <x v="2"/>
  </r>
  <r>
    <n v="72"/>
    <x v="0"/>
    <x v="28"/>
    <x v="5"/>
  </r>
  <r>
    <n v="73"/>
    <x v="0"/>
    <x v="19"/>
    <x v="4"/>
  </r>
  <r>
    <n v="74"/>
    <x v="0"/>
    <x v="31"/>
    <x v="7"/>
  </r>
  <r>
    <n v="75"/>
    <x v="0"/>
    <x v="18"/>
    <x v="4"/>
  </r>
  <r>
    <n v="76"/>
    <x v="0"/>
    <x v="32"/>
    <x v="7"/>
  </r>
  <r>
    <n v="77"/>
    <x v="0"/>
    <x v="29"/>
    <x v="6"/>
  </r>
  <r>
    <n v="78"/>
    <x v="0"/>
    <x v="32"/>
    <x v="7"/>
  </r>
  <r>
    <n v="79"/>
    <x v="0"/>
    <x v="32"/>
    <x v="7"/>
  </r>
  <r>
    <n v="80"/>
    <x v="0"/>
    <x v="31"/>
    <x v="7"/>
  </r>
  <r>
    <n v="81"/>
    <x v="0"/>
    <x v="33"/>
    <x v="7"/>
  </r>
  <r>
    <n v="82"/>
    <x v="0"/>
    <x v="9"/>
    <x v="2"/>
  </r>
  <r>
    <n v="83"/>
    <x v="0"/>
    <x v="32"/>
    <x v="7"/>
  </r>
  <r>
    <n v="84"/>
    <x v="0"/>
    <x v="11"/>
    <x v="2"/>
  </r>
  <r>
    <n v="85"/>
    <x v="0"/>
    <x v="22"/>
    <x v="0"/>
  </r>
  <r>
    <n v="86"/>
    <x v="0"/>
    <x v="29"/>
    <x v="6"/>
  </r>
  <r>
    <n v="87"/>
    <x v="0"/>
    <x v="34"/>
    <x v="7"/>
  </r>
  <r>
    <n v="88"/>
    <x v="0"/>
    <x v="31"/>
    <x v="7"/>
  </r>
  <r>
    <n v="89"/>
    <x v="0"/>
    <x v="24"/>
    <x v="2"/>
  </r>
  <r>
    <n v="90"/>
    <x v="0"/>
    <x v="29"/>
    <x v="6"/>
  </r>
  <r>
    <n v="91"/>
    <x v="0"/>
    <x v="29"/>
    <x v="6"/>
  </r>
  <r>
    <n v="92"/>
    <x v="0"/>
    <x v="29"/>
    <x v="6"/>
  </r>
  <r>
    <n v="93"/>
    <x v="0"/>
    <x v="32"/>
    <x v="7"/>
  </r>
  <r>
    <n v="94"/>
    <x v="0"/>
    <x v="29"/>
    <x v="6"/>
  </r>
  <r>
    <n v="95"/>
    <x v="0"/>
    <x v="16"/>
    <x v="2"/>
  </r>
  <r>
    <n v="96"/>
    <x v="0"/>
    <x v="13"/>
    <x v="2"/>
  </r>
  <r>
    <n v="97"/>
    <x v="0"/>
    <x v="33"/>
    <x v="7"/>
  </r>
  <r>
    <n v="98"/>
    <x v="0"/>
    <x v="33"/>
    <x v="7"/>
  </r>
  <r>
    <n v="99"/>
    <x v="0"/>
    <x v="32"/>
    <x v="7"/>
  </r>
  <r>
    <n v="100"/>
    <x v="0"/>
    <x v="7"/>
    <x v="4"/>
  </r>
  <r>
    <n v="101"/>
    <x v="0"/>
    <x v="34"/>
    <x v="7"/>
  </r>
  <r>
    <n v="102"/>
    <x v="0"/>
    <x v="13"/>
    <x v="2"/>
  </r>
  <r>
    <n v="103"/>
    <x v="0"/>
    <x v="2"/>
    <x v="2"/>
  </r>
  <r>
    <n v="104"/>
    <x v="0"/>
    <x v="8"/>
    <x v="2"/>
  </r>
  <r>
    <n v="105"/>
    <x v="0"/>
    <x v="4"/>
    <x v="3"/>
  </r>
  <r>
    <n v="106"/>
    <x v="0"/>
    <x v="34"/>
    <x v="7"/>
  </r>
  <r>
    <n v="107"/>
    <x v="0"/>
    <x v="34"/>
    <x v="7"/>
  </r>
  <r>
    <n v="108"/>
    <x v="0"/>
    <x v="32"/>
    <x v="7"/>
  </r>
  <r>
    <n v="109"/>
    <x v="0"/>
    <x v="32"/>
    <x v="7"/>
  </r>
  <r>
    <n v="110"/>
    <x v="0"/>
    <x v="31"/>
    <x v="7"/>
  </r>
  <r>
    <n v="111"/>
    <x v="0"/>
    <x v="18"/>
    <x v="4"/>
  </r>
  <r>
    <n v="112"/>
    <x v="0"/>
    <x v="34"/>
    <x v="7"/>
  </r>
  <r>
    <n v="113"/>
    <x v="0"/>
    <x v="2"/>
    <x v="2"/>
  </r>
  <r>
    <n v="114"/>
    <x v="0"/>
    <x v="8"/>
    <x v="2"/>
  </r>
  <r>
    <n v="115"/>
    <x v="0"/>
    <x v="0"/>
    <x v="0"/>
  </r>
  <r>
    <n v="116"/>
    <x v="0"/>
    <x v="24"/>
    <x v="2"/>
  </r>
  <r>
    <n v="117"/>
    <x v="0"/>
    <x v="19"/>
    <x v="4"/>
  </r>
  <r>
    <n v="118"/>
    <x v="0"/>
    <x v="18"/>
    <x v="4"/>
  </r>
  <r>
    <n v="119"/>
    <x v="0"/>
    <x v="13"/>
    <x v="2"/>
  </r>
  <r>
    <n v="120"/>
    <x v="0"/>
    <x v="7"/>
    <x v="4"/>
  </r>
  <r>
    <n v="121"/>
    <x v="0"/>
    <x v="24"/>
    <x v="2"/>
  </r>
  <r>
    <n v="122"/>
    <x v="0"/>
    <x v="28"/>
    <x v="5"/>
  </r>
  <r>
    <n v="123"/>
    <x v="0"/>
    <x v="2"/>
    <x v="2"/>
  </r>
  <r>
    <n v="124"/>
    <x v="0"/>
    <x v="35"/>
    <x v="7"/>
  </r>
  <r>
    <n v="125"/>
    <x v="0"/>
    <x v="33"/>
    <x v="7"/>
  </r>
  <r>
    <n v="126"/>
    <x v="0"/>
    <x v="33"/>
    <x v="7"/>
  </r>
  <r>
    <n v="127"/>
    <x v="0"/>
    <x v="32"/>
    <x v="7"/>
  </r>
  <r>
    <n v="128"/>
    <x v="0"/>
    <x v="32"/>
    <x v="7"/>
  </r>
  <r>
    <n v="129"/>
    <x v="0"/>
    <x v="32"/>
    <x v="7"/>
  </r>
  <r>
    <n v="130"/>
    <x v="0"/>
    <x v="36"/>
    <x v="7"/>
  </r>
  <r>
    <n v="131"/>
    <x v="0"/>
    <x v="34"/>
    <x v="7"/>
  </r>
  <r>
    <n v="132"/>
    <x v="0"/>
    <x v="37"/>
    <x v="7"/>
  </r>
  <r>
    <n v="133"/>
    <x v="0"/>
    <x v="34"/>
    <x v="7"/>
  </r>
  <r>
    <n v="134"/>
    <x v="0"/>
    <x v="32"/>
    <x v="7"/>
  </r>
  <r>
    <n v="135"/>
    <x v="0"/>
    <x v="34"/>
    <x v="7"/>
  </r>
  <r>
    <n v="136"/>
    <x v="0"/>
    <x v="33"/>
    <x v="7"/>
  </r>
  <r>
    <n v="137"/>
    <x v="0"/>
    <x v="37"/>
    <x v="7"/>
  </r>
  <r>
    <n v="138"/>
    <x v="0"/>
    <x v="32"/>
    <x v="7"/>
  </r>
  <r>
    <n v="139"/>
    <x v="0"/>
    <x v="33"/>
    <x v="7"/>
  </r>
  <r>
    <n v="140"/>
    <x v="0"/>
    <x v="34"/>
    <x v="7"/>
  </r>
  <r>
    <n v="141"/>
    <x v="0"/>
    <x v="34"/>
    <x v="7"/>
  </r>
  <r>
    <n v="142"/>
    <x v="0"/>
    <x v="33"/>
    <x v="7"/>
  </r>
  <r>
    <n v="143"/>
    <x v="0"/>
    <x v="34"/>
    <x v="7"/>
  </r>
  <r>
    <n v="144"/>
    <x v="0"/>
    <x v="13"/>
    <x v="2"/>
  </r>
  <r>
    <n v="145"/>
    <x v="0"/>
    <x v="8"/>
    <x v="2"/>
  </r>
  <r>
    <n v="146"/>
    <x v="0"/>
    <x v="38"/>
    <x v="0"/>
  </r>
  <r>
    <n v="147"/>
    <x v="0"/>
    <x v="18"/>
    <x v="4"/>
  </r>
  <r>
    <n v="148"/>
    <x v="0"/>
    <x v="39"/>
    <x v="0"/>
  </r>
  <r>
    <n v="149"/>
    <x v="0"/>
    <x v="40"/>
    <x v="7"/>
  </r>
  <r>
    <n v="150"/>
    <x v="0"/>
    <x v="40"/>
    <x v="7"/>
  </r>
  <r>
    <n v="151"/>
    <x v="0"/>
    <x v="7"/>
    <x v="4"/>
  </r>
  <r>
    <n v="152"/>
    <x v="0"/>
    <x v="36"/>
    <x v="7"/>
  </r>
  <r>
    <n v="153"/>
    <x v="0"/>
    <x v="7"/>
    <x v="4"/>
  </r>
  <r>
    <n v="154"/>
    <x v="0"/>
    <x v="41"/>
    <x v="4"/>
  </r>
  <r>
    <n v="155"/>
    <x v="0"/>
    <x v="21"/>
    <x v="2"/>
  </r>
  <r>
    <n v="156"/>
    <x v="0"/>
    <x v="21"/>
    <x v="2"/>
  </r>
  <r>
    <n v="157"/>
    <x v="0"/>
    <x v="7"/>
    <x v="4"/>
  </r>
  <r>
    <n v="158"/>
    <x v="0"/>
    <x v="42"/>
    <x v="0"/>
  </r>
  <r>
    <n v="159"/>
    <x v="0"/>
    <x v="22"/>
    <x v="0"/>
  </r>
  <r>
    <n v="160"/>
    <x v="0"/>
    <x v="43"/>
    <x v="2"/>
  </r>
  <r>
    <n v="161"/>
    <x v="0"/>
    <x v="2"/>
    <x v="2"/>
  </r>
  <r>
    <n v="162"/>
    <x v="0"/>
    <x v="38"/>
    <x v="0"/>
  </r>
  <r>
    <n v="163"/>
    <x v="0"/>
    <x v="41"/>
    <x v="4"/>
  </r>
  <r>
    <n v="164"/>
    <x v="0"/>
    <x v="10"/>
    <x v="2"/>
  </r>
  <r>
    <n v="165"/>
    <x v="0"/>
    <x v="36"/>
    <x v="7"/>
  </r>
  <r>
    <n v="166"/>
    <x v="0"/>
    <x v="13"/>
    <x v="2"/>
  </r>
  <r>
    <n v="167"/>
    <x v="0"/>
    <x v="2"/>
    <x v="2"/>
  </r>
  <r>
    <n v="168"/>
    <x v="0"/>
    <x v="44"/>
    <x v="0"/>
  </r>
  <r>
    <n v="169"/>
    <x v="0"/>
    <x v="0"/>
    <x v="0"/>
  </r>
  <r>
    <n v="170"/>
    <x v="0"/>
    <x v="9"/>
    <x v="2"/>
  </r>
  <r>
    <n v="171"/>
    <x v="0"/>
    <x v="16"/>
    <x v="2"/>
  </r>
  <r>
    <n v="172"/>
    <x v="0"/>
    <x v="39"/>
    <x v="0"/>
  </r>
  <r>
    <n v="173"/>
    <x v="0"/>
    <x v="38"/>
    <x v="0"/>
  </r>
  <r>
    <n v="174"/>
    <x v="0"/>
    <x v="39"/>
    <x v="0"/>
  </r>
  <r>
    <n v="175"/>
    <x v="0"/>
    <x v="11"/>
    <x v="2"/>
  </r>
  <r>
    <n v="176"/>
    <x v="0"/>
    <x v="16"/>
    <x v="2"/>
  </r>
  <r>
    <n v="177"/>
    <x v="0"/>
    <x v="45"/>
    <x v="0"/>
  </r>
  <r>
    <n v="178"/>
    <x v="0"/>
    <x v="41"/>
    <x v="4"/>
  </r>
  <r>
    <n v="179"/>
    <x v="0"/>
    <x v="41"/>
    <x v="4"/>
  </r>
  <r>
    <n v="180"/>
    <x v="0"/>
    <x v="46"/>
    <x v="8"/>
  </r>
  <r>
    <n v="181"/>
    <x v="0"/>
    <x v="8"/>
    <x v="2"/>
  </r>
  <r>
    <n v="182"/>
    <x v="0"/>
    <x v="2"/>
    <x v="2"/>
  </r>
  <r>
    <n v="183"/>
    <x v="0"/>
    <x v="13"/>
    <x v="2"/>
  </r>
  <r>
    <n v="184"/>
    <x v="0"/>
    <x v="21"/>
    <x v="2"/>
  </r>
  <r>
    <n v="185"/>
    <x v="0"/>
    <x v="16"/>
    <x v="2"/>
  </r>
  <r>
    <n v="186"/>
    <x v="0"/>
    <x v="27"/>
    <x v="2"/>
  </r>
  <r>
    <n v="187"/>
    <x v="0"/>
    <x v="33"/>
    <x v="7"/>
  </r>
  <r>
    <n v="188"/>
    <x v="0"/>
    <x v="47"/>
    <x v="7"/>
  </r>
  <r>
    <n v="189"/>
    <x v="0"/>
    <x v="0"/>
    <x v="0"/>
  </r>
  <r>
    <n v="190"/>
    <x v="0"/>
    <x v="39"/>
    <x v="0"/>
  </r>
  <r>
    <n v="191"/>
    <x v="0"/>
    <x v="13"/>
    <x v="2"/>
  </r>
  <r>
    <n v="192"/>
    <x v="0"/>
    <x v="5"/>
    <x v="2"/>
  </r>
  <r>
    <n v="193"/>
    <x v="0"/>
    <x v="43"/>
    <x v="2"/>
  </r>
  <r>
    <n v="194"/>
    <x v="0"/>
    <x v="22"/>
    <x v="0"/>
  </r>
  <r>
    <n v="195"/>
    <x v="0"/>
    <x v="6"/>
    <x v="2"/>
  </r>
  <r>
    <n v="196"/>
    <x v="0"/>
    <x v="5"/>
    <x v="2"/>
  </r>
  <r>
    <n v="197"/>
    <x v="0"/>
    <x v="7"/>
    <x v="4"/>
  </r>
  <r>
    <n v="198"/>
    <x v="0"/>
    <x v="9"/>
    <x v="2"/>
  </r>
  <r>
    <n v="199"/>
    <x v="0"/>
    <x v="48"/>
    <x v="0"/>
  </r>
  <r>
    <n v="200"/>
    <x v="0"/>
    <x v="5"/>
    <x v="2"/>
  </r>
  <r>
    <n v="201"/>
    <x v="0"/>
    <x v="2"/>
    <x v="2"/>
  </r>
  <r>
    <n v="202"/>
    <x v="0"/>
    <x v="17"/>
    <x v="0"/>
  </r>
  <r>
    <n v="203"/>
    <x v="0"/>
    <x v="35"/>
    <x v="7"/>
  </r>
  <r>
    <n v="204"/>
    <x v="0"/>
    <x v="27"/>
    <x v="2"/>
  </r>
  <r>
    <n v="205"/>
    <x v="0"/>
    <x v="43"/>
    <x v="2"/>
  </r>
  <r>
    <n v="206"/>
    <x v="0"/>
    <x v="24"/>
    <x v="2"/>
  </r>
  <r>
    <n v="207"/>
    <x v="0"/>
    <x v="39"/>
    <x v="0"/>
  </r>
  <r>
    <n v="208"/>
    <x v="0"/>
    <x v="2"/>
    <x v="2"/>
  </r>
  <r>
    <n v="209"/>
    <x v="0"/>
    <x v="18"/>
    <x v="4"/>
  </r>
  <r>
    <n v="210"/>
    <x v="0"/>
    <x v="0"/>
    <x v="0"/>
  </r>
  <r>
    <n v="211"/>
    <x v="0"/>
    <x v="49"/>
    <x v="7"/>
  </r>
  <r>
    <n v="212"/>
    <x v="0"/>
    <x v="16"/>
    <x v="2"/>
  </r>
  <r>
    <n v="213"/>
    <x v="0"/>
    <x v="39"/>
    <x v="0"/>
  </r>
  <r>
    <n v="214"/>
    <x v="0"/>
    <x v="43"/>
    <x v="2"/>
  </r>
  <r>
    <n v="215"/>
    <x v="0"/>
    <x v="43"/>
    <x v="2"/>
  </r>
  <r>
    <n v="216"/>
    <x v="0"/>
    <x v="16"/>
    <x v="2"/>
  </r>
  <r>
    <n v="217"/>
    <x v="0"/>
    <x v="27"/>
    <x v="2"/>
  </r>
  <r>
    <n v="218"/>
    <x v="0"/>
    <x v="3"/>
    <x v="2"/>
  </r>
  <r>
    <n v="219"/>
    <x v="0"/>
    <x v="5"/>
    <x v="2"/>
  </r>
  <r>
    <n v="220"/>
    <x v="0"/>
    <x v="41"/>
    <x v="4"/>
  </r>
  <r>
    <n v="221"/>
    <x v="0"/>
    <x v="39"/>
    <x v="0"/>
  </r>
  <r>
    <n v="222"/>
    <x v="0"/>
    <x v="31"/>
    <x v="7"/>
  </r>
  <r>
    <n v="223"/>
    <x v="0"/>
    <x v="22"/>
    <x v="0"/>
  </r>
  <r>
    <n v="224"/>
    <x v="0"/>
    <x v="38"/>
    <x v="0"/>
  </r>
  <r>
    <n v="225"/>
    <x v="0"/>
    <x v="50"/>
    <x v="0"/>
  </r>
  <r>
    <n v="226"/>
    <x v="0"/>
    <x v="6"/>
    <x v="2"/>
  </r>
  <r>
    <n v="227"/>
    <x v="0"/>
    <x v="19"/>
    <x v="4"/>
  </r>
  <r>
    <n v="228"/>
    <x v="0"/>
    <x v="21"/>
    <x v="2"/>
  </r>
  <r>
    <n v="229"/>
    <x v="0"/>
    <x v="16"/>
    <x v="2"/>
  </r>
  <r>
    <n v="230"/>
    <x v="0"/>
    <x v="13"/>
    <x v="2"/>
  </r>
  <r>
    <n v="231"/>
    <x v="0"/>
    <x v="8"/>
    <x v="2"/>
  </r>
  <r>
    <n v="232"/>
    <x v="0"/>
    <x v="11"/>
    <x v="2"/>
  </r>
  <r>
    <n v="233"/>
    <x v="0"/>
    <x v="45"/>
    <x v="0"/>
  </r>
  <r>
    <n v="234"/>
    <x v="0"/>
    <x v="21"/>
    <x v="2"/>
  </r>
  <r>
    <n v="235"/>
    <x v="0"/>
    <x v="45"/>
    <x v="0"/>
  </r>
  <r>
    <n v="236"/>
    <x v="0"/>
    <x v="16"/>
    <x v="2"/>
  </r>
  <r>
    <n v="237"/>
    <x v="0"/>
    <x v="11"/>
    <x v="2"/>
  </r>
  <r>
    <n v="238"/>
    <x v="0"/>
    <x v="15"/>
    <x v="2"/>
  </r>
  <r>
    <n v="239"/>
    <x v="0"/>
    <x v="15"/>
    <x v="2"/>
  </r>
  <r>
    <n v="240"/>
    <x v="0"/>
    <x v="19"/>
    <x v="4"/>
  </r>
  <r>
    <n v="241"/>
    <x v="0"/>
    <x v="16"/>
    <x v="2"/>
  </r>
  <r>
    <n v="242"/>
    <x v="0"/>
    <x v="11"/>
    <x v="2"/>
  </r>
  <r>
    <n v="243"/>
    <x v="0"/>
    <x v="2"/>
    <x v="2"/>
  </r>
  <r>
    <n v="244"/>
    <x v="0"/>
    <x v="11"/>
    <x v="2"/>
  </r>
  <r>
    <n v="245"/>
    <x v="0"/>
    <x v="11"/>
    <x v="2"/>
  </r>
  <r>
    <n v="246"/>
    <x v="0"/>
    <x v="41"/>
    <x v="4"/>
  </r>
  <r>
    <n v="247"/>
    <x v="0"/>
    <x v="41"/>
    <x v="4"/>
  </r>
  <r>
    <n v="248"/>
    <x v="0"/>
    <x v="42"/>
    <x v="0"/>
  </r>
  <r>
    <n v="249"/>
    <x v="0"/>
    <x v="8"/>
    <x v="2"/>
  </r>
  <r>
    <n v="250"/>
    <x v="0"/>
    <x v="43"/>
    <x v="2"/>
  </r>
  <r>
    <n v="251"/>
    <x v="0"/>
    <x v="39"/>
    <x v="0"/>
  </r>
  <r>
    <n v="252"/>
    <x v="0"/>
    <x v="41"/>
    <x v="4"/>
  </r>
  <r>
    <n v="253"/>
    <x v="0"/>
    <x v="2"/>
    <x v="2"/>
  </r>
  <r>
    <n v="254"/>
    <x v="0"/>
    <x v="11"/>
    <x v="2"/>
  </r>
  <r>
    <n v="255"/>
    <x v="0"/>
    <x v="3"/>
    <x v="2"/>
  </r>
  <r>
    <n v="256"/>
    <x v="0"/>
    <x v="13"/>
    <x v="2"/>
  </r>
  <r>
    <n v="257"/>
    <x v="0"/>
    <x v="0"/>
    <x v="0"/>
  </r>
  <r>
    <n v="258"/>
    <x v="0"/>
    <x v="34"/>
    <x v="7"/>
  </r>
  <r>
    <n v="259"/>
    <x v="0"/>
    <x v="50"/>
    <x v="0"/>
  </r>
  <r>
    <n v="260"/>
    <x v="0"/>
    <x v="42"/>
    <x v="0"/>
  </r>
  <r>
    <n v="261"/>
    <x v="0"/>
    <x v="45"/>
    <x v="0"/>
  </r>
  <r>
    <n v="262"/>
    <x v="0"/>
    <x v="19"/>
    <x v="4"/>
  </r>
  <r>
    <n v="263"/>
    <x v="0"/>
    <x v="18"/>
    <x v="4"/>
  </r>
  <r>
    <n v="264"/>
    <x v="0"/>
    <x v="41"/>
    <x v="4"/>
  </r>
  <r>
    <n v="265"/>
    <x v="0"/>
    <x v="18"/>
    <x v="4"/>
  </r>
  <r>
    <n v="266"/>
    <x v="0"/>
    <x v="24"/>
    <x v="2"/>
  </r>
  <r>
    <n v="267"/>
    <x v="0"/>
    <x v="33"/>
    <x v="7"/>
  </r>
  <r>
    <n v="268"/>
    <x v="0"/>
    <x v="50"/>
    <x v="0"/>
  </r>
  <r>
    <n v="269"/>
    <x v="0"/>
    <x v="33"/>
    <x v="7"/>
  </r>
  <r>
    <n v="270"/>
    <x v="0"/>
    <x v="6"/>
    <x v="2"/>
  </r>
  <r>
    <n v="271"/>
    <x v="0"/>
    <x v="6"/>
    <x v="2"/>
  </r>
  <r>
    <n v="272"/>
    <x v="0"/>
    <x v="21"/>
    <x v="2"/>
  </r>
  <r>
    <n v="273"/>
    <x v="0"/>
    <x v="21"/>
    <x v="2"/>
  </r>
  <r>
    <n v="274"/>
    <x v="0"/>
    <x v="51"/>
    <x v="5"/>
  </r>
  <r>
    <n v="275"/>
    <x v="0"/>
    <x v="16"/>
    <x v="2"/>
  </r>
  <r>
    <n v="276"/>
    <x v="1"/>
    <x v="2"/>
    <x v="2"/>
  </r>
  <r>
    <n v="277"/>
    <x v="1"/>
    <x v="22"/>
    <x v="0"/>
  </r>
  <r>
    <n v="278"/>
    <x v="1"/>
    <x v="52"/>
    <x v="0"/>
  </r>
  <r>
    <n v="279"/>
    <x v="1"/>
    <x v="43"/>
    <x v="2"/>
  </r>
  <r>
    <n v="280"/>
    <x v="1"/>
    <x v="19"/>
    <x v="4"/>
  </r>
  <r>
    <n v="281"/>
    <x v="1"/>
    <x v="21"/>
    <x v="2"/>
  </r>
  <r>
    <n v="282"/>
    <x v="1"/>
    <x v="12"/>
    <x v="1"/>
  </r>
  <r>
    <n v="283"/>
    <x v="1"/>
    <x v="10"/>
    <x v="2"/>
  </r>
  <r>
    <n v="284"/>
    <x v="1"/>
    <x v="27"/>
    <x v="2"/>
  </r>
  <r>
    <n v="285"/>
    <x v="1"/>
    <x v="11"/>
    <x v="2"/>
  </r>
  <r>
    <n v="286"/>
    <x v="1"/>
    <x v="18"/>
    <x v="4"/>
  </r>
  <r>
    <n v="287"/>
    <x v="1"/>
    <x v="18"/>
    <x v="4"/>
  </r>
  <r>
    <n v="288"/>
    <x v="1"/>
    <x v="13"/>
    <x v="2"/>
  </r>
  <r>
    <n v="289"/>
    <x v="2"/>
    <x v="19"/>
    <x v="4"/>
  </r>
  <r>
    <n v="290"/>
    <x v="1"/>
    <x v="2"/>
    <x v="2"/>
  </r>
  <r>
    <n v="291"/>
    <x v="1"/>
    <x v="48"/>
    <x v="0"/>
  </r>
  <r>
    <n v="292"/>
    <x v="2"/>
    <x v="10"/>
    <x v="2"/>
  </r>
  <r>
    <n v="293"/>
    <x v="1"/>
    <x v="47"/>
    <x v="7"/>
  </r>
  <r>
    <n v="294"/>
    <x v="1"/>
    <x v="24"/>
    <x v="2"/>
  </r>
  <r>
    <n v="295"/>
    <x v="1"/>
    <x v="2"/>
    <x v="2"/>
  </r>
  <r>
    <n v="296"/>
    <x v="1"/>
    <x v="0"/>
    <x v="0"/>
  </r>
  <r>
    <n v="297"/>
    <x v="1"/>
    <x v="41"/>
    <x v="4"/>
  </r>
  <r>
    <n v="298"/>
    <x v="1"/>
    <x v="37"/>
    <x v="7"/>
  </r>
  <r>
    <n v="299"/>
    <x v="2"/>
    <x v="28"/>
    <x v="5"/>
  </r>
  <r>
    <n v="300"/>
    <x v="1"/>
    <x v="5"/>
    <x v="2"/>
  </r>
  <r>
    <n v="301"/>
    <x v="1"/>
    <x v="24"/>
    <x v="2"/>
  </r>
  <r>
    <n v="302"/>
    <x v="1"/>
    <x v="16"/>
    <x v="2"/>
  </r>
  <r>
    <n v="303"/>
    <x v="1"/>
    <x v="5"/>
    <x v="2"/>
  </r>
  <r>
    <n v="304"/>
    <x v="1"/>
    <x v="7"/>
    <x v="4"/>
  </r>
  <r>
    <n v="305"/>
    <x v="1"/>
    <x v="8"/>
    <x v="2"/>
  </r>
  <r>
    <n v="306"/>
    <x v="1"/>
    <x v="13"/>
    <x v="2"/>
  </r>
  <r>
    <n v="307"/>
    <x v="2"/>
    <x v="45"/>
    <x v="0"/>
  </r>
  <r>
    <n v="308"/>
    <x v="1"/>
    <x v="2"/>
    <x v="2"/>
  </r>
  <r>
    <n v="309"/>
    <x v="2"/>
    <x v="48"/>
    <x v="0"/>
  </r>
  <r>
    <n v="310"/>
    <x v="3"/>
    <x v="15"/>
    <x v="2"/>
  </r>
  <r>
    <n v="311"/>
    <x v="3"/>
    <x v="22"/>
    <x v="0"/>
  </r>
  <r>
    <n v="312"/>
    <x v="1"/>
    <x v="43"/>
    <x v="2"/>
  </r>
  <r>
    <n v="313"/>
    <x v="1"/>
    <x v="43"/>
    <x v="2"/>
  </r>
  <r>
    <n v="314"/>
    <x v="1"/>
    <x v="48"/>
    <x v="0"/>
  </r>
  <r>
    <n v="315"/>
    <x v="2"/>
    <x v="22"/>
    <x v="0"/>
  </r>
  <r>
    <n v="316"/>
    <x v="1"/>
    <x v="38"/>
    <x v="0"/>
  </r>
  <r>
    <n v="317"/>
    <x v="1"/>
    <x v="21"/>
    <x v="2"/>
  </r>
  <r>
    <n v="318"/>
    <x v="1"/>
    <x v="0"/>
    <x v="0"/>
  </r>
  <r>
    <n v="319"/>
    <x v="1"/>
    <x v="16"/>
    <x v="2"/>
  </r>
  <r>
    <n v="320"/>
    <x v="2"/>
    <x v="21"/>
    <x v="2"/>
  </r>
  <r>
    <n v="321"/>
    <x v="1"/>
    <x v="18"/>
    <x v="4"/>
  </r>
  <r>
    <n v="322"/>
    <x v="1"/>
    <x v="22"/>
    <x v="0"/>
  </r>
  <r>
    <n v="323"/>
    <x v="1"/>
    <x v="52"/>
    <x v="0"/>
  </r>
  <r>
    <n v="324"/>
    <x v="1"/>
    <x v="40"/>
    <x v="7"/>
  </r>
  <r>
    <n v="325"/>
    <x v="1"/>
    <x v="16"/>
    <x v="2"/>
  </r>
  <r>
    <n v="326"/>
    <x v="2"/>
    <x v="6"/>
    <x v="2"/>
  </r>
  <r>
    <n v="327"/>
    <x v="1"/>
    <x v="2"/>
    <x v="2"/>
  </r>
  <r>
    <n v="328"/>
    <x v="2"/>
    <x v="2"/>
    <x v="2"/>
  </r>
  <r>
    <n v="329"/>
    <x v="1"/>
    <x v="2"/>
    <x v="2"/>
  </r>
  <r>
    <n v="330"/>
    <x v="1"/>
    <x v="11"/>
    <x v="2"/>
  </r>
  <r>
    <n v="331"/>
    <x v="2"/>
    <x v="43"/>
    <x v="2"/>
  </r>
  <r>
    <n v="332"/>
    <x v="2"/>
    <x v="27"/>
    <x v="2"/>
  </r>
  <r>
    <n v="333"/>
    <x v="1"/>
    <x v="10"/>
    <x v="2"/>
  </r>
  <r>
    <n v="334"/>
    <x v="1"/>
    <x v="47"/>
    <x v="7"/>
  </r>
  <r>
    <n v="335"/>
    <x v="1"/>
    <x v="45"/>
    <x v="0"/>
  </r>
  <r>
    <n v="336"/>
    <x v="3"/>
    <x v="11"/>
    <x v="2"/>
  </r>
  <r>
    <n v="337"/>
    <x v="1"/>
    <x v="33"/>
    <x v="7"/>
  </r>
  <r>
    <n v="338"/>
    <x v="1"/>
    <x v="19"/>
    <x v="4"/>
  </r>
  <r>
    <n v="339"/>
    <x v="1"/>
    <x v="10"/>
    <x v="2"/>
  </r>
  <r>
    <n v="340"/>
    <x v="1"/>
    <x v="2"/>
    <x v="2"/>
  </r>
  <r>
    <n v="341"/>
    <x v="1"/>
    <x v="9"/>
    <x v="2"/>
  </r>
  <r>
    <n v="342"/>
    <x v="1"/>
    <x v="18"/>
    <x v="4"/>
  </r>
  <r>
    <n v="343"/>
    <x v="1"/>
    <x v="10"/>
    <x v="2"/>
  </r>
  <r>
    <n v="344"/>
    <x v="2"/>
    <x v="10"/>
    <x v="2"/>
  </r>
  <r>
    <n v="345"/>
    <x v="1"/>
    <x v="2"/>
    <x v="2"/>
  </r>
  <r>
    <n v="346"/>
    <x v="1"/>
    <x v="18"/>
    <x v="4"/>
  </r>
  <r>
    <n v="347"/>
    <x v="1"/>
    <x v="16"/>
    <x v="2"/>
  </r>
  <r>
    <n v="348"/>
    <x v="1"/>
    <x v="27"/>
    <x v="2"/>
  </r>
  <r>
    <n v="349"/>
    <x v="1"/>
    <x v="2"/>
    <x v="2"/>
  </r>
  <r>
    <n v="350"/>
    <x v="2"/>
    <x v="39"/>
    <x v="0"/>
  </r>
  <r>
    <n v="351"/>
    <x v="1"/>
    <x v="2"/>
    <x v="2"/>
  </r>
  <r>
    <n v="352"/>
    <x v="1"/>
    <x v="6"/>
    <x v="2"/>
  </r>
  <r>
    <n v="353"/>
    <x v="1"/>
    <x v="18"/>
    <x v="4"/>
  </r>
  <r>
    <n v="354"/>
    <x v="1"/>
    <x v="43"/>
    <x v="2"/>
  </r>
  <r>
    <n v="355"/>
    <x v="1"/>
    <x v="6"/>
    <x v="2"/>
  </r>
  <r>
    <n v="356"/>
    <x v="1"/>
    <x v="16"/>
    <x v="2"/>
  </r>
  <r>
    <n v="357"/>
    <x v="1"/>
    <x v="41"/>
    <x v="4"/>
  </r>
  <r>
    <n v="358"/>
    <x v="1"/>
    <x v="43"/>
    <x v="2"/>
  </r>
  <r>
    <n v="359"/>
    <x v="1"/>
    <x v="49"/>
    <x v="7"/>
  </r>
  <r>
    <n v="360"/>
    <x v="1"/>
    <x v="43"/>
    <x v="2"/>
  </r>
  <r>
    <n v="361"/>
    <x v="1"/>
    <x v="19"/>
    <x v="4"/>
  </r>
  <r>
    <n v="362"/>
    <x v="1"/>
    <x v="18"/>
    <x v="4"/>
  </r>
  <r>
    <n v="363"/>
    <x v="1"/>
    <x v="18"/>
    <x v="4"/>
  </r>
  <r>
    <n v="364"/>
    <x v="1"/>
    <x v="18"/>
    <x v="4"/>
  </r>
  <r>
    <n v="365"/>
    <x v="1"/>
    <x v="10"/>
    <x v="2"/>
  </r>
  <r>
    <n v="366"/>
    <x v="2"/>
    <x v="9"/>
    <x v="2"/>
  </r>
  <r>
    <n v="367"/>
    <x v="2"/>
    <x v="35"/>
    <x v="7"/>
  </r>
  <r>
    <n v="368"/>
    <x v="3"/>
    <x v="11"/>
    <x v="2"/>
  </r>
  <r>
    <n v="369"/>
    <x v="1"/>
    <x v="27"/>
    <x v="2"/>
  </r>
  <r>
    <n v="370"/>
    <x v="1"/>
    <x v="18"/>
    <x v="4"/>
  </r>
  <r>
    <n v="371"/>
    <x v="1"/>
    <x v="18"/>
    <x v="4"/>
  </r>
  <r>
    <n v="372"/>
    <x v="1"/>
    <x v="42"/>
    <x v="0"/>
  </r>
  <r>
    <n v="373"/>
    <x v="1"/>
    <x v="34"/>
    <x v="7"/>
  </r>
  <r>
    <n v="374"/>
    <x v="1"/>
    <x v="24"/>
    <x v="2"/>
  </r>
  <r>
    <n v="375"/>
    <x v="1"/>
    <x v="5"/>
    <x v="2"/>
  </r>
  <r>
    <n v="376"/>
    <x v="2"/>
    <x v="41"/>
    <x v="4"/>
  </r>
  <r>
    <n v="377"/>
    <x v="1"/>
    <x v="36"/>
    <x v="7"/>
  </r>
  <r>
    <n v="378"/>
    <x v="1"/>
    <x v="7"/>
    <x v="4"/>
  </r>
  <r>
    <n v="379"/>
    <x v="1"/>
    <x v="9"/>
    <x v="2"/>
  </r>
  <r>
    <n v="380"/>
    <x v="1"/>
    <x v="8"/>
    <x v="2"/>
  </r>
  <r>
    <n v="381"/>
    <x v="1"/>
    <x v="22"/>
    <x v="0"/>
  </r>
  <r>
    <n v="382"/>
    <x v="1"/>
    <x v="49"/>
    <x v="7"/>
  </r>
  <r>
    <n v="383"/>
    <x v="1"/>
    <x v="13"/>
    <x v="2"/>
  </r>
  <r>
    <n v="384"/>
    <x v="1"/>
    <x v="18"/>
    <x v="4"/>
  </r>
  <r>
    <n v="385"/>
    <x v="1"/>
    <x v="8"/>
    <x v="2"/>
  </r>
  <r>
    <n v="386"/>
    <x v="1"/>
    <x v="53"/>
    <x v="4"/>
  </r>
  <r>
    <n v="387"/>
    <x v="1"/>
    <x v="15"/>
    <x v="2"/>
  </r>
  <r>
    <n v="388"/>
    <x v="3"/>
    <x v="53"/>
    <x v="4"/>
  </r>
  <r>
    <n v="389"/>
    <x v="1"/>
    <x v="5"/>
    <x v="2"/>
  </r>
  <r>
    <n v="390"/>
    <x v="1"/>
    <x v="34"/>
    <x v="7"/>
  </r>
  <r>
    <n v="391"/>
    <x v="1"/>
    <x v="19"/>
    <x v="4"/>
  </r>
  <r>
    <n v="392"/>
    <x v="1"/>
    <x v="54"/>
    <x v="0"/>
  </r>
  <r>
    <n v="393"/>
    <x v="1"/>
    <x v="35"/>
    <x v="7"/>
  </r>
  <r>
    <n v="394"/>
    <x v="1"/>
    <x v="52"/>
    <x v="0"/>
  </r>
  <r>
    <n v="395"/>
    <x v="1"/>
    <x v="44"/>
    <x v="0"/>
  </r>
  <r>
    <n v="396"/>
    <x v="1"/>
    <x v="2"/>
    <x v="2"/>
  </r>
  <r>
    <n v="397"/>
    <x v="1"/>
    <x v="40"/>
    <x v="7"/>
  </r>
  <r>
    <n v="398"/>
    <x v="1"/>
    <x v="18"/>
    <x v="4"/>
  </r>
  <r>
    <n v="399"/>
    <x v="1"/>
    <x v="45"/>
    <x v="0"/>
  </r>
  <r>
    <n v="400"/>
    <x v="1"/>
    <x v="15"/>
    <x v="2"/>
  </r>
  <r>
    <n v="401"/>
    <x v="1"/>
    <x v="54"/>
    <x v="0"/>
  </r>
  <r>
    <n v="402"/>
    <x v="1"/>
    <x v="41"/>
    <x v="4"/>
  </r>
  <r>
    <n v="403"/>
    <x v="1"/>
    <x v="53"/>
    <x v="4"/>
  </r>
  <r>
    <n v="404"/>
    <x v="3"/>
    <x v="55"/>
    <x v="4"/>
  </r>
  <r>
    <n v="405"/>
    <x v="1"/>
    <x v="10"/>
    <x v="2"/>
  </r>
  <r>
    <n v="406"/>
    <x v="1"/>
    <x v="15"/>
    <x v="2"/>
  </r>
  <r>
    <n v="407"/>
    <x v="1"/>
    <x v="11"/>
    <x v="2"/>
  </r>
  <r>
    <n v="408"/>
    <x v="1"/>
    <x v="2"/>
    <x v="2"/>
  </r>
  <r>
    <n v="409"/>
    <x v="1"/>
    <x v="6"/>
    <x v="2"/>
  </r>
  <r>
    <n v="410"/>
    <x v="1"/>
    <x v="55"/>
    <x v="4"/>
  </r>
  <r>
    <n v="411"/>
    <x v="1"/>
    <x v="45"/>
    <x v="0"/>
  </r>
  <r>
    <n v="412"/>
    <x v="1"/>
    <x v="33"/>
    <x v="7"/>
  </r>
  <r>
    <n v="413"/>
    <x v="1"/>
    <x v="38"/>
    <x v="0"/>
  </r>
  <r>
    <n v="414"/>
    <x v="1"/>
    <x v="2"/>
    <x v="2"/>
  </r>
  <r>
    <n v="415"/>
    <x v="1"/>
    <x v="9"/>
    <x v="2"/>
  </r>
  <r>
    <n v="416"/>
    <x v="1"/>
    <x v="8"/>
    <x v="2"/>
  </r>
  <r>
    <n v="417"/>
    <x v="1"/>
    <x v="47"/>
    <x v="7"/>
  </r>
  <r>
    <n v="418"/>
    <x v="1"/>
    <x v="33"/>
    <x v="7"/>
  </r>
  <r>
    <n v="419"/>
    <x v="3"/>
    <x v="15"/>
    <x v="2"/>
  </r>
  <r>
    <n v="420"/>
    <x v="3"/>
    <x v="2"/>
    <x v="2"/>
  </r>
  <r>
    <n v="421"/>
    <x v="1"/>
    <x v="2"/>
    <x v="2"/>
  </r>
  <r>
    <n v="422"/>
    <x v="1"/>
    <x v="8"/>
    <x v="2"/>
  </r>
  <r>
    <n v="423"/>
    <x v="1"/>
    <x v="8"/>
    <x v="2"/>
  </r>
  <r>
    <n v="424"/>
    <x v="1"/>
    <x v="3"/>
    <x v="2"/>
  </r>
  <r>
    <n v="425"/>
    <x v="1"/>
    <x v="15"/>
    <x v="2"/>
  </r>
  <r>
    <n v="426"/>
    <x v="1"/>
    <x v="53"/>
    <x v="4"/>
  </r>
  <r>
    <n v="427"/>
    <x v="1"/>
    <x v="21"/>
    <x v="2"/>
  </r>
  <r>
    <n v="428"/>
    <x v="1"/>
    <x v="15"/>
    <x v="2"/>
  </r>
  <r>
    <n v="429"/>
    <x v="1"/>
    <x v="32"/>
    <x v="7"/>
  </r>
  <r>
    <n v="430"/>
    <x v="1"/>
    <x v="37"/>
    <x v="7"/>
  </r>
  <r>
    <n v="431"/>
    <x v="1"/>
    <x v="8"/>
    <x v="2"/>
  </r>
  <r>
    <n v="432"/>
    <x v="1"/>
    <x v="54"/>
    <x v="0"/>
  </r>
  <r>
    <n v="433"/>
    <x v="1"/>
    <x v="37"/>
    <x v="7"/>
  </r>
  <r>
    <n v="434"/>
    <x v="1"/>
    <x v="52"/>
    <x v="0"/>
  </r>
  <r>
    <n v="435"/>
    <x v="1"/>
    <x v="54"/>
    <x v="0"/>
  </r>
  <r>
    <n v="436"/>
    <x v="1"/>
    <x v="56"/>
    <x v="4"/>
  </r>
  <r>
    <n v="437"/>
    <x v="1"/>
    <x v="56"/>
    <x v="4"/>
  </r>
  <r>
    <n v="438"/>
    <x v="1"/>
    <x v="52"/>
    <x v="0"/>
  </r>
  <r>
    <n v="439"/>
    <x v="2"/>
    <x v="57"/>
    <x v="7"/>
  </r>
  <r>
    <n v="440"/>
    <x v="1"/>
    <x v="27"/>
    <x v="2"/>
  </r>
  <r>
    <n v="441"/>
    <x v="1"/>
    <x v="38"/>
    <x v="0"/>
  </r>
  <r>
    <n v="442"/>
    <x v="3"/>
    <x v="21"/>
    <x v="2"/>
  </r>
  <r>
    <n v="443"/>
    <x v="1"/>
    <x v="55"/>
    <x v="4"/>
  </r>
  <r>
    <n v="444"/>
    <x v="1"/>
    <x v="36"/>
    <x v="7"/>
  </r>
  <r>
    <n v="445"/>
    <x v="1"/>
    <x v="5"/>
    <x v="2"/>
  </r>
  <r>
    <n v="446"/>
    <x v="2"/>
    <x v="5"/>
    <x v="2"/>
  </r>
  <r>
    <n v="447"/>
    <x v="2"/>
    <x v="53"/>
    <x v="4"/>
  </r>
  <r>
    <n v="448"/>
    <x v="1"/>
    <x v="53"/>
    <x v="4"/>
  </r>
  <r>
    <n v="449"/>
    <x v="1"/>
    <x v="27"/>
    <x v="2"/>
  </r>
  <r>
    <n v="450"/>
    <x v="1"/>
    <x v="5"/>
    <x v="2"/>
  </r>
  <r>
    <n v="451"/>
    <x v="1"/>
    <x v="24"/>
    <x v="2"/>
  </r>
  <r>
    <n v="452"/>
    <x v="1"/>
    <x v="53"/>
    <x v="4"/>
  </r>
  <r>
    <n v="453"/>
    <x v="1"/>
    <x v="5"/>
    <x v="2"/>
  </r>
  <r>
    <n v="454"/>
    <x v="1"/>
    <x v="19"/>
    <x v="4"/>
  </r>
  <r>
    <n v="455"/>
    <x v="1"/>
    <x v="56"/>
    <x v="4"/>
  </r>
  <r>
    <n v="456"/>
    <x v="1"/>
    <x v="5"/>
    <x v="2"/>
  </r>
  <r>
    <n v="457"/>
    <x v="1"/>
    <x v="44"/>
    <x v="0"/>
  </r>
  <r>
    <n v="458"/>
    <x v="2"/>
    <x v="19"/>
    <x v="4"/>
  </r>
  <r>
    <n v="459"/>
    <x v="1"/>
    <x v="58"/>
    <x v="7"/>
  </r>
  <r>
    <n v="460"/>
    <x v="1"/>
    <x v="54"/>
    <x v="0"/>
  </r>
  <r>
    <n v="461"/>
    <x v="1"/>
    <x v="56"/>
    <x v="4"/>
  </r>
  <r>
    <n v="462"/>
    <x v="1"/>
    <x v="43"/>
    <x v="2"/>
  </r>
  <r>
    <n v="463"/>
    <x v="1"/>
    <x v="19"/>
    <x v="4"/>
  </r>
  <r>
    <n v="464"/>
    <x v="3"/>
    <x v="9"/>
    <x v="2"/>
  </r>
  <r>
    <n v="465"/>
    <x v="2"/>
    <x v="55"/>
    <x v="4"/>
  </r>
  <r>
    <n v="466"/>
    <x v="1"/>
    <x v="56"/>
    <x v="4"/>
  </r>
  <r>
    <n v="467"/>
    <x v="1"/>
    <x v="24"/>
    <x v="2"/>
  </r>
  <r>
    <n v="468"/>
    <x v="2"/>
    <x v="24"/>
    <x v="2"/>
  </r>
  <r>
    <n v="469"/>
    <x v="2"/>
    <x v="55"/>
    <x v="4"/>
  </r>
  <r>
    <n v="470"/>
    <x v="1"/>
    <x v="13"/>
    <x v="2"/>
  </r>
  <r>
    <n v="471"/>
    <x v="1"/>
    <x v="24"/>
    <x v="2"/>
  </r>
  <r>
    <n v="472"/>
    <x v="1"/>
    <x v="52"/>
    <x v="0"/>
  </r>
  <r>
    <n v="473"/>
    <x v="1"/>
    <x v="45"/>
    <x v="0"/>
  </r>
  <r>
    <n v="474"/>
    <x v="3"/>
    <x v="2"/>
    <x v="2"/>
  </r>
  <r>
    <n v="475"/>
    <x v="1"/>
    <x v="2"/>
    <x v="2"/>
  </r>
  <r>
    <n v="476"/>
    <x v="3"/>
    <x v="55"/>
    <x v="4"/>
  </r>
  <r>
    <n v="477"/>
    <x v="2"/>
    <x v="47"/>
    <x v="7"/>
  </r>
  <r>
    <n v="478"/>
    <x v="1"/>
    <x v="33"/>
    <x v="7"/>
  </r>
  <r>
    <n v="479"/>
    <x v="1"/>
    <x v="9"/>
    <x v="2"/>
  </r>
  <r>
    <n v="480"/>
    <x v="3"/>
    <x v="43"/>
    <x v="2"/>
  </r>
  <r>
    <n v="481"/>
    <x v="1"/>
    <x v="59"/>
    <x v="7"/>
  </r>
  <r>
    <n v="482"/>
    <x v="1"/>
    <x v="47"/>
    <x v="7"/>
  </r>
  <r>
    <n v="483"/>
    <x v="1"/>
    <x v="2"/>
    <x v="2"/>
  </r>
  <r>
    <n v="484"/>
    <x v="1"/>
    <x v="42"/>
    <x v="0"/>
  </r>
  <r>
    <n v="485"/>
    <x v="1"/>
    <x v="60"/>
    <x v="7"/>
  </r>
  <r>
    <n v="486"/>
    <x v="1"/>
    <x v="52"/>
    <x v="0"/>
  </r>
  <r>
    <n v="487"/>
    <x v="1"/>
    <x v="13"/>
    <x v="2"/>
  </r>
  <r>
    <n v="488"/>
    <x v="1"/>
    <x v="19"/>
    <x v="4"/>
  </r>
  <r>
    <n v="489"/>
    <x v="1"/>
    <x v="16"/>
    <x v="2"/>
  </r>
  <r>
    <n v="490"/>
    <x v="2"/>
    <x v="16"/>
    <x v="2"/>
  </r>
  <r>
    <n v="491"/>
    <x v="2"/>
    <x v="52"/>
    <x v="0"/>
  </r>
  <r>
    <n v="492"/>
    <x v="1"/>
    <x v="42"/>
    <x v="0"/>
  </r>
  <r>
    <n v="493"/>
    <x v="1"/>
    <x v="8"/>
    <x v="2"/>
  </r>
  <r>
    <n v="494"/>
    <x v="1"/>
    <x v="24"/>
    <x v="2"/>
  </r>
  <r>
    <n v="495"/>
    <x v="1"/>
    <x v="38"/>
    <x v="0"/>
  </r>
  <r>
    <n v="496"/>
    <x v="3"/>
    <x v="55"/>
    <x v="4"/>
  </r>
  <r>
    <n v="497"/>
    <x v="1"/>
    <x v="55"/>
    <x v="4"/>
  </r>
  <r>
    <n v="498"/>
    <x v="1"/>
    <x v="55"/>
    <x v="4"/>
  </r>
  <r>
    <n v="499"/>
    <x v="1"/>
    <x v="13"/>
    <x v="2"/>
  </r>
  <r>
    <n v="500"/>
    <x v="1"/>
    <x v="13"/>
    <x v="2"/>
  </r>
  <r>
    <n v="501"/>
    <x v="1"/>
    <x v="13"/>
    <x v="2"/>
  </r>
  <r>
    <n v="502"/>
    <x v="1"/>
    <x v="13"/>
    <x v="2"/>
  </r>
  <r>
    <n v="503"/>
    <x v="1"/>
    <x v="59"/>
    <x v="7"/>
  </r>
  <r>
    <n v="504"/>
    <x v="2"/>
    <x v="55"/>
    <x v="4"/>
  </r>
  <r>
    <n v="505"/>
    <x v="1"/>
    <x v="21"/>
    <x v="2"/>
  </r>
  <r>
    <n v="506"/>
    <x v="1"/>
    <x v="19"/>
    <x v="4"/>
  </r>
  <r>
    <n v="507"/>
    <x v="3"/>
    <x v="7"/>
    <x v="4"/>
  </r>
  <r>
    <n v="508"/>
    <x v="2"/>
    <x v="18"/>
    <x v="4"/>
  </r>
  <r>
    <n v="509"/>
    <x v="1"/>
    <x v="44"/>
    <x v="0"/>
  </r>
  <r>
    <n v="510"/>
    <x v="3"/>
    <x v="58"/>
    <x v="7"/>
  </r>
  <r>
    <n v="511"/>
    <x v="3"/>
    <x v="7"/>
    <x v="4"/>
  </r>
  <r>
    <n v="512"/>
    <x v="1"/>
    <x v="55"/>
    <x v="4"/>
  </r>
  <r>
    <n v="513"/>
    <x v="1"/>
    <x v="55"/>
    <x v="4"/>
  </r>
  <r>
    <n v="514"/>
    <x v="2"/>
    <x v="55"/>
    <x v="4"/>
  </r>
  <r>
    <n v="515"/>
    <x v="1"/>
    <x v="13"/>
    <x v="2"/>
  </r>
  <r>
    <n v="516"/>
    <x v="1"/>
    <x v="13"/>
    <x v="2"/>
  </r>
  <r>
    <n v="517"/>
    <x v="3"/>
    <x v="15"/>
    <x v="2"/>
  </r>
  <r>
    <n v="518"/>
    <x v="1"/>
    <x v="53"/>
    <x v="4"/>
  </r>
  <r>
    <n v="519"/>
    <x v="3"/>
    <x v="54"/>
    <x v="0"/>
  </r>
  <r>
    <n v="520"/>
    <x v="1"/>
    <x v="2"/>
    <x v="2"/>
  </r>
  <r>
    <n v="521"/>
    <x v="1"/>
    <x v="55"/>
    <x v="4"/>
  </r>
  <r>
    <n v="522"/>
    <x v="1"/>
    <x v="16"/>
    <x v="2"/>
  </r>
  <r>
    <n v="523"/>
    <x v="1"/>
    <x v="2"/>
    <x v="2"/>
  </r>
  <r>
    <n v="524"/>
    <x v="3"/>
    <x v="11"/>
    <x v="2"/>
  </r>
  <r>
    <n v="525"/>
    <x v="3"/>
    <x v="2"/>
    <x v="2"/>
  </r>
  <r>
    <n v="526"/>
    <x v="2"/>
    <x v="15"/>
    <x v="2"/>
  </r>
  <r>
    <n v="527"/>
    <x v="1"/>
    <x v="53"/>
    <x v="4"/>
  </r>
  <r>
    <n v="528"/>
    <x v="1"/>
    <x v="40"/>
    <x v="7"/>
  </r>
  <r>
    <n v="529"/>
    <x v="3"/>
    <x v="42"/>
    <x v="0"/>
  </r>
  <r>
    <n v="530"/>
    <x v="1"/>
    <x v="7"/>
    <x v="4"/>
  </r>
  <r>
    <n v="531"/>
    <x v="1"/>
    <x v="2"/>
    <x v="2"/>
  </r>
  <r>
    <n v="532"/>
    <x v="1"/>
    <x v="57"/>
    <x v="7"/>
  </r>
  <r>
    <n v="533"/>
    <x v="1"/>
    <x v="59"/>
    <x v="7"/>
  </r>
  <r>
    <n v="534"/>
    <x v="1"/>
    <x v="15"/>
    <x v="2"/>
  </r>
  <r>
    <n v="535"/>
    <x v="1"/>
    <x v="15"/>
    <x v="2"/>
  </r>
  <r>
    <n v="536"/>
    <x v="2"/>
    <x v="59"/>
    <x v="7"/>
  </r>
  <r>
    <n v="537"/>
    <x v="1"/>
    <x v="9"/>
    <x v="2"/>
  </r>
  <r>
    <n v="538"/>
    <x v="1"/>
    <x v="18"/>
    <x v="4"/>
  </r>
  <r>
    <n v="539"/>
    <x v="1"/>
    <x v="11"/>
    <x v="2"/>
  </r>
  <r>
    <n v="540"/>
    <x v="1"/>
    <x v="60"/>
    <x v="7"/>
  </r>
  <r>
    <n v="541"/>
    <x v="1"/>
    <x v="2"/>
    <x v="2"/>
  </r>
  <r>
    <n v="542"/>
    <x v="1"/>
    <x v="22"/>
    <x v="0"/>
  </r>
  <r>
    <n v="543"/>
    <x v="1"/>
    <x v="42"/>
    <x v="0"/>
  </r>
  <r>
    <n v="544"/>
    <x v="1"/>
    <x v="11"/>
    <x v="2"/>
  </r>
  <r>
    <n v="545"/>
    <x v="2"/>
    <x v="53"/>
    <x v="4"/>
  </r>
  <r>
    <n v="546"/>
    <x v="1"/>
    <x v="42"/>
    <x v="0"/>
  </r>
  <r>
    <n v="547"/>
    <x v="1"/>
    <x v="6"/>
    <x v="2"/>
  </r>
  <r>
    <n v="548"/>
    <x v="1"/>
    <x v="10"/>
    <x v="2"/>
  </r>
  <r>
    <n v="549"/>
    <x v="1"/>
    <x v="10"/>
    <x v="2"/>
  </r>
  <r>
    <n v="550"/>
    <x v="1"/>
    <x v="33"/>
    <x v="7"/>
  </r>
  <r>
    <n v="551"/>
    <x v="1"/>
    <x v="53"/>
    <x v="4"/>
  </r>
  <r>
    <n v="552"/>
    <x v="1"/>
    <x v="21"/>
    <x v="2"/>
  </r>
  <r>
    <n v="553"/>
    <x v="1"/>
    <x v="5"/>
    <x v="2"/>
  </r>
  <r>
    <n v="554"/>
    <x v="1"/>
    <x v="43"/>
    <x v="2"/>
  </r>
  <r>
    <n v="555"/>
    <x v="1"/>
    <x v="10"/>
    <x v="2"/>
  </r>
  <r>
    <n v="556"/>
    <x v="1"/>
    <x v="10"/>
    <x v="2"/>
  </r>
  <r>
    <n v="557"/>
    <x v="1"/>
    <x v="6"/>
    <x v="2"/>
  </r>
  <r>
    <n v="558"/>
    <x v="1"/>
    <x v="54"/>
    <x v="0"/>
  </r>
  <r>
    <n v="559"/>
    <x v="1"/>
    <x v="3"/>
    <x v="2"/>
  </r>
  <r>
    <n v="560"/>
    <x v="1"/>
    <x v="6"/>
    <x v="2"/>
  </r>
  <r>
    <n v="561"/>
    <x v="1"/>
    <x v="38"/>
    <x v="0"/>
  </r>
  <r>
    <n v="562"/>
    <x v="1"/>
    <x v="42"/>
    <x v="0"/>
  </r>
  <r>
    <n v="563"/>
    <x v="1"/>
    <x v="42"/>
    <x v="0"/>
  </r>
  <r>
    <n v="564"/>
    <x v="1"/>
    <x v="45"/>
    <x v="0"/>
  </r>
  <r>
    <n v="565"/>
    <x v="1"/>
    <x v="2"/>
    <x v="2"/>
  </r>
  <r>
    <n v="566"/>
    <x v="1"/>
    <x v="54"/>
    <x v="0"/>
  </r>
  <r>
    <n v="567"/>
    <x v="1"/>
    <x v="52"/>
    <x v="0"/>
  </r>
  <r>
    <n v="568"/>
    <x v="2"/>
    <x v="43"/>
    <x v="2"/>
  </r>
  <r>
    <n v="569"/>
    <x v="1"/>
    <x v="43"/>
    <x v="2"/>
  </r>
  <r>
    <n v="570"/>
    <x v="1"/>
    <x v="58"/>
    <x v="7"/>
  </r>
  <r>
    <n v="571"/>
    <x v="1"/>
    <x v="53"/>
    <x v="4"/>
  </r>
  <r>
    <n v="572"/>
    <x v="1"/>
    <x v="11"/>
    <x v="2"/>
  </r>
  <r>
    <n v="573"/>
    <x v="1"/>
    <x v="53"/>
    <x v="4"/>
  </r>
  <r>
    <n v="574"/>
    <x v="3"/>
    <x v="27"/>
    <x v="2"/>
  </r>
  <r>
    <n v="575"/>
    <x v="1"/>
    <x v="31"/>
    <x v="7"/>
  </r>
  <r>
    <n v="576"/>
    <x v="3"/>
    <x v="2"/>
    <x v="2"/>
  </r>
  <r>
    <n v="577"/>
    <x v="1"/>
    <x v="32"/>
    <x v="7"/>
  </r>
  <r>
    <n v="578"/>
    <x v="3"/>
    <x v="2"/>
    <x v="2"/>
  </r>
  <r>
    <n v="579"/>
    <x v="1"/>
    <x v="44"/>
    <x v="0"/>
  </r>
  <r>
    <n v="580"/>
    <x v="1"/>
    <x v="50"/>
    <x v="0"/>
  </r>
  <r>
    <n v="581"/>
    <x v="2"/>
    <x v="44"/>
    <x v="0"/>
  </r>
  <r>
    <n v="582"/>
    <x v="2"/>
    <x v="50"/>
    <x v="0"/>
  </r>
  <r>
    <n v="583"/>
    <x v="1"/>
    <x v="43"/>
    <x v="2"/>
  </r>
  <r>
    <n v="584"/>
    <x v="3"/>
    <x v="2"/>
    <x v="2"/>
  </r>
  <r>
    <n v="585"/>
    <x v="3"/>
    <x v="18"/>
    <x v="4"/>
  </r>
  <r>
    <n v="586"/>
    <x v="2"/>
    <x v="43"/>
    <x v="2"/>
  </r>
  <r>
    <n v="587"/>
    <x v="1"/>
    <x v="5"/>
    <x v="2"/>
  </r>
  <r>
    <n v="588"/>
    <x v="3"/>
    <x v="61"/>
    <x v="4"/>
  </r>
  <r>
    <n v="589"/>
    <x v="3"/>
    <x v="5"/>
    <x v="2"/>
  </r>
  <r>
    <n v="590"/>
    <x v="1"/>
    <x v="22"/>
    <x v="0"/>
  </r>
  <r>
    <n v="591"/>
    <x v="2"/>
    <x v="52"/>
    <x v="0"/>
  </r>
  <r>
    <n v="592"/>
    <x v="3"/>
    <x v="16"/>
    <x v="2"/>
  </r>
  <r>
    <n v="593"/>
    <x v="3"/>
    <x v="16"/>
    <x v="2"/>
  </r>
  <r>
    <n v="594"/>
    <x v="3"/>
    <x v="55"/>
    <x v="4"/>
  </r>
  <r>
    <n v="595"/>
    <x v="1"/>
    <x v="42"/>
    <x v="0"/>
  </r>
  <r>
    <n v="596"/>
    <x v="3"/>
    <x v="53"/>
    <x v="4"/>
  </r>
  <r>
    <n v="597"/>
    <x v="3"/>
    <x v="27"/>
    <x v="2"/>
  </r>
  <r>
    <n v="598"/>
    <x v="1"/>
    <x v="9"/>
    <x v="2"/>
  </r>
  <r>
    <n v="599"/>
    <x v="1"/>
    <x v="47"/>
    <x v="7"/>
  </r>
  <r>
    <n v="600"/>
    <x v="1"/>
    <x v="41"/>
    <x v="4"/>
  </r>
  <r>
    <n v="601"/>
    <x v="2"/>
    <x v="40"/>
    <x v="7"/>
  </r>
  <r>
    <n v="602"/>
    <x v="1"/>
    <x v="22"/>
    <x v="0"/>
  </r>
  <r>
    <n v="603"/>
    <x v="1"/>
    <x v="11"/>
    <x v="2"/>
  </r>
  <r>
    <n v="604"/>
    <x v="2"/>
    <x v="22"/>
    <x v="0"/>
  </r>
  <r>
    <n v="605"/>
    <x v="3"/>
    <x v="32"/>
    <x v="7"/>
  </r>
  <r>
    <n v="606"/>
    <x v="3"/>
    <x v="62"/>
    <x v="4"/>
  </r>
  <r>
    <n v="607"/>
    <x v="1"/>
    <x v="9"/>
    <x v="2"/>
  </r>
  <r>
    <n v="608"/>
    <x v="3"/>
    <x v="20"/>
    <x v="1"/>
  </r>
  <r>
    <n v="609"/>
    <x v="2"/>
    <x v="63"/>
    <x v="4"/>
  </r>
  <r>
    <n v="610"/>
    <x v="2"/>
    <x v="63"/>
    <x v="4"/>
  </r>
  <r>
    <n v="611"/>
    <x v="3"/>
    <x v="11"/>
    <x v="2"/>
  </r>
  <r>
    <n v="612"/>
    <x v="3"/>
    <x v="56"/>
    <x v="4"/>
  </r>
  <r>
    <n v="613"/>
    <x v="1"/>
    <x v="33"/>
    <x v="7"/>
  </r>
  <r>
    <n v="614"/>
    <x v="2"/>
    <x v="57"/>
    <x v="7"/>
  </r>
  <r>
    <n v="615"/>
    <x v="1"/>
    <x v="58"/>
    <x v="7"/>
  </r>
  <r>
    <n v="616"/>
    <x v="3"/>
    <x v="62"/>
    <x v="4"/>
  </r>
  <r>
    <n v="617"/>
    <x v="1"/>
    <x v="62"/>
    <x v="4"/>
  </r>
  <r>
    <n v="618"/>
    <x v="3"/>
    <x v="6"/>
    <x v="2"/>
  </r>
  <r>
    <n v="619"/>
    <x v="1"/>
    <x v="40"/>
    <x v="7"/>
  </r>
  <r>
    <n v="620"/>
    <x v="2"/>
    <x v="64"/>
    <x v="8"/>
  </r>
  <r>
    <n v="621"/>
    <x v="3"/>
    <x v="56"/>
    <x v="4"/>
  </r>
  <r>
    <n v="622"/>
    <x v="1"/>
    <x v="42"/>
    <x v="0"/>
  </r>
  <r>
    <n v="623"/>
    <x v="1"/>
    <x v="61"/>
    <x v="4"/>
  </r>
  <r>
    <n v="624"/>
    <x v="3"/>
    <x v="32"/>
    <x v="7"/>
  </r>
  <r>
    <n v="625"/>
    <x v="3"/>
    <x v="54"/>
    <x v="0"/>
  </r>
  <r>
    <n v="626"/>
    <x v="3"/>
    <x v="3"/>
    <x v="2"/>
  </r>
  <r>
    <n v="627"/>
    <x v="1"/>
    <x v="47"/>
    <x v="7"/>
  </r>
  <r>
    <n v="628"/>
    <x v="3"/>
    <x v="22"/>
    <x v="0"/>
  </r>
  <r>
    <n v="629"/>
    <x v="1"/>
    <x v="9"/>
    <x v="2"/>
  </r>
  <r>
    <n v="630"/>
    <x v="1"/>
    <x v="27"/>
    <x v="2"/>
  </r>
  <r>
    <n v="631"/>
    <x v="1"/>
    <x v="11"/>
    <x v="2"/>
  </r>
  <r>
    <n v="632"/>
    <x v="2"/>
    <x v="56"/>
    <x v="4"/>
  </r>
  <r>
    <n v="633"/>
    <x v="1"/>
    <x v="11"/>
    <x v="2"/>
  </r>
  <r>
    <n v="634"/>
    <x v="1"/>
    <x v="53"/>
    <x v="4"/>
  </r>
  <r>
    <n v="635"/>
    <x v="1"/>
    <x v="53"/>
    <x v="4"/>
  </r>
  <r>
    <n v="636"/>
    <x v="1"/>
    <x v="5"/>
    <x v="2"/>
  </r>
  <r>
    <n v="637"/>
    <x v="1"/>
    <x v="43"/>
    <x v="2"/>
  </r>
  <r>
    <n v="638"/>
    <x v="2"/>
    <x v="55"/>
    <x v="4"/>
  </r>
  <r>
    <n v="639"/>
    <x v="1"/>
    <x v="55"/>
    <x v="4"/>
  </r>
  <r>
    <n v="640"/>
    <x v="2"/>
    <x v="43"/>
    <x v="2"/>
  </r>
  <r>
    <n v="641"/>
    <x v="3"/>
    <x v="54"/>
    <x v="0"/>
  </r>
  <r>
    <n v="642"/>
    <x v="1"/>
    <x v="53"/>
    <x v="4"/>
  </r>
  <r>
    <n v="643"/>
    <x v="3"/>
    <x v="43"/>
    <x v="2"/>
  </r>
  <r>
    <n v="644"/>
    <x v="1"/>
    <x v="15"/>
    <x v="2"/>
  </r>
  <r>
    <n v="645"/>
    <x v="1"/>
    <x v="8"/>
    <x v="2"/>
  </r>
  <r>
    <n v="646"/>
    <x v="3"/>
    <x v="2"/>
    <x v="2"/>
  </r>
  <r>
    <n v="647"/>
    <x v="3"/>
    <x v="11"/>
    <x v="2"/>
  </r>
  <r>
    <n v="648"/>
    <x v="1"/>
    <x v="11"/>
    <x v="2"/>
  </r>
  <r>
    <n v="649"/>
    <x v="3"/>
    <x v="11"/>
    <x v="2"/>
  </r>
  <r>
    <n v="650"/>
    <x v="1"/>
    <x v="39"/>
    <x v="0"/>
  </r>
  <r>
    <n v="651"/>
    <x v="1"/>
    <x v="56"/>
    <x v="4"/>
  </r>
  <r>
    <n v="652"/>
    <x v="2"/>
    <x v="39"/>
    <x v="0"/>
  </r>
  <r>
    <n v="653"/>
    <x v="1"/>
    <x v="56"/>
    <x v="4"/>
  </r>
  <r>
    <n v="654"/>
    <x v="1"/>
    <x v="44"/>
    <x v="0"/>
  </r>
  <r>
    <n v="655"/>
    <x v="2"/>
    <x v="5"/>
    <x v="2"/>
  </r>
  <r>
    <n v="656"/>
    <x v="2"/>
    <x v="39"/>
    <x v="0"/>
  </r>
  <r>
    <n v="657"/>
    <x v="1"/>
    <x v="19"/>
    <x v="4"/>
  </r>
  <r>
    <n v="658"/>
    <x v="3"/>
    <x v="44"/>
    <x v="0"/>
  </r>
  <r>
    <n v="659"/>
    <x v="1"/>
    <x v="44"/>
    <x v="0"/>
  </r>
  <r>
    <n v="660"/>
    <x v="1"/>
    <x v="54"/>
    <x v="0"/>
  </r>
  <r>
    <n v="661"/>
    <x v="1"/>
    <x v="53"/>
    <x v="4"/>
  </r>
  <r>
    <n v="662"/>
    <x v="1"/>
    <x v="56"/>
    <x v="4"/>
  </r>
  <r>
    <n v="663"/>
    <x v="3"/>
    <x v="5"/>
    <x v="2"/>
  </r>
  <r>
    <n v="664"/>
    <x v="1"/>
    <x v="54"/>
    <x v="0"/>
  </r>
  <r>
    <n v="665"/>
    <x v="1"/>
    <x v="56"/>
    <x v="4"/>
  </r>
  <r>
    <n v="666"/>
    <x v="3"/>
    <x v="37"/>
    <x v="7"/>
  </r>
  <r>
    <n v="667"/>
    <x v="1"/>
    <x v="59"/>
    <x v="7"/>
  </r>
  <r>
    <n v="668"/>
    <x v="1"/>
    <x v="18"/>
    <x v="4"/>
  </r>
  <r>
    <n v="669"/>
    <x v="2"/>
    <x v="63"/>
    <x v="4"/>
  </r>
  <r>
    <n v="670"/>
    <x v="1"/>
    <x v="15"/>
    <x v="2"/>
  </r>
  <r>
    <n v="671"/>
    <x v="2"/>
    <x v="15"/>
    <x v="2"/>
  </r>
  <r>
    <n v="672"/>
    <x v="2"/>
    <x v="61"/>
    <x v="4"/>
  </r>
  <r>
    <n v="673"/>
    <x v="2"/>
    <x v="56"/>
    <x v="4"/>
  </r>
  <r>
    <n v="674"/>
    <x v="1"/>
    <x v="56"/>
    <x v="4"/>
  </r>
  <r>
    <n v="675"/>
    <x v="1"/>
    <x v="56"/>
    <x v="4"/>
  </r>
  <r>
    <n v="676"/>
    <x v="1"/>
    <x v="15"/>
    <x v="2"/>
  </r>
  <r>
    <n v="677"/>
    <x v="1"/>
    <x v="15"/>
    <x v="2"/>
  </r>
  <r>
    <n v="678"/>
    <x v="1"/>
    <x v="32"/>
    <x v="7"/>
  </r>
  <r>
    <n v="679"/>
    <x v="1"/>
    <x v="44"/>
    <x v="0"/>
  </r>
  <r>
    <n v="680"/>
    <x v="2"/>
    <x v="65"/>
    <x v="8"/>
  </r>
  <r>
    <n v="681"/>
    <x v="3"/>
    <x v="61"/>
    <x v="4"/>
  </r>
  <r>
    <n v="682"/>
    <x v="2"/>
    <x v="61"/>
    <x v="4"/>
  </r>
  <r>
    <n v="683"/>
    <x v="2"/>
    <x v="61"/>
    <x v="4"/>
  </r>
  <r>
    <n v="684"/>
    <x v="2"/>
    <x v="63"/>
    <x v="4"/>
  </r>
  <r>
    <n v="685"/>
    <x v="2"/>
    <x v="63"/>
    <x v="4"/>
  </r>
  <r>
    <n v="686"/>
    <x v="1"/>
    <x v="5"/>
    <x v="2"/>
  </r>
  <r>
    <n v="687"/>
    <x v="3"/>
    <x v="5"/>
    <x v="2"/>
  </r>
  <r>
    <n v="688"/>
    <x v="3"/>
    <x v="21"/>
    <x v="2"/>
  </r>
  <r>
    <n v="689"/>
    <x v="1"/>
    <x v="18"/>
    <x v="4"/>
  </r>
  <r>
    <n v="690"/>
    <x v="1"/>
    <x v="44"/>
    <x v="0"/>
  </r>
  <r>
    <n v="691"/>
    <x v="1"/>
    <x v="49"/>
    <x v="7"/>
  </r>
  <r>
    <n v="692"/>
    <x v="3"/>
    <x v="62"/>
    <x v="4"/>
  </r>
  <r>
    <n v="693"/>
    <x v="2"/>
    <x v="62"/>
    <x v="4"/>
  </r>
  <r>
    <n v="694"/>
    <x v="2"/>
    <x v="63"/>
    <x v="4"/>
  </r>
  <r>
    <n v="695"/>
    <x v="2"/>
    <x v="63"/>
    <x v="4"/>
  </r>
  <r>
    <n v="696"/>
    <x v="1"/>
    <x v="63"/>
    <x v="4"/>
  </r>
  <r>
    <n v="697"/>
    <x v="2"/>
    <x v="55"/>
    <x v="4"/>
  </r>
  <r>
    <n v="698"/>
    <x v="3"/>
    <x v="55"/>
    <x v="4"/>
  </r>
  <r>
    <n v="699"/>
    <x v="2"/>
    <x v="24"/>
    <x v="2"/>
  </r>
  <r>
    <n v="700"/>
    <x v="3"/>
    <x v="63"/>
    <x v="4"/>
  </r>
  <r>
    <n v="701"/>
    <x v="1"/>
    <x v="60"/>
    <x v="7"/>
  </r>
  <r>
    <n v="702"/>
    <x v="1"/>
    <x v="56"/>
    <x v="4"/>
  </r>
  <r>
    <n v="703"/>
    <x v="1"/>
    <x v="24"/>
    <x v="2"/>
  </r>
  <r>
    <n v="704"/>
    <x v="3"/>
    <x v="19"/>
    <x v="4"/>
  </r>
  <r>
    <n v="705"/>
    <x v="1"/>
    <x v="19"/>
    <x v="4"/>
  </r>
  <r>
    <n v="706"/>
    <x v="3"/>
    <x v="19"/>
    <x v="4"/>
  </r>
  <r>
    <n v="707"/>
    <x v="1"/>
    <x v="39"/>
    <x v="0"/>
  </r>
  <r>
    <n v="708"/>
    <x v="1"/>
    <x v="62"/>
    <x v="4"/>
  </r>
  <r>
    <n v="709"/>
    <x v="3"/>
    <x v="24"/>
    <x v="2"/>
  </r>
  <r>
    <n v="710"/>
    <x v="1"/>
    <x v="37"/>
    <x v="7"/>
  </r>
  <r>
    <n v="711"/>
    <x v="1"/>
    <x v="3"/>
    <x v="2"/>
  </r>
  <r>
    <n v="712"/>
    <x v="1"/>
    <x v="55"/>
    <x v="4"/>
  </r>
  <r>
    <n v="713"/>
    <x v="1"/>
    <x v="58"/>
    <x v="7"/>
  </r>
  <r>
    <n v="714"/>
    <x v="1"/>
    <x v="22"/>
    <x v="0"/>
  </r>
  <r>
    <n v="715"/>
    <x v="3"/>
    <x v="56"/>
    <x v="4"/>
  </r>
  <r>
    <n v="716"/>
    <x v="2"/>
    <x v="55"/>
    <x v="4"/>
  </r>
  <r>
    <n v="717"/>
    <x v="1"/>
    <x v="19"/>
    <x v="4"/>
  </r>
  <r>
    <n v="718"/>
    <x v="1"/>
    <x v="0"/>
    <x v="0"/>
  </r>
  <r>
    <n v="719"/>
    <x v="3"/>
    <x v="55"/>
    <x v="4"/>
  </r>
  <r>
    <n v="720"/>
    <x v="1"/>
    <x v="47"/>
    <x v="7"/>
  </r>
  <r>
    <n v="721"/>
    <x v="1"/>
    <x v="53"/>
    <x v="4"/>
  </r>
  <r>
    <n v="722"/>
    <x v="3"/>
    <x v="10"/>
    <x v="2"/>
  </r>
  <r>
    <n v="723"/>
    <x v="2"/>
    <x v="55"/>
    <x v="4"/>
  </r>
  <r>
    <n v="724"/>
    <x v="3"/>
    <x v="42"/>
    <x v="0"/>
  </r>
  <r>
    <n v="725"/>
    <x v="2"/>
    <x v="38"/>
    <x v="0"/>
  </r>
  <r>
    <n v="726"/>
    <x v="2"/>
    <x v="63"/>
    <x v="4"/>
  </r>
  <r>
    <n v="727"/>
    <x v="1"/>
    <x v="41"/>
    <x v="4"/>
  </r>
  <r>
    <n v="728"/>
    <x v="1"/>
    <x v="38"/>
    <x v="0"/>
  </r>
  <r>
    <n v="729"/>
    <x v="3"/>
    <x v="56"/>
    <x v="4"/>
  </r>
  <r>
    <n v="730"/>
    <x v="1"/>
    <x v="42"/>
    <x v="0"/>
  </r>
  <r>
    <n v="731"/>
    <x v="1"/>
    <x v="56"/>
    <x v="4"/>
  </r>
  <r>
    <n v="732"/>
    <x v="2"/>
    <x v="53"/>
    <x v="4"/>
  </r>
  <r>
    <n v="733"/>
    <x v="3"/>
    <x v="61"/>
    <x v="4"/>
  </r>
  <r>
    <n v="734"/>
    <x v="3"/>
    <x v="54"/>
    <x v="0"/>
  </r>
  <r>
    <n v="735"/>
    <x v="3"/>
    <x v="10"/>
    <x v="2"/>
  </r>
  <r>
    <n v="736"/>
    <x v="1"/>
    <x v="37"/>
    <x v="7"/>
  </r>
  <r>
    <n v="737"/>
    <x v="2"/>
    <x v="16"/>
    <x v="2"/>
  </r>
  <r>
    <n v="738"/>
    <x v="3"/>
    <x v="57"/>
    <x v="7"/>
  </r>
  <r>
    <n v="739"/>
    <x v="1"/>
    <x v="18"/>
    <x v="4"/>
  </r>
  <r>
    <n v="740"/>
    <x v="2"/>
    <x v="16"/>
    <x v="2"/>
  </r>
  <r>
    <n v="741"/>
    <x v="2"/>
    <x v="61"/>
    <x v="4"/>
  </r>
  <r>
    <n v="742"/>
    <x v="2"/>
    <x v="53"/>
    <x v="4"/>
  </r>
  <r>
    <n v="743"/>
    <x v="3"/>
    <x v="15"/>
    <x v="2"/>
  </r>
  <r>
    <n v="744"/>
    <x v="3"/>
    <x v="52"/>
    <x v="0"/>
  </r>
  <r>
    <n v="745"/>
    <x v="1"/>
    <x v="39"/>
    <x v="0"/>
  </r>
  <r>
    <n v="746"/>
    <x v="3"/>
    <x v="6"/>
    <x v="2"/>
  </r>
  <r>
    <n v="747"/>
    <x v="3"/>
    <x v="55"/>
    <x v="4"/>
  </r>
  <r>
    <n v="748"/>
    <x v="2"/>
    <x v="52"/>
    <x v="0"/>
  </r>
  <r>
    <n v="749"/>
    <x v="2"/>
    <x v="39"/>
    <x v="0"/>
  </r>
  <r>
    <n v="750"/>
    <x v="3"/>
    <x v="10"/>
    <x v="2"/>
  </r>
  <r>
    <n v="751"/>
    <x v="1"/>
    <x v="6"/>
    <x v="2"/>
  </r>
  <r>
    <n v="752"/>
    <x v="2"/>
    <x v="21"/>
    <x v="2"/>
  </r>
  <r>
    <n v="753"/>
    <x v="3"/>
    <x v="61"/>
    <x v="4"/>
  </r>
  <r>
    <n v="754"/>
    <x v="1"/>
    <x v="61"/>
    <x v="4"/>
  </r>
  <r>
    <n v="755"/>
    <x v="1"/>
    <x v="31"/>
    <x v="7"/>
  </r>
  <r>
    <n v="756"/>
    <x v="2"/>
    <x v="63"/>
    <x v="4"/>
  </r>
  <r>
    <n v="757"/>
    <x v="3"/>
    <x v="66"/>
    <x v="1"/>
  </r>
  <r>
    <n v="758"/>
    <x v="1"/>
    <x v="13"/>
    <x v="2"/>
  </r>
  <r>
    <n v="759"/>
    <x v="1"/>
    <x v="43"/>
    <x v="2"/>
  </r>
  <r>
    <n v="760"/>
    <x v="1"/>
    <x v="18"/>
    <x v="4"/>
  </r>
  <r>
    <n v="761"/>
    <x v="1"/>
    <x v="43"/>
    <x v="2"/>
  </r>
  <r>
    <n v="762"/>
    <x v="1"/>
    <x v="61"/>
    <x v="4"/>
  </r>
  <r>
    <n v="763"/>
    <x v="2"/>
    <x v="53"/>
    <x v="4"/>
  </r>
  <r>
    <n v="764"/>
    <x v="3"/>
    <x v="54"/>
    <x v="0"/>
  </r>
  <r>
    <n v="765"/>
    <x v="1"/>
    <x v="62"/>
    <x v="4"/>
  </r>
  <r>
    <n v="766"/>
    <x v="3"/>
    <x v="19"/>
    <x v="4"/>
  </r>
  <r>
    <n v="767"/>
    <x v="3"/>
    <x v="7"/>
    <x v="4"/>
  </r>
  <r>
    <n v="768"/>
    <x v="1"/>
    <x v="53"/>
    <x v="4"/>
  </r>
  <r>
    <n v="769"/>
    <x v="1"/>
    <x v="18"/>
    <x v="4"/>
  </r>
  <r>
    <n v="770"/>
    <x v="1"/>
    <x v="67"/>
    <x v="1"/>
  </r>
  <r>
    <n v="771"/>
    <x v="1"/>
    <x v="7"/>
    <x v="4"/>
  </r>
  <r>
    <n v="772"/>
    <x v="1"/>
    <x v="27"/>
    <x v="2"/>
  </r>
  <r>
    <n v="773"/>
    <x v="1"/>
    <x v="13"/>
    <x v="2"/>
  </r>
  <r>
    <n v="774"/>
    <x v="2"/>
    <x v="32"/>
    <x v="7"/>
  </r>
  <r>
    <n v="775"/>
    <x v="1"/>
    <x v="7"/>
    <x v="4"/>
  </r>
  <r>
    <n v="776"/>
    <x v="1"/>
    <x v="54"/>
    <x v="0"/>
  </r>
  <r>
    <n v="777"/>
    <x v="1"/>
    <x v="41"/>
    <x v="4"/>
  </r>
  <r>
    <n v="778"/>
    <x v="3"/>
    <x v="41"/>
    <x v="4"/>
  </r>
  <r>
    <n v="779"/>
    <x v="1"/>
    <x v="41"/>
    <x v="4"/>
  </r>
  <r>
    <n v="780"/>
    <x v="3"/>
    <x v="56"/>
    <x v="4"/>
  </r>
  <r>
    <n v="781"/>
    <x v="1"/>
    <x v="40"/>
    <x v="7"/>
  </r>
  <r>
    <n v="782"/>
    <x v="1"/>
    <x v="19"/>
    <x v="4"/>
  </r>
  <r>
    <n v="783"/>
    <x v="3"/>
    <x v="41"/>
    <x v="4"/>
  </r>
  <r>
    <n v="784"/>
    <x v="1"/>
    <x v="38"/>
    <x v="0"/>
  </r>
  <r>
    <n v="785"/>
    <x v="1"/>
    <x v="9"/>
    <x v="2"/>
  </r>
  <r>
    <n v="786"/>
    <x v="3"/>
    <x v="53"/>
    <x v="4"/>
  </r>
  <r>
    <n v="787"/>
    <x v="3"/>
    <x v="44"/>
    <x v="0"/>
  </r>
  <r>
    <n v="788"/>
    <x v="1"/>
    <x v="18"/>
    <x v="4"/>
  </r>
  <r>
    <n v="789"/>
    <x v="3"/>
    <x v="41"/>
    <x v="4"/>
  </r>
  <r>
    <n v="790"/>
    <x v="1"/>
    <x v="42"/>
    <x v="0"/>
  </r>
  <r>
    <n v="791"/>
    <x v="1"/>
    <x v="47"/>
    <x v="7"/>
  </r>
  <r>
    <n v="792"/>
    <x v="3"/>
    <x v="63"/>
    <x v="4"/>
  </r>
  <r>
    <n v="793"/>
    <x v="1"/>
    <x v="42"/>
    <x v="0"/>
  </r>
  <r>
    <n v="794"/>
    <x v="1"/>
    <x v="52"/>
    <x v="0"/>
  </r>
  <r>
    <n v="795"/>
    <x v="1"/>
    <x v="41"/>
    <x v="4"/>
  </r>
  <r>
    <n v="796"/>
    <x v="1"/>
    <x v="62"/>
    <x v="4"/>
  </r>
  <r>
    <n v="797"/>
    <x v="3"/>
    <x v="5"/>
    <x v="2"/>
  </r>
  <r>
    <n v="798"/>
    <x v="3"/>
    <x v="5"/>
    <x v="2"/>
  </r>
  <r>
    <n v="799"/>
    <x v="3"/>
    <x v="52"/>
    <x v="0"/>
  </r>
  <r>
    <n v="800"/>
    <x v="1"/>
    <x v="44"/>
    <x v="0"/>
  </r>
  <r>
    <n v="801"/>
    <x v="1"/>
    <x v="47"/>
    <x v="7"/>
  </r>
  <r>
    <n v="802"/>
    <x v="1"/>
    <x v="68"/>
    <x v="7"/>
  </r>
  <r>
    <n v="803"/>
    <x v="1"/>
    <x v="19"/>
    <x v="4"/>
  </r>
  <r>
    <n v="804"/>
    <x v="1"/>
    <x v="53"/>
    <x v="4"/>
  </r>
  <r>
    <n v="805"/>
    <x v="3"/>
    <x v="19"/>
    <x v="4"/>
  </r>
  <r>
    <n v="806"/>
    <x v="3"/>
    <x v="63"/>
    <x v="4"/>
  </r>
  <r>
    <n v="807"/>
    <x v="2"/>
    <x v="62"/>
    <x v="4"/>
  </r>
  <r>
    <n v="808"/>
    <x v="3"/>
    <x v="61"/>
    <x v="4"/>
  </r>
  <r>
    <n v="809"/>
    <x v="3"/>
    <x v="62"/>
    <x v="4"/>
  </r>
  <r>
    <n v="810"/>
    <x v="1"/>
    <x v="34"/>
    <x v="7"/>
  </r>
  <r>
    <n v="811"/>
    <x v="1"/>
    <x v="47"/>
    <x v="7"/>
  </r>
  <r>
    <n v="812"/>
    <x v="2"/>
    <x v="16"/>
    <x v="2"/>
  </r>
  <r>
    <n v="813"/>
    <x v="1"/>
    <x v="15"/>
    <x v="2"/>
  </r>
  <r>
    <n v="814"/>
    <x v="1"/>
    <x v="44"/>
    <x v="0"/>
  </r>
  <r>
    <n v="815"/>
    <x v="3"/>
    <x v="5"/>
    <x v="2"/>
  </r>
  <r>
    <n v="816"/>
    <x v="3"/>
    <x v="7"/>
    <x v="4"/>
  </r>
  <r>
    <n v="817"/>
    <x v="3"/>
    <x v="7"/>
    <x v="4"/>
  </r>
  <r>
    <n v="818"/>
    <x v="1"/>
    <x v="21"/>
    <x v="2"/>
  </r>
  <r>
    <n v="819"/>
    <x v="2"/>
    <x v="21"/>
    <x v="2"/>
  </r>
  <r>
    <n v="820"/>
    <x v="1"/>
    <x v="21"/>
    <x v="2"/>
  </r>
  <r>
    <n v="821"/>
    <x v="2"/>
    <x v="10"/>
    <x v="2"/>
  </r>
  <r>
    <n v="822"/>
    <x v="3"/>
    <x v="5"/>
    <x v="2"/>
  </r>
  <r>
    <n v="823"/>
    <x v="3"/>
    <x v="56"/>
    <x v="4"/>
  </r>
  <r>
    <n v="824"/>
    <x v="1"/>
    <x v="63"/>
    <x v="4"/>
  </r>
  <r>
    <n v="825"/>
    <x v="3"/>
    <x v="21"/>
    <x v="2"/>
  </r>
  <r>
    <n v="826"/>
    <x v="3"/>
    <x v="8"/>
    <x v="2"/>
  </r>
  <r>
    <n v="827"/>
    <x v="2"/>
    <x v="54"/>
    <x v="0"/>
  </r>
  <r>
    <n v="828"/>
    <x v="1"/>
    <x v="19"/>
    <x v="4"/>
  </r>
  <r>
    <n v="829"/>
    <x v="3"/>
    <x v="69"/>
    <x v="2"/>
  </r>
  <r>
    <n v="830"/>
    <x v="3"/>
    <x v="69"/>
    <x v="2"/>
  </r>
  <r>
    <n v="831"/>
    <x v="3"/>
    <x v="2"/>
    <x v="2"/>
  </r>
  <r>
    <n v="832"/>
    <x v="1"/>
    <x v="16"/>
    <x v="2"/>
  </r>
  <r>
    <n v="833"/>
    <x v="3"/>
    <x v="15"/>
    <x v="2"/>
  </r>
  <r>
    <n v="834"/>
    <x v="3"/>
    <x v="15"/>
    <x v="2"/>
  </r>
  <r>
    <n v="835"/>
    <x v="3"/>
    <x v="10"/>
    <x v="2"/>
  </r>
  <r>
    <n v="836"/>
    <x v="1"/>
    <x v="35"/>
    <x v="7"/>
  </r>
  <r>
    <n v="837"/>
    <x v="1"/>
    <x v="1"/>
    <x v="1"/>
  </r>
  <r>
    <n v="838"/>
    <x v="3"/>
    <x v="33"/>
    <x v="7"/>
  </r>
  <r>
    <n v="839"/>
    <x v="3"/>
    <x v="7"/>
    <x v="4"/>
  </r>
  <r>
    <n v="840"/>
    <x v="3"/>
    <x v="2"/>
    <x v="2"/>
  </r>
  <r>
    <n v="841"/>
    <x v="3"/>
    <x v="19"/>
    <x v="4"/>
  </r>
  <r>
    <n v="842"/>
    <x v="1"/>
    <x v="61"/>
    <x v="4"/>
  </r>
  <r>
    <n v="843"/>
    <x v="1"/>
    <x v="53"/>
    <x v="4"/>
  </r>
  <r>
    <n v="844"/>
    <x v="3"/>
    <x v="19"/>
    <x v="4"/>
  </r>
  <r>
    <n v="845"/>
    <x v="3"/>
    <x v="19"/>
    <x v="4"/>
  </r>
  <r>
    <n v="846"/>
    <x v="3"/>
    <x v="19"/>
    <x v="4"/>
  </r>
  <r>
    <n v="847"/>
    <x v="3"/>
    <x v="55"/>
    <x v="4"/>
  </r>
  <r>
    <n v="848"/>
    <x v="3"/>
    <x v="55"/>
    <x v="4"/>
  </r>
  <r>
    <n v="849"/>
    <x v="1"/>
    <x v="55"/>
    <x v="4"/>
  </r>
  <r>
    <n v="850"/>
    <x v="3"/>
    <x v="5"/>
    <x v="2"/>
  </r>
  <r>
    <n v="851"/>
    <x v="2"/>
    <x v="16"/>
    <x v="2"/>
  </r>
  <r>
    <n v="852"/>
    <x v="3"/>
    <x v="70"/>
    <x v="2"/>
  </r>
  <r>
    <n v="853"/>
    <x v="1"/>
    <x v="63"/>
    <x v="4"/>
  </r>
  <r>
    <n v="854"/>
    <x v="3"/>
    <x v="11"/>
    <x v="2"/>
  </r>
  <r>
    <n v="855"/>
    <x v="3"/>
    <x v="2"/>
    <x v="2"/>
  </r>
  <r>
    <n v="856"/>
    <x v="3"/>
    <x v="39"/>
    <x v="0"/>
  </r>
  <r>
    <n v="857"/>
    <x v="1"/>
    <x v="52"/>
    <x v="0"/>
  </r>
  <r>
    <n v="858"/>
    <x v="3"/>
    <x v="19"/>
    <x v="4"/>
  </r>
  <r>
    <n v="859"/>
    <x v="3"/>
    <x v="31"/>
    <x v="7"/>
  </r>
  <r>
    <n v="860"/>
    <x v="2"/>
    <x v="11"/>
    <x v="2"/>
  </r>
  <r>
    <n v="861"/>
    <x v="3"/>
    <x v="63"/>
    <x v="4"/>
  </r>
  <r>
    <n v="862"/>
    <x v="3"/>
    <x v="18"/>
    <x v="4"/>
  </r>
  <r>
    <n v="863"/>
    <x v="3"/>
    <x v="19"/>
    <x v="4"/>
  </r>
  <r>
    <n v="864"/>
    <x v="3"/>
    <x v="19"/>
    <x v="4"/>
  </r>
  <r>
    <n v="865"/>
    <x v="3"/>
    <x v="61"/>
    <x v="4"/>
  </r>
  <r>
    <n v="866"/>
    <x v="3"/>
    <x v="61"/>
    <x v="4"/>
  </r>
  <r>
    <n v="867"/>
    <x v="3"/>
    <x v="63"/>
    <x v="4"/>
  </r>
  <r>
    <n v="868"/>
    <x v="3"/>
    <x v="63"/>
    <x v="4"/>
  </r>
  <r>
    <n v="869"/>
    <x v="3"/>
    <x v="11"/>
    <x v="2"/>
  </r>
  <r>
    <n v="870"/>
    <x v="3"/>
    <x v="40"/>
    <x v="7"/>
  </r>
  <r>
    <n v="871"/>
    <x v="3"/>
    <x v="19"/>
    <x v="4"/>
  </r>
  <r>
    <n v="872"/>
    <x v="3"/>
    <x v="69"/>
    <x v="2"/>
  </r>
  <r>
    <n v="873"/>
    <x v="3"/>
    <x v="69"/>
    <x v="2"/>
  </r>
  <r>
    <n v="874"/>
    <x v="3"/>
    <x v="43"/>
    <x v="2"/>
  </r>
  <r>
    <n v="875"/>
    <x v="3"/>
    <x v="53"/>
    <x v="4"/>
  </r>
  <r>
    <n v="876"/>
    <x v="3"/>
    <x v="53"/>
    <x v="4"/>
  </r>
  <r>
    <n v="877"/>
    <x v="3"/>
    <x v="11"/>
    <x v="2"/>
  </r>
  <r>
    <n v="878"/>
    <x v="1"/>
    <x v="61"/>
    <x v="4"/>
  </r>
  <r>
    <n v="879"/>
    <x v="3"/>
    <x v="32"/>
    <x v="7"/>
  </r>
  <r>
    <n v="880"/>
    <x v="3"/>
    <x v="52"/>
    <x v="0"/>
  </r>
  <r>
    <n v="881"/>
    <x v="3"/>
    <x v="58"/>
    <x v="7"/>
  </r>
  <r>
    <n v="882"/>
    <x v="1"/>
    <x v="15"/>
    <x v="2"/>
  </r>
  <r>
    <n v="883"/>
    <x v="1"/>
    <x v="15"/>
    <x v="2"/>
  </r>
  <r>
    <n v="884"/>
    <x v="1"/>
    <x v="43"/>
    <x v="2"/>
  </r>
  <r>
    <n v="885"/>
    <x v="3"/>
    <x v="43"/>
    <x v="2"/>
  </r>
  <r>
    <n v="886"/>
    <x v="3"/>
    <x v="69"/>
    <x v="2"/>
  </r>
  <r>
    <n v="887"/>
    <x v="3"/>
    <x v="69"/>
    <x v="2"/>
  </r>
  <r>
    <n v="888"/>
    <x v="3"/>
    <x v="50"/>
    <x v="0"/>
  </r>
  <r>
    <n v="889"/>
    <x v="1"/>
    <x v="69"/>
    <x v="2"/>
  </r>
  <r>
    <n v="890"/>
    <x v="2"/>
    <x v="5"/>
    <x v="2"/>
  </r>
  <r>
    <n v="891"/>
    <x v="1"/>
    <x v="69"/>
    <x v="2"/>
  </r>
  <r>
    <n v="892"/>
    <x v="1"/>
    <x v="59"/>
    <x v="7"/>
  </r>
  <r>
    <n v="893"/>
    <x v="1"/>
    <x v="15"/>
    <x v="2"/>
  </r>
  <r>
    <n v="894"/>
    <x v="3"/>
    <x v="62"/>
    <x v="4"/>
  </r>
  <r>
    <n v="895"/>
    <x v="1"/>
    <x v="52"/>
    <x v="0"/>
  </r>
  <r>
    <n v="896"/>
    <x v="2"/>
    <x v="31"/>
    <x v="7"/>
  </r>
  <r>
    <n v="897"/>
    <x v="3"/>
    <x v="41"/>
    <x v="4"/>
  </r>
  <r>
    <n v="898"/>
    <x v="3"/>
    <x v="56"/>
    <x v="4"/>
  </r>
  <r>
    <n v="899"/>
    <x v="3"/>
    <x v="6"/>
    <x v="2"/>
  </r>
  <r>
    <n v="900"/>
    <x v="2"/>
    <x v="63"/>
    <x v="4"/>
  </r>
  <r>
    <n v="901"/>
    <x v="3"/>
    <x v="43"/>
    <x v="2"/>
  </r>
  <r>
    <n v="902"/>
    <x v="2"/>
    <x v="43"/>
    <x v="2"/>
  </r>
  <r>
    <n v="903"/>
    <x v="3"/>
    <x v="43"/>
    <x v="2"/>
  </r>
  <r>
    <n v="904"/>
    <x v="1"/>
    <x v="15"/>
    <x v="2"/>
  </r>
  <r>
    <n v="905"/>
    <x v="3"/>
    <x v="53"/>
    <x v="4"/>
  </r>
  <r>
    <n v="906"/>
    <x v="2"/>
    <x v="53"/>
    <x v="4"/>
  </r>
  <r>
    <n v="907"/>
    <x v="2"/>
    <x v="8"/>
    <x v="2"/>
  </r>
  <r>
    <n v="908"/>
    <x v="3"/>
    <x v="56"/>
    <x v="4"/>
  </r>
  <r>
    <n v="909"/>
    <x v="3"/>
    <x v="49"/>
    <x v="7"/>
  </r>
  <r>
    <n v="910"/>
    <x v="3"/>
    <x v="37"/>
    <x v="7"/>
  </r>
  <r>
    <n v="911"/>
    <x v="3"/>
    <x v="52"/>
    <x v="0"/>
  </r>
  <r>
    <n v="912"/>
    <x v="1"/>
    <x v="15"/>
    <x v="2"/>
  </r>
  <r>
    <n v="913"/>
    <x v="3"/>
    <x v="15"/>
    <x v="2"/>
  </r>
  <r>
    <n v="914"/>
    <x v="3"/>
    <x v="15"/>
    <x v="2"/>
  </r>
  <r>
    <n v="915"/>
    <x v="3"/>
    <x v="57"/>
    <x v="7"/>
  </r>
  <r>
    <n v="916"/>
    <x v="1"/>
    <x v="45"/>
    <x v="0"/>
  </r>
  <r>
    <n v="917"/>
    <x v="2"/>
    <x v="0"/>
    <x v="0"/>
  </r>
  <r>
    <n v="918"/>
    <x v="3"/>
    <x v="63"/>
    <x v="4"/>
  </r>
  <r>
    <n v="919"/>
    <x v="1"/>
    <x v="15"/>
    <x v="2"/>
  </r>
  <r>
    <n v="920"/>
    <x v="3"/>
    <x v="15"/>
    <x v="2"/>
  </r>
  <r>
    <n v="921"/>
    <x v="1"/>
    <x v="15"/>
    <x v="2"/>
  </r>
  <r>
    <n v="922"/>
    <x v="3"/>
    <x v="62"/>
    <x v="4"/>
  </r>
  <r>
    <n v="923"/>
    <x v="1"/>
    <x v="19"/>
    <x v="4"/>
  </r>
  <r>
    <n v="924"/>
    <x v="1"/>
    <x v="19"/>
    <x v="4"/>
  </r>
  <r>
    <n v="925"/>
    <x v="3"/>
    <x v="5"/>
    <x v="2"/>
  </r>
  <r>
    <n v="926"/>
    <x v="2"/>
    <x v="5"/>
    <x v="2"/>
  </r>
  <r>
    <n v="927"/>
    <x v="3"/>
    <x v="15"/>
    <x v="2"/>
  </r>
  <r>
    <n v="928"/>
    <x v="1"/>
    <x v="7"/>
    <x v="4"/>
  </r>
  <r>
    <n v="929"/>
    <x v="3"/>
    <x v="7"/>
    <x v="4"/>
  </r>
  <r>
    <n v="930"/>
    <x v="1"/>
    <x v="38"/>
    <x v="0"/>
  </r>
  <r>
    <n v="931"/>
    <x v="1"/>
    <x v="18"/>
    <x v="4"/>
  </r>
  <r>
    <n v="932"/>
    <x v="3"/>
    <x v="52"/>
    <x v="0"/>
  </r>
  <r>
    <n v="933"/>
    <x v="1"/>
    <x v="42"/>
    <x v="0"/>
  </r>
  <r>
    <n v="934"/>
    <x v="1"/>
    <x v="10"/>
    <x v="2"/>
  </r>
  <r>
    <n v="935"/>
    <x v="3"/>
    <x v="0"/>
    <x v="0"/>
  </r>
  <r>
    <n v="936"/>
    <x v="3"/>
    <x v="7"/>
    <x v="4"/>
  </r>
  <r>
    <n v="937"/>
    <x v="3"/>
    <x v="10"/>
    <x v="2"/>
  </r>
  <r>
    <n v="938"/>
    <x v="1"/>
    <x v="69"/>
    <x v="2"/>
  </r>
  <r>
    <n v="939"/>
    <x v="3"/>
    <x v="69"/>
    <x v="2"/>
  </r>
  <r>
    <n v="940"/>
    <x v="3"/>
    <x v="41"/>
    <x v="4"/>
  </r>
  <r>
    <n v="941"/>
    <x v="3"/>
    <x v="41"/>
    <x v="4"/>
  </r>
  <r>
    <n v="942"/>
    <x v="3"/>
    <x v="41"/>
    <x v="4"/>
  </r>
  <r>
    <n v="943"/>
    <x v="3"/>
    <x v="41"/>
    <x v="4"/>
  </r>
  <r>
    <n v="944"/>
    <x v="1"/>
    <x v="49"/>
    <x v="7"/>
  </r>
  <r>
    <n v="945"/>
    <x v="3"/>
    <x v="34"/>
    <x v="7"/>
  </r>
  <r>
    <n v="946"/>
    <x v="1"/>
    <x v="59"/>
    <x v="7"/>
  </r>
  <r>
    <n v="947"/>
    <x v="3"/>
    <x v="11"/>
    <x v="2"/>
  </r>
  <r>
    <n v="948"/>
    <x v="3"/>
    <x v="2"/>
    <x v="2"/>
  </r>
  <r>
    <n v="949"/>
    <x v="1"/>
    <x v="10"/>
    <x v="2"/>
  </r>
  <r>
    <n v="950"/>
    <x v="3"/>
    <x v="10"/>
    <x v="2"/>
  </r>
  <r>
    <n v="951"/>
    <x v="3"/>
    <x v="53"/>
    <x v="4"/>
  </r>
  <r>
    <n v="952"/>
    <x v="2"/>
    <x v="11"/>
    <x v="2"/>
  </r>
  <r>
    <n v="953"/>
    <x v="3"/>
    <x v="3"/>
    <x v="2"/>
  </r>
  <r>
    <n v="954"/>
    <x v="3"/>
    <x v="59"/>
    <x v="7"/>
  </r>
  <r>
    <n v="955"/>
    <x v="3"/>
    <x v="3"/>
    <x v="2"/>
  </r>
  <r>
    <n v="956"/>
    <x v="3"/>
    <x v="55"/>
    <x v="4"/>
  </r>
  <r>
    <n v="957"/>
    <x v="1"/>
    <x v="70"/>
    <x v="2"/>
  </r>
  <r>
    <n v="958"/>
    <x v="1"/>
    <x v="43"/>
    <x v="2"/>
  </r>
  <r>
    <n v="959"/>
    <x v="3"/>
    <x v="11"/>
    <x v="2"/>
  </r>
  <r>
    <n v="960"/>
    <x v="3"/>
    <x v="11"/>
    <x v="2"/>
  </r>
  <r>
    <n v="961"/>
    <x v="2"/>
    <x v="70"/>
    <x v="2"/>
  </r>
  <r>
    <n v="962"/>
    <x v="3"/>
    <x v="15"/>
    <x v="2"/>
  </r>
  <r>
    <n v="963"/>
    <x v="1"/>
    <x v="38"/>
    <x v="0"/>
  </r>
  <r>
    <n v="964"/>
    <x v="1"/>
    <x v="69"/>
    <x v="2"/>
  </r>
  <r>
    <n v="965"/>
    <x v="3"/>
    <x v="43"/>
    <x v="2"/>
  </r>
  <r>
    <n v="966"/>
    <x v="3"/>
    <x v="43"/>
    <x v="2"/>
  </r>
  <r>
    <n v="967"/>
    <x v="3"/>
    <x v="5"/>
    <x v="2"/>
  </r>
  <r>
    <n v="968"/>
    <x v="1"/>
    <x v="39"/>
    <x v="0"/>
  </r>
  <r>
    <n v="969"/>
    <x v="1"/>
    <x v="15"/>
    <x v="2"/>
  </r>
  <r>
    <n v="970"/>
    <x v="3"/>
    <x v="15"/>
    <x v="2"/>
  </r>
  <r>
    <n v="971"/>
    <x v="3"/>
    <x v="21"/>
    <x v="2"/>
  </r>
  <r>
    <n v="972"/>
    <x v="2"/>
    <x v="55"/>
    <x v="4"/>
  </r>
  <r>
    <n v="973"/>
    <x v="3"/>
    <x v="22"/>
    <x v="0"/>
  </r>
  <r>
    <n v="974"/>
    <x v="1"/>
    <x v="55"/>
    <x v="4"/>
  </r>
  <r>
    <n v="975"/>
    <x v="1"/>
    <x v="69"/>
    <x v="2"/>
  </r>
  <r>
    <n v="976"/>
    <x v="1"/>
    <x v="69"/>
    <x v="2"/>
  </r>
  <r>
    <n v="977"/>
    <x v="3"/>
    <x v="61"/>
    <x v="4"/>
  </r>
  <r>
    <n v="978"/>
    <x v="3"/>
    <x v="62"/>
    <x v="4"/>
  </r>
  <r>
    <n v="979"/>
    <x v="1"/>
    <x v="10"/>
    <x v="2"/>
  </r>
  <r>
    <n v="980"/>
    <x v="3"/>
    <x v="19"/>
    <x v="4"/>
  </r>
  <r>
    <n v="981"/>
    <x v="3"/>
    <x v="6"/>
    <x v="2"/>
  </r>
  <r>
    <n v="982"/>
    <x v="3"/>
    <x v="41"/>
    <x v="4"/>
  </r>
  <r>
    <n v="983"/>
    <x v="1"/>
    <x v="71"/>
    <x v="7"/>
  </r>
  <r>
    <n v="984"/>
    <x v="1"/>
    <x v="43"/>
    <x v="2"/>
  </r>
  <r>
    <n v="985"/>
    <x v="3"/>
    <x v="7"/>
    <x v="4"/>
  </r>
  <r>
    <n v="986"/>
    <x v="3"/>
    <x v="53"/>
    <x v="4"/>
  </r>
  <r>
    <n v="987"/>
    <x v="3"/>
    <x v="53"/>
    <x v="4"/>
  </r>
  <r>
    <n v="988"/>
    <x v="3"/>
    <x v="53"/>
    <x v="4"/>
  </r>
  <r>
    <n v="989"/>
    <x v="3"/>
    <x v="10"/>
    <x v="2"/>
  </r>
  <r>
    <n v="990"/>
    <x v="3"/>
    <x v="72"/>
    <x v="2"/>
  </r>
  <r>
    <n v="991"/>
    <x v="3"/>
    <x v="2"/>
    <x v="2"/>
  </r>
  <r>
    <n v="992"/>
    <x v="3"/>
    <x v="2"/>
    <x v="2"/>
  </r>
  <r>
    <n v="993"/>
    <x v="1"/>
    <x v="55"/>
    <x v="4"/>
  </r>
  <r>
    <n v="994"/>
    <x v="3"/>
    <x v="55"/>
    <x v="4"/>
  </r>
  <r>
    <n v="995"/>
    <x v="3"/>
    <x v="55"/>
    <x v="4"/>
  </r>
  <r>
    <n v="996"/>
    <x v="3"/>
    <x v="55"/>
    <x v="4"/>
  </r>
  <r>
    <n v="997"/>
    <x v="3"/>
    <x v="55"/>
    <x v="4"/>
  </r>
  <r>
    <n v="998"/>
    <x v="3"/>
    <x v="55"/>
    <x v="4"/>
  </r>
  <r>
    <n v="999"/>
    <x v="2"/>
    <x v="41"/>
    <x v="4"/>
  </r>
  <r>
    <n v="1000"/>
    <x v="2"/>
    <x v="71"/>
    <x v="7"/>
  </r>
  <r>
    <n v="1001"/>
    <x v="3"/>
    <x v="20"/>
    <x v="1"/>
  </r>
  <r>
    <n v="1002"/>
    <x v="1"/>
    <x v="52"/>
    <x v="0"/>
  </r>
  <r>
    <n v="1003"/>
    <x v="3"/>
    <x v="5"/>
    <x v="2"/>
  </r>
  <r>
    <n v="1004"/>
    <x v="1"/>
    <x v="31"/>
    <x v="7"/>
  </r>
  <r>
    <n v="1005"/>
    <x v="1"/>
    <x v="18"/>
    <x v="4"/>
  </r>
  <r>
    <n v="1006"/>
    <x v="1"/>
    <x v="55"/>
    <x v="4"/>
  </r>
  <r>
    <n v="1007"/>
    <x v="1"/>
    <x v="32"/>
    <x v="7"/>
  </r>
  <r>
    <n v="1008"/>
    <x v="3"/>
    <x v="49"/>
    <x v="7"/>
  </r>
  <r>
    <n v="1009"/>
    <x v="1"/>
    <x v="11"/>
    <x v="2"/>
  </r>
  <r>
    <n v="1010"/>
    <x v="1"/>
    <x v="69"/>
    <x v="2"/>
  </r>
  <r>
    <n v="1011"/>
    <x v="1"/>
    <x v="55"/>
    <x v="4"/>
  </r>
  <r>
    <n v="1012"/>
    <x v="2"/>
    <x v="16"/>
    <x v="2"/>
  </r>
  <r>
    <n v="1013"/>
    <x v="3"/>
    <x v="56"/>
    <x v="4"/>
  </r>
  <r>
    <n v="1014"/>
    <x v="3"/>
    <x v="2"/>
    <x v="2"/>
  </r>
  <r>
    <n v="1015"/>
    <x v="3"/>
    <x v="42"/>
    <x v="0"/>
  </r>
  <r>
    <n v="1016"/>
    <x v="3"/>
    <x v="21"/>
    <x v="2"/>
  </r>
  <r>
    <n v="1017"/>
    <x v="1"/>
    <x v="22"/>
    <x v="0"/>
  </r>
  <r>
    <n v="1018"/>
    <x v="3"/>
    <x v="61"/>
    <x v="4"/>
  </r>
  <r>
    <n v="1019"/>
    <x v="3"/>
    <x v="61"/>
    <x v="4"/>
  </r>
  <r>
    <n v="1020"/>
    <x v="3"/>
    <x v="61"/>
    <x v="4"/>
  </r>
  <r>
    <n v="1021"/>
    <x v="1"/>
    <x v="11"/>
    <x v="2"/>
  </r>
  <r>
    <n v="1022"/>
    <x v="3"/>
    <x v="3"/>
    <x v="2"/>
  </r>
  <r>
    <n v="1023"/>
    <x v="3"/>
    <x v="2"/>
    <x v="2"/>
  </r>
  <r>
    <n v="1024"/>
    <x v="3"/>
    <x v="17"/>
    <x v="0"/>
  </r>
  <r>
    <n v="1025"/>
    <x v="1"/>
    <x v="69"/>
    <x v="2"/>
  </r>
  <r>
    <n v="1026"/>
    <x v="3"/>
    <x v="59"/>
    <x v="7"/>
  </r>
  <r>
    <n v="1027"/>
    <x v="3"/>
    <x v="56"/>
    <x v="4"/>
  </r>
  <r>
    <n v="1028"/>
    <x v="1"/>
    <x v="35"/>
    <x v="7"/>
  </r>
  <r>
    <n v="1029"/>
    <x v="1"/>
    <x v="69"/>
    <x v="2"/>
  </r>
  <r>
    <n v="1030"/>
    <x v="1"/>
    <x v="72"/>
    <x v="2"/>
  </r>
  <r>
    <n v="1031"/>
    <x v="3"/>
    <x v="72"/>
    <x v="2"/>
  </r>
  <r>
    <n v="1032"/>
    <x v="3"/>
    <x v="72"/>
    <x v="2"/>
  </r>
  <r>
    <n v="1033"/>
    <x v="3"/>
    <x v="56"/>
    <x v="4"/>
  </r>
  <r>
    <n v="1034"/>
    <x v="3"/>
    <x v="3"/>
    <x v="2"/>
  </r>
  <r>
    <n v="1035"/>
    <x v="2"/>
    <x v="55"/>
    <x v="4"/>
  </r>
  <r>
    <n v="1036"/>
    <x v="3"/>
    <x v="7"/>
    <x v="4"/>
  </r>
  <r>
    <n v="1037"/>
    <x v="3"/>
    <x v="55"/>
    <x v="4"/>
  </r>
  <r>
    <n v="1038"/>
    <x v="3"/>
    <x v="54"/>
    <x v="0"/>
  </r>
  <r>
    <n v="1039"/>
    <x v="3"/>
    <x v="61"/>
    <x v="4"/>
  </r>
  <r>
    <n v="1040"/>
    <x v="3"/>
    <x v="43"/>
    <x v="2"/>
  </r>
  <r>
    <n v="1041"/>
    <x v="3"/>
    <x v="72"/>
    <x v="2"/>
  </r>
  <r>
    <n v="1042"/>
    <x v="3"/>
    <x v="72"/>
    <x v="2"/>
  </r>
  <r>
    <n v="1043"/>
    <x v="1"/>
    <x v="72"/>
    <x v="2"/>
  </r>
  <r>
    <n v="1044"/>
    <x v="3"/>
    <x v="27"/>
    <x v="2"/>
  </r>
  <r>
    <n v="1045"/>
    <x v="3"/>
    <x v="43"/>
    <x v="2"/>
  </r>
  <r>
    <n v="1046"/>
    <x v="3"/>
    <x v="11"/>
    <x v="2"/>
  </r>
  <r>
    <n v="1047"/>
    <x v="3"/>
    <x v="11"/>
    <x v="2"/>
  </r>
  <r>
    <n v="1048"/>
    <x v="3"/>
    <x v="11"/>
    <x v="2"/>
  </r>
  <r>
    <n v="1049"/>
    <x v="3"/>
    <x v="15"/>
    <x v="2"/>
  </r>
  <r>
    <n v="1050"/>
    <x v="1"/>
    <x v="52"/>
    <x v="0"/>
  </r>
  <r>
    <n v="1051"/>
    <x v="3"/>
    <x v="56"/>
    <x v="4"/>
  </r>
  <r>
    <n v="1052"/>
    <x v="3"/>
    <x v="5"/>
    <x v="2"/>
  </r>
  <r>
    <n v="1053"/>
    <x v="3"/>
    <x v="45"/>
    <x v="0"/>
  </r>
  <r>
    <n v="1054"/>
    <x v="1"/>
    <x v="52"/>
    <x v="0"/>
  </r>
  <r>
    <n v="1055"/>
    <x v="2"/>
    <x v="21"/>
    <x v="2"/>
  </r>
  <r>
    <n v="1056"/>
    <x v="3"/>
    <x v="43"/>
    <x v="2"/>
  </r>
  <r>
    <n v="1057"/>
    <x v="3"/>
    <x v="43"/>
    <x v="2"/>
  </r>
  <r>
    <n v="1058"/>
    <x v="3"/>
    <x v="19"/>
    <x v="4"/>
  </r>
  <r>
    <n v="1059"/>
    <x v="3"/>
    <x v="61"/>
    <x v="4"/>
  </r>
  <r>
    <n v="1060"/>
    <x v="3"/>
    <x v="9"/>
    <x v="2"/>
  </r>
  <r>
    <n v="1061"/>
    <x v="2"/>
    <x v="9"/>
    <x v="2"/>
  </r>
  <r>
    <n v="1062"/>
    <x v="3"/>
    <x v="9"/>
    <x v="2"/>
  </r>
  <r>
    <n v="1063"/>
    <x v="1"/>
    <x v="9"/>
    <x v="2"/>
  </r>
  <r>
    <n v="1064"/>
    <x v="3"/>
    <x v="14"/>
    <x v="1"/>
  </r>
  <r>
    <n v="1065"/>
    <x v="3"/>
    <x v="21"/>
    <x v="2"/>
  </r>
  <r>
    <n v="1066"/>
    <x v="1"/>
    <x v="54"/>
    <x v="0"/>
  </r>
  <r>
    <n v="1067"/>
    <x v="1"/>
    <x v="19"/>
    <x v="4"/>
  </r>
  <r>
    <n v="1068"/>
    <x v="1"/>
    <x v="19"/>
    <x v="4"/>
  </r>
  <r>
    <n v="1069"/>
    <x v="1"/>
    <x v="19"/>
    <x v="4"/>
  </r>
  <r>
    <n v="1070"/>
    <x v="1"/>
    <x v="19"/>
    <x v="4"/>
  </r>
  <r>
    <n v="1071"/>
    <x v="1"/>
    <x v="32"/>
    <x v="7"/>
  </r>
  <r>
    <n v="1072"/>
    <x v="3"/>
    <x v="9"/>
    <x v="2"/>
  </r>
  <r>
    <n v="1073"/>
    <x v="1"/>
    <x v="52"/>
    <x v="0"/>
  </r>
  <r>
    <n v="1074"/>
    <x v="3"/>
    <x v="0"/>
    <x v="0"/>
  </r>
  <r>
    <n v="1075"/>
    <x v="3"/>
    <x v="19"/>
    <x v="4"/>
  </r>
  <r>
    <n v="1076"/>
    <x v="1"/>
    <x v="19"/>
    <x v="4"/>
  </r>
  <r>
    <n v="1077"/>
    <x v="3"/>
    <x v="0"/>
    <x v="0"/>
  </r>
  <r>
    <n v="1078"/>
    <x v="1"/>
    <x v="16"/>
    <x v="2"/>
  </r>
  <r>
    <n v="1079"/>
    <x v="3"/>
    <x v="39"/>
    <x v="0"/>
  </r>
  <r>
    <n v="1080"/>
    <x v="1"/>
    <x v="52"/>
    <x v="0"/>
  </r>
  <r>
    <n v="1081"/>
    <x v="1"/>
    <x v="2"/>
    <x v="2"/>
  </r>
  <r>
    <n v="1082"/>
    <x v="3"/>
    <x v="62"/>
    <x v="4"/>
  </r>
  <r>
    <n v="1083"/>
    <x v="3"/>
    <x v="73"/>
    <x v="7"/>
  </r>
  <r>
    <n v="1084"/>
    <x v="3"/>
    <x v="0"/>
    <x v="0"/>
  </r>
  <r>
    <n v="1085"/>
    <x v="1"/>
    <x v="62"/>
    <x v="4"/>
  </r>
  <r>
    <n v="1086"/>
    <x v="3"/>
    <x v="55"/>
    <x v="4"/>
  </r>
  <r>
    <n v="1087"/>
    <x v="3"/>
    <x v="13"/>
    <x v="2"/>
  </r>
  <r>
    <n v="1088"/>
    <x v="3"/>
    <x v="73"/>
    <x v="7"/>
  </r>
  <r>
    <n v="1089"/>
    <x v="1"/>
    <x v="57"/>
    <x v="7"/>
  </r>
  <r>
    <n v="1090"/>
    <x v="2"/>
    <x v="61"/>
    <x v="4"/>
  </r>
  <r>
    <n v="1091"/>
    <x v="3"/>
    <x v="22"/>
    <x v="0"/>
  </r>
  <r>
    <n v="1092"/>
    <x v="3"/>
    <x v="61"/>
    <x v="4"/>
  </r>
  <r>
    <n v="1093"/>
    <x v="3"/>
    <x v="40"/>
    <x v="7"/>
  </r>
  <r>
    <n v="1094"/>
    <x v="3"/>
    <x v="63"/>
    <x v="4"/>
  </r>
  <r>
    <n v="1095"/>
    <x v="3"/>
    <x v="56"/>
    <x v="4"/>
  </r>
  <r>
    <n v="1096"/>
    <x v="3"/>
    <x v="27"/>
    <x v="2"/>
  </r>
  <r>
    <n v="1097"/>
    <x v="3"/>
    <x v="18"/>
    <x v="4"/>
  </r>
  <r>
    <n v="1098"/>
    <x v="3"/>
    <x v="69"/>
    <x v="2"/>
  </r>
  <r>
    <n v="1099"/>
    <x v="3"/>
    <x v="40"/>
    <x v="7"/>
  </r>
  <r>
    <n v="1100"/>
    <x v="3"/>
    <x v="43"/>
    <x v="2"/>
  </r>
  <r>
    <n v="1101"/>
    <x v="3"/>
    <x v="72"/>
    <x v="2"/>
  </r>
  <r>
    <n v="1102"/>
    <x v="2"/>
    <x v="8"/>
    <x v="2"/>
  </r>
  <r>
    <n v="1103"/>
    <x v="3"/>
    <x v="41"/>
    <x v="4"/>
  </r>
  <r>
    <n v="1104"/>
    <x v="3"/>
    <x v="55"/>
    <x v="4"/>
  </r>
  <r>
    <n v="1105"/>
    <x v="3"/>
    <x v="55"/>
    <x v="4"/>
  </r>
  <r>
    <n v="1106"/>
    <x v="3"/>
    <x v="55"/>
    <x v="4"/>
  </r>
  <r>
    <n v="1107"/>
    <x v="3"/>
    <x v="2"/>
    <x v="2"/>
  </r>
  <r>
    <n v="1108"/>
    <x v="3"/>
    <x v="60"/>
    <x v="7"/>
  </r>
  <r>
    <n v="1109"/>
    <x v="3"/>
    <x v="8"/>
    <x v="2"/>
  </r>
  <r>
    <n v="1110"/>
    <x v="3"/>
    <x v="44"/>
    <x v="0"/>
  </r>
  <r>
    <n v="1111"/>
    <x v="3"/>
    <x v="18"/>
    <x v="4"/>
  </r>
  <r>
    <n v="1112"/>
    <x v="3"/>
    <x v="18"/>
    <x v="4"/>
  </r>
  <r>
    <n v="1113"/>
    <x v="3"/>
    <x v="18"/>
    <x v="4"/>
  </r>
  <r>
    <n v="1114"/>
    <x v="3"/>
    <x v="11"/>
    <x v="2"/>
  </r>
  <r>
    <n v="1115"/>
    <x v="3"/>
    <x v="11"/>
    <x v="2"/>
  </r>
  <r>
    <n v="1116"/>
    <x v="3"/>
    <x v="11"/>
    <x v="2"/>
  </r>
  <r>
    <n v="1117"/>
    <x v="3"/>
    <x v="24"/>
    <x v="2"/>
  </r>
  <r>
    <n v="1118"/>
    <x v="3"/>
    <x v="42"/>
    <x v="0"/>
  </r>
  <r>
    <n v="1119"/>
    <x v="3"/>
    <x v="41"/>
    <x v="4"/>
  </r>
  <r>
    <n v="1120"/>
    <x v="2"/>
    <x v="56"/>
    <x v="4"/>
  </r>
  <r>
    <n v="1121"/>
    <x v="3"/>
    <x v="5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rowGrandTotals="0" colGrandTotals="0" itemPrintTitles="1" createdVersion="6" indent="0" outline="1" outlineData="1" multipleFieldFilters="0">
  <location ref="A3:AB10" firstHeaderRow="1" firstDataRow="2" firstDataCol="1"/>
  <pivotFields count="7">
    <pivotField showAll="0"/>
    <pivotField axis="axisRow" showAll="0">
      <items count="5">
        <item h="1" x="1"/>
        <item h="1" x="3"/>
        <item x="0"/>
        <item h="1" x="2"/>
        <item t="default"/>
      </items>
    </pivotField>
    <pivotField axis="axisRow" showAll="0">
      <items count="8">
        <item x="1"/>
        <item h="1" x="3"/>
        <item sd="0" x="0"/>
        <item h="1" x="5"/>
        <item sd="0" x="4"/>
        <item h="1" x="2"/>
        <item h="1" x="6"/>
        <item t="default"/>
      </items>
    </pivotField>
    <pivotField axis="axisCol" dataField="1" showAll="0">
      <items count="59">
        <item x="31"/>
        <item x="24"/>
        <item x="30"/>
        <item x="3"/>
        <item x="32"/>
        <item x="37"/>
        <item x="49"/>
        <item x="51"/>
        <item x="35"/>
        <item x="25"/>
        <item x="0"/>
        <item x="8"/>
        <item x="20"/>
        <item x="34"/>
        <item x="15"/>
        <item x="28"/>
        <item x="7"/>
        <item x="17"/>
        <item x="6"/>
        <item x="19"/>
        <item x="33"/>
        <item x="22"/>
        <item x="26"/>
        <item x="5"/>
        <item x="11"/>
        <item x="48"/>
        <item x="10"/>
        <item x="43"/>
        <item x="1"/>
        <item x="16"/>
        <item x="46"/>
        <item x="50"/>
        <item x="44"/>
        <item x="12"/>
        <item x="40"/>
        <item x="14"/>
        <item x="18"/>
        <item x="9"/>
        <item x="39"/>
        <item x="13"/>
        <item x="29"/>
        <item x="21"/>
        <item x="4"/>
        <item x="36"/>
        <item x="38"/>
        <item x="2"/>
        <item x="41"/>
        <item x="23"/>
        <item x="27"/>
        <item x="42"/>
        <item x="47"/>
        <item x="45"/>
        <item x="52"/>
        <item x="53"/>
        <item x="54"/>
        <item x="55"/>
        <item x="56"/>
        <item x="57"/>
        <item t="default"/>
      </items>
    </pivotField>
    <pivotField axis="axisRow" showAll="0">
      <items count="5">
        <item sd="0" x="0"/>
        <item sd="0" x="2"/>
        <item h="1" x="1"/>
        <item h="1" x="3"/>
        <item t="default"/>
      </items>
    </pivotField>
    <pivotField axis="axisRow" showAll="0">
      <items count="559">
        <item x="9"/>
        <item x="94"/>
        <item x="55"/>
        <item x="59"/>
        <item x="26"/>
        <item x="27"/>
        <item x="66"/>
        <item x="31"/>
        <item x="32"/>
        <item x="95"/>
        <item x="11"/>
        <item x="23"/>
        <item x="13"/>
        <item x="57"/>
        <item x="58"/>
        <item x="37"/>
        <item x="17"/>
        <item x="19"/>
        <item x="62"/>
        <item x="65"/>
        <item x="107"/>
        <item x="40"/>
        <item x="34"/>
        <item x="72"/>
        <item x="77"/>
        <item x="78"/>
        <item x="79"/>
        <item x="109"/>
        <item x="36"/>
        <item x="454"/>
        <item x="60"/>
        <item x="29"/>
        <item x="92"/>
        <item x="138"/>
        <item x="89"/>
        <item x="93"/>
        <item x="33"/>
        <item x="70"/>
        <item x="71"/>
        <item x="96"/>
        <item x="97"/>
        <item x="35"/>
        <item x="344"/>
        <item x="98"/>
        <item x="38"/>
        <item x="100"/>
        <item x="39"/>
        <item x="44"/>
        <item x="106"/>
        <item x="90"/>
        <item x="91"/>
        <item x="116"/>
        <item x="466"/>
        <item x="208"/>
        <item x="378"/>
        <item x="380"/>
        <item x="325"/>
        <item x="47"/>
        <item x="48"/>
        <item x="42"/>
        <item x="490"/>
        <item x="43"/>
        <item x="56"/>
        <item x="492"/>
        <item x="99"/>
        <item x="413"/>
        <item x="50"/>
        <item x="101"/>
        <item x="303"/>
        <item x="369"/>
        <item x="262"/>
        <item x="142"/>
        <item x="477"/>
        <item x="154"/>
        <item x="162"/>
        <item x="159"/>
        <item x="281"/>
        <item x="161"/>
        <item x="341"/>
        <item x="124"/>
        <item x="405"/>
        <item x="125"/>
        <item x="408"/>
        <item x="294"/>
        <item x="295"/>
        <item x="185"/>
        <item x="299"/>
        <item x="359"/>
        <item x="111"/>
        <item x="199"/>
        <item x="140"/>
        <item x="311"/>
        <item x="315"/>
        <item x="213"/>
        <item x="68"/>
        <item x="221"/>
        <item x="80"/>
        <item x="152"/>
        <item x="156"/>
        <item x="334"/>
        <item x="160"/>
        <item x="436"/>
        <item x="168"/>
        <item x="290"/>
        <item x="104"/>
        <item x="245"/>
        <item x="414"/>
        <item x="501"/>
        <item x="249"/>
        <item x="85"/>
        <item x="302"/>
        <item x="304"/>
        <item x="128"/>
        <item x="360"/>
        <item x="129"/>
        <item x="198"/>
        <item x="130"/>
        <item x="259"/>
        <item x="427"/>
        <item x="372"/>
        <item x="69"/>
        <item x="391"/>
        <item x="387"/>
        <item x="329"/>
        <item x="227"/>
        <item x="337"/>
        <item x="167"/>
        <item x="287"/>
        <item x="174"/>
        <item x="449"/>
        <item x="354"/>
        <item x="182"/>
        <item x="105"/>
        <item x="74"/>
        <item x="76"/>
        <item x="365"/>
        <item x="463"/>
        <item x="137"/>
        <item x="314"/>
        <item x="212"/>
        <item x="266"/>
        <item x="267"/>
        <item x="385"/>
        <item x="118"/>
        <item x="394"/>
        <item x="482"/>
        <item x="438"/>
        <item x="401"/>
        <item x="82"/>
        <item x="289"/>
        <item x="291"/>
        <item x="445"/>
        <item x="411"/>
        <item x="351"/>
        <item x="248"/>
        <item x="86"/>
        <item x="458"/>
        <item x="358"/>
        <item x="193"/>
        <item x="308"/>
        <item x="424"/>
        <item x="102"/>
        <item x="474"/>
        <item x="265"/>
        <item x="317"/>
        <item x="382"/>
        <item x="270"/>
        <item x="393"/>
        <item x="277"/>
        <item x="395"/>
        <item x="486"/>
        <item x="103"/>
        <item x="170"/>
        <item x="232"/>
        <item x="404"/>
        <item x="446"/>
        <item x="453"/>
        <item x="412"/>
        <item x="183"/>
        <item x="112"/>
        <item x="113"/>
        <item x="418"/>
        <item x="362"/>
        <item x="309"/>
        <item x="426"/>
        <item x="223"/>
        <item x="433"/>
        <item x="435"/>
        <item x="158"/>
        <item x="123"/>
        <item x="400"/>
        <item x="443"/>
        <item x="177"/>
        <item x="357"/>
        <item x="127"/>
        <item x="191"/>
        <item x="253"/>
        <item x="364"/>
        <item x="200"/>
        <item x="135"/>
        <item x="134"/>
        <item x="312"/>
        <item x="145"/>
        <item x="377"/>
        <item x="149"/>
        <item x="119"/>
        <item x="384"/>
        <item x="120"/>
        <item x="163"/>
        <item x="166"/>
        <item x="278"/>
        <item x="485"/>
        <item x="171"/>
        <item x="175"/>
        <item x="233"/>
        <item x="239"/>
        <item x="178"/>
        <item x="244"/>
        <item x="450"/>
        <item x="452"/>
        <item x="250"/>
        <item x="194"/>
        <item x="195"/>
        <item x="201"/>
        <item x="131"/>
        <item x="133"/>
        <item x="141"/>
        <item x="214"/>
        <item x="215"/>
        <item x="224"/>
        <item x="321"/>
        <item x="269"/>
        <item x="228"/>
        <item x="480"/>
        <item x="338"/>
        <item x="488"/>
        <item x="172"/>
        <item x="240"/>
        <item x="346"/>
        <item x="247"/>
        <item x="447"/>
        <item x="498"/>
        <item x="184"/>
        <item x="188"/>
        <item x="457"/>
        <item x="301"/>
        <item x="255"/>
        <item x="305"/>
        <item x="202"/>
        <item x="205"/>
        <item x="264"/>
        <item x="373"/>
        <item x="217"/>
        <item x="319"/>
        <item x="383"/>
        <item x="327"/>
        <item x="230"/>
        <item x="286"/>
        <item x="234"/>
        <item x="237"/>
        <item x="495"/>
        <item x="293"/>
        <item x="297"/>
        <item x="300"/>
        <item x="251"/>
        <item x="423"/>
        <item x="257"/>
        <item x="260"/>
        <item x="261"/>
        <item x="471"/>
        <item x="320"/>
        <item x="326"/>
        <item x="272"/>
        <item x="335"/>
        <item x="280"/>
        <item x="288"/>
        <item x="402"/>
        <item x="406"/>
        <item x="350"/>
        <item x="448"/>
        <item x="410"/>
        <item x="416"/>
        <item x="307"/>
        <item x="421"/>
        <item x="368"/>
        <item x="370"/>
        <item x="318"/>
        <item x="322"/>
        <item x="324"/>
        <item x="392"/>
        <item x="331"/>
        <item x="434"/>
        <item x="403"/>
        <item x="439"/>
        <item x="348"/>
        <item x="409"/>
        <item x="349"/>
        <item x="352"/>
        <item x="455"/>
        <item x="456"/>
        <item x="465"/>
        <item x="473"/>
        <item x="475"/>
        <item x="481"/>
        <item x="397"/>
        <item x="484"/>
        <item x="451"/>
        <item x="502"/>
        <item x="503"/>
        <item x="460"/>
        <item x="422"/>
        <item x="462"/>
        <item x="468"/>
        <item x="425"/>
        <item x="476"/>
        <item x="430"/>
        <item x="432"/>
        <item x="441"/>
        <item x="493"/>
        <item x="504"/>
        <item x="464"/>
        <item x="470"/>
        <item x="0"/>
        <item x="3"/>
        <item x="12"/>
        <item x="4"/>
        <item x="5"/>
        <item x="18"/>
        <item x="2"/>
        <item x="15"/>
        <item x="6"/>
        <item x="41"/>
        <item x="16"/>
        <item x="10"/>
        <item x="24"/>
        <item x="20"/>
        <item x="22"/>
        <item x="28"/>
        <item x="21"/>
        <item x="64"/>
        <item x="52"/>
        <item x="61"/>
        <item x="51"/>
        <item x="25"/>
        <item x="54"/>
        <item x="7"/>
        <item x="63"/>
        <item x="14"/>
        <item x="115"/>
        <item x="83"/>
        <item x="75"/>
        <item x="30"/>
        <item x="73"/>
        <item x="81"/>
        <item x="143"/>
        <item x="169"/>
        <item x="122"/>
        <item x="87"/>
        <item x="197"/>
        <item x="45"/>
        <item x="220"/>
        <item x="226"/>
        <item x="147"/>
        <item x="46"/>
        <item x="258"/>
        <item x="49"/>
        <item x="139"/>
        <item x="126"/>
        <item x="108"/>
        <item x="117"/>
        <item x="53"/>
        <item x="110"/>
        <item x="236"/>
        <item x="114"/>
        <item x="121"/>
        <item x="189"/>
        <item x="67"/>
        <item x="173"/>
        <item x="179"/>
        <item x="181"/>
        <item x="186"/>
        <item x="211"/>
        <item x="132"/>
        <item x="225"/>
        <item x="279"/>
        <item x="204"/>
        <item x="176"/>
        <item x="150"/>
        <item x="157"/>
        <item x="371"/>
        <item x="306"/>
        <item x="180"/>
        <item x="146"/>
        <item x="231"/>
        <item x="388"/>
        <item x="313"/>
        <item x="219"/>
        <item x="196"/>
        <item x="206"/>
        <item x="210"/>
        <item x="342"/>
        <item x="218"/>
        <item x="420"/>
        <item x="84"/>
        <item x="88"/>
        <item x="229"/>
        <item x="274"/>
        <item x="235"/>
        <item x="238"/>
        <item x="242"/>
        <item x="216"/>
        <item x="263"/>
        <item x="375"/>
        <item x="379"/>
        <item x="271"/>
        <item x="389"/>
        <item x="273"/>
        <item x="282"/>
        <item x="285"/>
        <item x="268"/>
        <item x="275"/>
        <item x="283"/>
        <item x="256"/>
        <item x="148"/>
        <item x="343"/>
        <item x="151"/>
        <item x="332"/>
        <item x="310"/>
        <item x="190"/>
        <item x="316"/>
        <item x="192"/>
        <item x="376"/>
        <item x="207"/>
        <item x="444"/>
        <item x="333"/>
        <item x="336"/>
        <item x="340"/>
        <item x="222"/>
        <item x="345"/>
        <item x="399"/>
        <item x="328"/>
        <item x="330"/>
        <item x="339"/>
        <item x="363"/>
        <item x="367"/>
        <item x="396"/>
        <item x="407"/>
        <item x="398"/>
        <item x="428"/>
        <item x="155"/>
        <item x="136"/>
        <item x="144"/>
        <item x="153"/>
        <item x="164"/>
        <item x="165"/>
        <item x="459"/>
        <item x="478"/>
        <item x="483"/>
        <item x="487"/>
        <item x="469"/>
        <item x="209"/>
        <item x="187"/>
        <item x="437"/>
        <item x="203"/>
        <item x="442"/>
        <item x="467"/>
        <item x="472"/>
        <item x="489"/>
        <item x="494"/>
        <item x="497"/>
        <item x="366"/>
        <item x="254"/>
        <item x="461"/>
        <item x="499"/>
        <item x="479"/>
        <item x="505"/>
        <item x="500"/>
        <item x="241"/>
        <item x="243"/>
        <item x="246"/>
        <item x="252"/>
        <item x="276"/>
        <item x="298"/>
        <item x="292"/>
        <item x="284"/>
        <item x="296"/>
        <item x="323"/>
        <item x="347"/>
        <item x="353"/>
        <item x="356"/>
        <item x="355"/>
        <item x="491"/>
        <item x="361"/>
        <item x="374"/>
        <item x="390"/>
        <item x="381"/>
        <item x="386"/>
        <item x="415"/>
        <item x="417"/>
        <item x="419"/>
        <item x="429"/>
        <item x="431"/>
        <item x="440"/>
        <item x="496"/>
        <item h="1" x="1"/>
        <item h="1" x="8"/>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t="default"/>
      </items>
    </pivotField>
    <pivotField showAll="0"/>
  </pivotFields>
  <rowFields count="4">
    <field x="1"/>
    <field x="2"/>
    <field x="4"/>
    <field x="5"/>
  </rowFields>
  <rowItems count="6">
    <i>
      <x v="2"/>
    </i>
    <i r="1">
      <x/>
    </i>
    <i r="2">
      <x/>
    </i>
    <i r="2">
      <x v="1"/>
    </i>
    <i r="1">
      <x v="2"/>
    </i>
    <i r="1">
      <x v="4"/>
    </i>
  </rowItems>
  <colFields count="1">
    <field x="3"/>
  </colFields>
  <colItems count="27">
    <i>
      <x v="1"/>
    </i>
    <i>
      <x v="2"/>
    </i>
    <i>
      <x v="3"/>
    </i>
    <i>
      <x v="8"/>
    </i>
    <i>
      <x v="9"/>
    </i>
    <i>
      <x v="10"/>
    </i>
    <i>
      <x v="11"/>
    </i>
    <i>
      <x v="14"/>
    </i>
    <i>
      <x v="15"/>
    </i>
    <i>
      <x v="16"/>
    </i>
    <i>
      <x v="17"/>
    </i>
    <i>
      <x v="18"/>
    </i>
    <i>
      <x v="21"/>
    </i>
    <i>
      <x v="22"/>
    </i>
    <i>
      <x v="23"/>
    </i>
    <i>
      <x v="24"/>
    </i>
    <i>
      <x v="28"/>
    </i>
    <i>
      <x v="29"/>
    </i>
    <i>
      <x v="31"/>
    </i>
    <i>
      <x v="33"/>
    </i>
    <i>
      <x v="35"/>
    </i>
    <i>
      <x v="36"/>
    </i>
    <i>
      <x v="39"/>
    </i>
    <i>
      <x v="41"/>
    </i>
    <i>
      <x v="42"/>
    </i>
    <i>
      <x v="45"/>
    </i>
    <i>
      <x v="48"/>
    </i>
  </colItems>
  <dataFields count="1">
    <dataField name="개수 : 장치" fld="3" subtotal="count" baseField="0" baseItem="0"/>
  </dataFields>
  <formats count="11">
    <format dxfId="177">
      <pivotArea dataOnly="0" outline="0" fieldPosition="0">
        <references count="1">
          <reference field="3" count="1">
            <x v="11"/>
          </reference>
        </references>
      </pivotArea>
    </format>
    <format dxfId="176">
      <pivotArea outline="0" collapsedLevelsAreSubtotals="1" fieldPosition="0">
        <references count="1">
          <reference field="3" count="1" selected="0">
            <x v="22"/>
          </reference>
        </references>
      </pivotArea>
    </format>
    <format dxfId="175">
      <pivotArea dataOnly="0" labelOnly="1" fieldPosition="0">
        <references count="1">
          <reference field="3" count="1">
            <x v="22"/>
          </reference>
        </references>
      </pivotArea>
    </format>
    <format dxfId="174">
      <pivotArea outline="0" collapsedLevelsAreSubtotals="1" fieldPosition="0">
        <references count="1">
          <reference field="3" count="1" selected="0">
            <x v="3"/>
          </reference>
        </references>
      </pivotArea>
    </format>
    <format dxfId="173">
      <pivotArea dataOnly="0" labelOnly="1" fieldPosition="0">
        <references count="1">
          <reference field="3" count="1">
            <x v="3"/>
          </reference>
        </references>
      </pivotArea>
    </format>
    <format dxfId="172">
      <pivotArea outline="0" collapsedLevelsAreSubtotals="1" fieldPosition="0">
        <references count="1">
          <reference field="3" count="1" selected="0">
            <x v="24"/>
          </reference>
        </references>
      </pivotArea>
    </format>
    <format dxfId="171">
      <pivotArea dataOnly="0" labelOnly="1" fieldPosition="0">
        <references count="1">
          <reference field="3" count="1">
            <x v="24"/>
          </reference>
        </references>
      </pivotArea>
    </format>
    <format dxfId="170">
      <pivotArea outline="0" collapsedLevelsAreSubtotals="1" fieldPosition="0">
        <references count="1">
          <reference field="3" count="1" selected="0">
            <x v="28"/>
          </reference>
        </references>
      </pivotArea>
    </format>
    <format dxfId="169">
      <pivotArea dataOnly="0" labelOnly="1" fieldPosition="0">
        <references count="1">
          <reference field="3" count="1">
            <x v="28"/>
          </reference>
        </references>
      </pivotArea>
    </format>
    <format dxfId="168">
      <pivotArea outline="0" collapsedLevelsAreSubtotals="1" fieldPosition="0">
        <references count="1">
          <reference field="3" count="1" selected="0">
            <x v="39"/>
          </reference>
        </references>
      </pivotArea>
    </format>
    <format dxfId="167">
      <pivotArea dataOnly="0" labelOnly="1" fieldPosition="0">
        <references count="1">
          <reference field="3" count="1">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1"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A3:B12" firstHeaderRow="1" firstDataRow="1" firstDataCol="1"/>
  <pivotFields count="3">
    <pivotField showAll="0"/>
    <pivotField axis="axisRow" dataField="1" showAll="0">
      <items count="9">
        <item x="5"/>
        <item x="2"/>
        <item x="7"/>
        <item x="6"/>
        <item x="1"/>
        <item x="3"/>
        <item x="0"/>
        <item x="4"/>
        <item t="default"/>
      </items>
    </pivotField>
    <pivotField showAll="0"/>
  </pivotFields>
  <rowFields count="1">
    <field x="1"/>
  </rowFields>
  <rowItems count="9">
    <i>
      <x/>
    </i>
    <i>
      <x v="1"/>
    </i>
    <i>
      <x v="2"/>
    </i>
    <i>
      <x v="3"/>
    </i>
    <i>
      <x v="4"/>
    </i>
    <i>
      <x v="5"/>
    </i>
    <i>
      <x v="6"/>
    </i>
    <i>
      <x v="7"/>
    </i>
    <i t="grand">
      <x/>
    </i>
  </rowItems>
  <colItems count="1">
    <i/>
  </colItems>
  <dataFields count="1">
    <dataField name="개수 : 팀"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피벗 테이블3" cacheId="2" applyNumberFormats="0" applyBorderFormats="0" applyFontFormats="0" applyPatternFormats="0" applyAlignmentFormats="0" applyWidthHeightFormats="1" dataCaption="값" updatedVersion="6" minRefreshableVersion="3" useAutoFormatting="1" itemPrintTitles="1" createdVersion="6" indent="0" compact="0" outline="1" outlineData="1" compactData="0" multipleFieldFilters="0">
  <location ref="R19:Y75" firstHeaderRow="1" firstDataRow="2" firstDataCol="2"/>
  <pivotFields count="4">
    <pivotField compact="0" showAll="0"/>
    <pivotField axis="axisRow" compact="0" showAll="0">
      <items count="5">
        <item x="3"/>
        <item h="1" x="1"/>
        <item h="1" x="0"/>
        <item h="1" x="2"/>
        <item t="default"/>
      </items>
    </pivotField>
    <pivotField axis="axisRow" compact="0" showAll="0">
      <items count="75">
        <item x="65"/>
        <item x="46"/>
        <item x="3"/>
        <item x="27"/>
        <item x="6"/>
        <item x="24"/>
        <item x="10"/>
        <item x="13"/>
        <item x="8"/>
        <item x="16"/>
        <item x="5"/>
        <item x="21"/>
        <item x="18"/>
        <item x="19"/>
        <item x="17"/>
        <item x="50"/>
        <item x="48"/>
        <item x="7"/>
        <item x="2"/>
        <item x="15"/>
        <item x="11"/>
        <item x="0"/>
        <item x="9"/>
        <item x="22"/>
        <item x="38"/>
        <item x="42"/>
        <item x="45"/>
        <item x="41"/>
        <item x="39"/>
        <item x="52"/>
        <item x="43"/>
        <item x="56"/>
        <item x="44"/>
        <item x="54"/>
        <item x="55"/>
        <item x="53"/>
        <item x="63"/>
        <item x="61"/>
        <item x="62"/>
        <item x="33"/>
        <item x="32"/>
        <item x="34"/>
        <item x="31"/>
        <item x="35"/>
        <item x="49"/>
        <item x="37"/>
        <item x="36"/>
        <item x="40"/>
        <item x="47"/>
        <item x="57"/>
        <item x="58"/>
        <item x="59"/>
        <item x="60"/>
        <item x="23"/>
        <item x="26"/>
        <item x="30"/>
        <item x="64"/>
        <item x="12"/>
        <item x="20"/>
        <item x="66"/>
        <item x="1"/>
        <item x="14"/>
        <item x="28"/>
        <item x="25"/>
        <item x="51"/>
        <item x="4"/>
        <item x="29"/>
        <item x="67"/>
        <item x="68"/>
        <item x="69"/>
        <item x="70"/>
        <item x="71"/>
        <item x="72"/>
        <item x="73"/>
        <item t="default"/>
      </items>
    </pivotField>
    <pivotField axis="axisCol" dataField="1" compact="0" showAll="0">
      <items count="10">
        <item x="5"/>
        <item x="3"/>
        <item x="2"/>
        <item x="7"/>
        <item x="0"/>
        <item x="1"/>
        <item x="4"/>
        <item x="8"/>
        <item x="6"/>
        <item t="default"/>
      </items>
    </pivotField>
  </pivotFields>
  <rowFields count="2">
    <field x="1"/>
    <field x="2"/>
  </rowFields>
  <rowItems count="55">
    <i>
      <x/>
    </i>
    <i r="1">
      <x v="2"/>
    </i>
    <i r="1">
      <x v="3"/>
    </i>
    <i r="1">
      <x v="4"/>
    </i>
    <i r="1">
      <x v="5"/>
    </i>
    <i r="1">
      <x v="6"/>
    </i>
    <i r="1">
      <x v="7"/>
    </i>
    <i r="1">
      <x v="8"/>
    </i>
    <i r="1">
      <x v="9"/>
    </i>
    <i r="1">
      <x v="10"/>
    </i>
    <i r="1">
      <x v="11"/>
    </i>
    <i r="1">
      <x v="12"/>
    </i>
    <i r="1">
      <x v="13"/>
    </i>
    <i r="1">
      <x v="14"/>
    </i>
    <i r="1">
      <x v="15"/>
    </i>
    <i r="1">
      <x v="17"/>
    </i>
    <i r="1">
      <x v="18"/>
    </i>
    <i r="1">
      <x v="19"/>
    </i>
    <i r="1">
      <x v="20"/>
    </i>
    <i r="1">
      <x v="21"/>
    </i>
    <i r="1">
      <x v="22"/>
    </i>
    <i r="1">
      <x v="23"/>
    </i>
    <i r="1">
      <x v="25"/>
    </i>
    <i r="1">
      <x v="26"/>
    </i>
    <i r="1">
      <x v="27"/>
    </i>
    <i r="1">
      <x v="28"/>
    </i>
    <i r="1">
      <x v="29"/>
    </i>
    <i r="1">
      <x v="30"/>
    </i>
    <i r="1">
      <x v="31"/>
    </i>
    <i r="1">
      <x v="32"/>
    </i>
    <i r="1">
      <x v="33"/>
    </i>
    <i r="1">
      <x v="34"/>
    </i>
    <i r="1">
      <x v="35"/>
    </i>
    <i r="1">
      <x v="36"/>
    </i>
    <i r="1">
      <x v="37"/>
    </i>
    <i r="1">
      <x v="38"/>
    </i>
    <i r="1">
      <x v="39"/>
    </i>
    <i r="1">
      <x v="40"/>
    </i>
    <i r="1">
      <x v="41"/>
    </i>
    <i r="1">
      <x v="42"/>
    </i>
    <i r="1">
      <x v="44"/>
    </i>
    <i r="1">
      <x v="45"/>
    </i>
    <i r="1">
      <x v="47"/>
    </i>
    <i r="1">
      <x v="49"/>
    </i>
    <i r="1">
      <x v="50"/>
    </i>
    <i r="1">
      <x v="51"/>
    </i>
    <i r="1">
      <x v="52"/>
    </i>
    <i r="1">
      <x v="58"/>
    </i>
    <i r="1">
      <x v="59"/>
    </i>
    <i r="1">
      <x v="61"/>
    </i>
    <i r="1">
      <x v="69"/>
    </i>
    <i r="1">
      <x v="70"/>
    </i>
    <i r="1">
      <x v="72"/>
    </i>
    <i r="1">
      <x v="73"/>
    </i>
    <i t="grand">
      <x/>
    </i>
  </rowItems>
  <colFields count="1">
    <field x="3"/>
  </colFields>
  <colItems count="6">
    <i>
      <x v="2"/>
    </i>
    <i>
      <x v="3"/>
    </i>
    <i>
      <x v="4"/>
    </i>
    <i>
      <x v="5"/>
    </i>
    <i>
      <x v="6"/>
    </i>
    <i t="grand">
      <x/>
    </i>
  </colItems>
  <dataFields count="1">
    <dataField name="개수 : 배속" fld="3" subtotal="count" baseField="0" baseItem="0"/>
  </dataFields>
  <formats count="104">
    <format dxfId="166">
      <pivotArea type="origin" dataOnly="0" labelOnly="1" outline="0" offset="B1" fieldPosition="0"/>
    </format>
    <format dxfId="165">
      <pivotArea field="3" type="button" dataOnly="0" labelOnly="1" outline="0" axis="axisCol" fieldPosition="0"/>
    </format>
    <format dxfId="164">
      <pivotArea type="topRight" dataOnly="0" labelOnly="1" outline="0" fieldPosition="0"/>
    </format>
    <format dxfId="163">
      <pivotArea field="2" type="button" dataOnly="0" labelOnly="1" outline="0" axis="axisRow" fieldPosition="1"/>
    </format>
    <format dxfId="162">
      <pivotArea dataOnly="0" labelOnly="1" outline="0" fieldPosition="0">
        <references count="1">
          <reference field="3" count="5">
            <x v="2"/>
            <x v="3"/>
            <x v="4"/>
            <x v="5"/>
            <x v="6"/>
          </reference>
        </references>
      </pivotArea>
    </format>
    <format dxfId="161">
      <pivotArea dataOnly="0" labelOnly="1" grandCol="1" outline="0" fieldPosition="0"/>
    </format>
    <format dxfId="160">
      <pivotArea type="origin" dataOnly="0" labelOnly="1" outline="0" offset="B1" fieldPosition="0"/>
    </format>
    <format dxfId="159">
      <pivotArea field="3" type="button" dataOnly="0" labelOnly="1" outline="0" axis="axisCol" fieldPosition="0"/>
    </format>
    <format dxfId="158">
      <pivotArea type="topRight" dataOnly="0" labelOnly="1" outline="0" fieldPosition="0"/>
    </format>
    <format dxfId="157">
      <pivotArea field="2" type="button" dataOnly="0" labelOnly="1" outline="0" axis="axisRow" fieldPosition="1"/>
    </format>
    <format dxfId="156">
      <pivotArea dataOnly="0" labelOnly="1" outline="0" fieldPosition="0">
        <references count="1">
          <reference field="3" count="5">
            <x v="2"/>
            <x v="3"/>
            <x v="4"/>
            <x v="5"/>
            <x v="6"/>
          </reference>
        </references>
      </pivotArea>
    </format>
    <format dxfId="155">
      <pivotArea dataOnly="0" labelOnly="1" grandCol="1" outline="0" fieldPosition="0"/>
    </format>
    <format dxfId="154">
      <pivotArea outline="0" collapsedLevelsAreSubtotals="1" fieldPosition="0"/>
    </format>
    <format dxfId="153">
      <pivotArea type="origin" dataOnly="0" labelOnly="1" outline="0" offset="B1" fieldPosition="0"/>
    </format>
    <format dxfId="152">
      <pivotArea field="3" type="button" dataOnly="0" labelOnly="1" outline="0" axis="axisCol" fieldPosition="0"/>
    </format>
    <format dxfId="151">
      <pivotArea type="topRight" dataOnly="0" labelOnly="1" outline="0" fieldPosition="0"/>
    </format>
    <format dxfId="150">
      <pivotArea field="2" type="button" dataOnly="0" labelOnly="1" outline="0" axis="axisRow" fieldPosition="1"/>
    </format>
    <format dxfId="149">
      <pivotArea dataOnly="0" labelOnly="1" outline="0" offset="IV256" fieldPosition="0">
        <references count="1">
          <reference field="1" count="0"/>
        </references>
      </pivotArea>
    </format>
    <format dxfId="148">
      <pivotArea dataOnly="0" labelOnly="1" grandRow="1" outline="0" offset="IV256" fieldPosition="0"/>
    </format>
    <format dxfId="147">
      <pivotArea dataOnly="0" labelOnly="1" outline="0" fieldPosition="0">
        <references count="2">
          <reference field="1" count="0" selected="0"/>
          <reference field="2" count="40">
            <x v="2"/>
            <x v="3"/>
            <x v="4"/>
            <x v="5"/>
            <x v="6"/>
            <x v="7"/>
            <x v="9"/>
            <x v="10"/>
            <x v="11"/>
            <x v="12"/>
            <x v="13"/>
            <x v="17"/>
            <x v="18"/>
            <x v="19"/>
            <x v="20"/>
            <x v="21"/>
            <x v="22"/>
            <x v="23"/>
            <x v="25"/>
            <x v="28"/>
            <x v="29"/>
            <x v="30"/>
            <x v="31"/>
            <x v="32"/>
            <x v="33"/>
            <x v="34"/>
            <x v="35"/>
            <x v="36"/>
            <x v="37"/>
            <x v="38"/>
            <x v="40"/>
            <x v="42"/>
            <x v="44"/>
            <x v="45"/>
            <x v="48"/>
            <x v="49"/>
            <x v="50"/>
            <x v="52"/>
            <x v="58"/>
            <x v="59"/>
          </reference>
        </references>
      </pivotArea>
    </format>
    <format dxfId="146">
      <pivotArea dataOnly="0" labelOnly="1" outline="0" fieldPosition="0">
        <references count="1">
          <reference field="3" count="5">
            <x v="2"/>
            <x v="3"/>
            <x v="4"/>
            <x v="5"/>
            <x v="6"/>
          </reference>
        </references>
      </pivotArea>
    </format>
    <format dxfId="145">
      <pivotArea dataOnly="0" labelOnly="1" grandCol="1" outline="0" fieldPosition="0"/>
    </format>
    <format dxfId="144">
      <pivotArea outline="0" collapsedLevelsAreSubtotals="1" fieldPosition="0"/>
    </format>
    <format dxfId="143">
      <pivotArea dataOnly="0" labelOnly="1" grandRow="1" outline="0" fieldPosition="0"/>
    </format>
    <format dxfId="142">
      <pivotArea grandRow="1" outline="0" collapsedLevelsAreSubtotals="1" fieldPosition="0"/>
    </format>
    <format dxfId="141">
      <pivotArea dataOnly="0" labelOnly="1" grandRow="1" outline="0" fieldPosition="0"/>
    </format>
    <format dxfId="140">
      <pivotArea dataOnly="0" labelOnly="1" outline="0" fieldPosition="0">
        <references count="1">
          <reference field="1" count="0"/>
        </references>
      </pivotArea>
    </format>
    <format dxfId="139">
      <pivotArea dataOnly="0" labelOnly="1" outline="0" fieldPosition="0">
        <references count="2">
          <reference field="1" count="0" selected="0"/>
          <reference field="2" count="42">
            <x v="2"/>
            <x v="3"/>
            <x v="4"/>
            <x v="5"/>
            <x v="6"/>
            <x v="7"/>
            <x v="9"/>
            <x v="10"/>
            <x v="11"/>
            <x v="12"/>
            <x v="13"/>
            <x v="17"/>
            <x v="18"/>
            <x v="19"/>
            <x v="20"/>
            <x v="22"/>
            <x v="23"/>
            <x v="24"/>
            <x v="25"/>
            <x v="27"/>
            <x v="29"/>
            <x v="30"/>
            <x v="31"/>
            <x v="32"/>
            <x v="33"/>
            <x v="34"/>
            <x v="35"/>
            <x v="36"/>
            <x v="37"/>
            <x v="38"/>
            <x v="40"/>
            <x v="41"/>
            <x v="42"/>
            <x v="45"/>
            <x v="47"/>
            <x v="48"/>
            <x v="49"/>
            <x v="50"/>
            <x v="58"/>
            <x v="59"/>
            <x v="67"/>
            <x v="68"/>
          </reference>
        </references>
      </pivotArea>
    </format>
    <format dxfId="138">
      <pivotArea field="2" type="button" dataOnly="0" labelOnly="1" outline="0" axis="axisRow" fieldPosition="1"/>
    </format>
    <format dxfId="137">
      <pivotArea dataOnly="0" labelOnly="1" outline="0" fieldPosition="0">
        <references count="1">
          <reference field="3" count="5">
            <x v="2"/>
            <x v="3"/>
            <x v="4"/>
            <x v="5"/>
            <x v="6"/>
          </reference>
        </references>
      </pivotArea>
    </format>
    <format dxfId="136">
      <pivotArea dataOnly="0" labelOnly="1" grandCol="1" outline="0" fieldPosition="0"/>
    </format>
    <format dxfId="135">
      <pivotArea fieldPosition="0">
        <references count="2">
          <reference field="1" count="0" selected="0"/>
          <reference field="2" count="42">
            <x v="2"/>
            <x v="3"/>
            <x v="4"/>
            <x v="5"/>
            <x v="6"/>
            <x v="7"/>
            <x v="9"/>
            <x v="10"/>
            <x v="11"/>
            <x v="12"/>
            <x v="13"/>
            <x v="17"/>
            <x v="18"/>
            <x v="19"/>
            <x v="20"/>
            <x v="22"/>
            <x v="23"/>
            <x v="24"/>
            <x v="25"/>
            <x v="27"/>
            <x v="29"/>
            <x v="30"/>
            <x v="31"/>
            <x v="32"/>
            <x v="33"/>
            <x v="34"/>
            <x v="35"/>
            <x v="36"/>
            <x v="37"/>
            <x v="38"/>
            <x v="40"/>
            <x v="41"/>
            <x v="42"/>
            <x v="45"/>
            <x v="47"/>
            <x v="48"/>
            <x v="49"/>
            <x v="50"/>
            <x v="58"/>
            <x v="59"/>
            <x v="67"/>
            <x v="68"/>
          </reference>
        </references>
      </pivotArea>
    </format>
    <format dxfId="134">
      <pivotArea grandRow="1" outline="0" collapsedLevelsAreSubtotals="1" fieldPosition="0"/>
    </format>
    <format dxfId="133">
      <pivotArea dataOnly="0" labelOnly="1" grandRow="1" outline="0" offset="IV256" fieldPosition="0"/>
    </format>
    <format dxfId="132">
      <pivotArea dataOnly="0" labelOnly="1" outline="0" fieldPosition="0">
        <references count="2">
          <reference field="1" count="0" selected="0"/>
          <reference field="2" count="42">
            <x v="2"/>
            <x v="3"/>
            <x v="4"/>
            <x v="5"/>
            <x v="6"/>
            <x v="7"/>
            <x v="9"/>
            <x v="10"/>
            <x v="11"/>
            <x v="12"/>
            <x v="13"/>
            <x v="17"/>
            <x v="18"/>
            <x v="19"/>
            <x v="20"/>
            <x v="22"/>
            <x v="23"/>
            <x v="24"/>
            <x v="25"/>
            <x v="27"/>
            <x v="29"/>
            <x v="30"/>
            <x v="31"/>
            <x v="32"/>
            <x v="33"/>
            <x v="34"/>
            <x v="35"/>
            <x v="36"/>
            <x v="37"/>
            <x v="38"/>
            <x v="40"/>
            <x v="41"/>
            <x v="42"/>
            <x v="45"/>
            <x v="47"/>
            <x v="48"/>
            <x v="49"/>
            <x v="50"/>
            <x v="58"/>
            <x v="59"/>
            <x v="67"/>
            <x v="68"/>
          </reference>
        </references>
      </pivotArea>
    </format>
    <format dxfId="131">
      <pivotArea dataOnly="0" labelOnly="1" outline="0" offset="IV256" fieldPosition="0">
        <references count="1">
          <reference field="1" count="0"/>
        </references>
      </pivotArea>
    </format>
    <format dxfId="130">
      <pivotArea fieldPosition="0">
        <references count="1">
          <reference field="1" count="0"/>
        </references>
      </pivotArea>
    </format>
    <format dxfId="129">
      <pivotArea fieldPosition="0">
        <references count="2">
          <reference field="1" count="0" selected="0"/>
          <reference field="2" count="43">
            <x v="2"/>
            <x v="3"/>
            <x v="4"/>
            <x v="5"/>
            <x v="6"/>
            <x v="7"/>
            <x v="8"/>
            <x v="9"/>
            <x v="10"/>
            <x v="11"/>
            <x v="12"/>
            <x v="13"/>
            <x v="17"/>
            <x v="18"/>
            <x v="19"/>
            <x v="20"/>
            <x v="22"/>
            <x v="23"/>
            <x v="24"/>
            <x v="25"/>
            <x v="27"/>
            <x v="29"/>
            <x v="30"/>
            <x v="31"/>
            <x v="32"/>
            <x v="33"/>
            <x v="34"/>
            <x v="35"/>
            <x v="36"/>
            <x v="37"/>
            <x v="38"/>
            <x v="40"/>
            <x v="41"/>
            <x v="45"/>
            <x v="47"/>
            <x v="48"/>
            <x v="49"/>
            <x v="50"/>
            <x v="58"/>
            <x v="59"/>
            <x v="67"/>
            <x v="68"/>
            <x v="69"/>
          </reference>
        </references>
      </pivotArea>
    </format>
    <format dxfId="128">
      <pivotArea field="2" type="button" dataOnly="0" labelOnly="1" outline="0" axis="axisRow" fieldPosition="1"/>
    </format>
    <format dxfId="127">
      <pivotArea dataOnly="0" labelOnly="1" outline="0" offset="IV256" fieldPosition="0">
        <references count="1">
          <reference field="1" count="0"/>
        </references>
      </pivotArea>
    </format>
    <format dxfId="126">
      <pivotArea dataOnly="0" labelOnly="1" outline="0" fieldPosition="0">
        <references count="2">
          <reference field="1" count="0" selected="0"/>
          <reference field="2" count="43">
            <x v="2"/>
            <x v="3"/>
            <x v="4"/>
            <x v="5"/>
            <x v="6"/>
            <x v="7"/>
            <x v="8"/>
            <x v="9"/>
            <x v="10"/>
            <x v="11"/>
            <x v="12"/>
            <x v="13"/>
            <x v="17"/>
            <x v="18"/>
            <x v="19"/>
            <x v="20"/>
            <x v="22"/>
            <x v="23"/>
            <x v="24"/>
            <x v="25"/>
            <x v="27"/>
            <x v="29"/>
            <x v="30"/>
            <x v="31"/>
            <x v="32"/>
            <x v="33"/>
            <x v="34"/>
            <x v="35"/>
            <x v="36"/>
            <x v="37"/>
            <x v="38"/>
            <x v="40"/>
            <x v="41"/>
            <x v="45"/>
            <x v="47"/>
            <x v="48"/>
            <x v="49"/>
            <x v="50"/>
            <x v="58"/>
            <x v="59"/>
            <x v="67"/>
            <x v="68"/>
            <x v="69"/>
          </reference>
        </references>
      </pivotArea>
    </format>
    <format dxfId="125">
      <pivotArea dataOnly="0" labelOnly="1" outline="0" fieldPosition="0">
        <references count="1">
          <reference field="3" count="5">
            <x v="2"/>
            <x v="3"/>
            <x v="4"/>
            <x v="5"/>
            <x v="6"/>
          </reference>
        </references>
      </pivotArea>
    </format>
    <format dxfId="124">
      <pivotArea dataOnly="0" labelOnly="1" grandCol="1" outline="0" fieldPosition="0"/>
    </format>
    <format dxfId="123">
      <pivotArea fieldPosition="0">
        <references count="2">
          <reference field="1" count="0" selected="0"/>
          <reference field="2" count="43">
            <x v="2"/>
            <x v="3"/>
            <x v="4"/>
            <x v="5"/>
            <x v="6"/>
            <x v="7"/>
            <x v="8"/>
            <x v="9"/>
            <x v="10"/>
            <x v="11"/>
            <x v="12"/>
            <x v="13"/>
            <x v="17"/>
            <x v="18"/>
            <x v="19"/>
            <x v="20"/>
            <x v="22"/>
            <x v="23"/>
            <x v="24"/>
            <x v="25"/>
            <x v="27"/>
            <x v="29"/>
            <x v="30"/>
            <x v="31"/>
            <x v="32"/>
            <x v="33"/>
            <x v="34"/>
            <x v="35"/>
            <x v="36"/>
            <x v="37"/>
            <x v="38"/>
            <x v="40"/>
            <x v="41"/>
            <x v="45"/>
            <x v="47"/>
            <x v="48"/>
            <x v="49"/>
            <x v="50"/>
            <x v="58"/>
            <x v="59"/>
            <x v="67"/>
            <x v="68"/>
            <x v="69"/>
          </reference>
        </references>
      </pivotArea>
    </format>
    <format dxfId="122">
      <pivotArea dataOnly="0" labelOnly="1" outline="0" fieldPosition="0">
        <references count="2">
          <reference field="1" count="0" selected="0"/>
          <reference field="2" count="43">
            <x v="2"/>
            <x v="3"/>
            <x v="4"/>
            <x v="5"/>
            <x v="6"/>
            <x v="7"/>
            <x v="8"/>
            <x v="9"/>
            <x v="10"/>
            <x v="11"/>
            <x v="12"/>
            <x v="13"/>
            <x v="17"/>
            <x v="18"/>
            <x v="19"/>
            <x v="20"/>
            <x v="22"/>
            <x v="23"/>
            <x v="24"/>
            <x v="25"/>
            <x v="27"/>
            <x v="29"/>
            <x v="30"/>
            <x v="31"/>
            <x v="32"/>
            <x v="33"/>
            <x v="34"/>
            <x v="35"/>
            <x v="36"/>
            <x v="37"/>
            <x v="38"/>
            <x v="40"/>
            <x v="41"/>
            <x v="45"/>
            <x v="47"/>
            <x v="48"/>
            <x v="49"/>
            <x v="50"/>
            <x v="58"/>
            <x v="59"/>
            <x v="67"/>
            <x v="68"/>
            <x v="69"/>
          </reference>
        </references>
      </pivotArea>
    </format>
    <format dxfId="121">
      <pivotArea fieldPosition="0">
        <references count="2">
          <reference field="1" count="0" selected="0"/>
          <reference field="2" count="43">
            <x v="2"/>
            <x v="3"/>
            <x v="4"/>
            <x v="5"/>
            <x v="6"/>
            <x v="7"/>
            <x v="8"/>
            <x v="9"/>
            <x v="10"/>
            <x v="11"/>
            <x v="12"/>
            <x v="13"/>
            <x v="17"/>
            <x v="18"/>
            <x v="19"/>
            <x v="20"/>
            <x v="22"/>
            <x v="23"/>
            <x v="24"/>
            <x v="25"/>
            <x v="27"/>
            <x v="29"/>
            <x v="30"/>
            <x v="31"/>
            <x v="32"/>
            <x v="33"/>
            <x v="34"/>
            <x v="35"/>
            <x v="36"/>
            <x v="37"/>
            <x v="38"/>
            <x v="40"/>
            <x v="41"/>
            <x v="45"/>
            <x v="47"/>
            <x v="48"/>
            <x v="49"/>
            <x v="50"/>
            <x v="58"/>
            <x v="59"/>
            <x v="67"/>
            <x v="68"/>
            <x v="69"/>
          </reference>
        </references>
      </pivotArea>
    </format>
    <format dxfId="120">
      <pivotArea dataOnly="0" labelOnly="1" outline="0" fieldPosition="0">
        <references count="2">
          <reference field="1" count="0" selected="0"/>
          <reference field="2" count="43">
            <x v="2"/>
            <x v="3"/>
            <x v="4"/>
            <x v="5"/>
            <x v="6"/>
            <x v="7"/>
            <x v="8"/>
            <x v="9"/>
            <x v="10"/>
            <x v="11"/>
            <x v="12"/>
            <x v="13"/>
            <x v="17"/>
            <x v="18"/>
            <x v="19"/>
            <x v="20"/>
            <x v="22"/>
            <x v="23"/>
            <x v="24"/>
            <x v="25"/>
            <x v="27"/>
            <x v="29"/>
            <x v="30"/>
            <x v="31"/>
            <x v="32"/>
            <x v="33"/>
            <x v="34"/>
            <x v="35"/>
            <x v="36"/>
            <x v="37"/>
            <x v="38"/>
            <x v="40"/>
            <x v="41"/>
            <x v="45"/>
            <x v="47"/>
            <x v="48"/>
            <x v="49"/>
            <x v="50"/>
            <x v="58"/>
            <x v="59"/>
            <x v="67"/>
            <x v="68"/>
            <x v="69"/>
          </reference>
        </references>
      </pivotArea>
    </format>
    <format dxfId="119">
      <pivotArea dataOnly="0" labelOnly="1" outline="0" fieldPosition="0">
        <references count="2">
          <reference field="1" count="0" selected="0"/>
          <reference field="2" count="15">
            <x v="36"/>
            <x v="37"/>
            <x v="38"/>
            <x v="39"/>
            <x v="40"/>
            <x v="45"/>
            <x v="48"/>
            <x v="49"/>
            <x v="50"/>
            <x v="58"/>
            <x v="59"/>
            <x v="60"/>
            <x v="67"/>
            <x v="69"/>
            <x v="70"/>
          </reference>
        </references>
      </pivotArea>
    </format>
    <format dxfId="118">
      <pivotArea dataOnly="0" labelOnly="1" outline="0" fieldPosition="0">
        <references count="2">
          <reference field="1" count="0" selected="0"/>
          <reference field="2" count="15">
            <x v="36"/>
            <x v="37"/>
            <x v="38"/>
            <x v="39"/>
            <x v="40"/>
            <x v="45"/>
            <x v="48"/>
            <x v="49"/>
            <x v="50"/>
            <x v="58"/>
            <x v="59"/>
            <x v="60"/>
            <x v="67"/>
            <x v="69"/>
            <x v="70"/>
          </reference>
        </references>
      </pivotArea>
    </format>
    <format dxfId="117">
      <pivotArea dataOnly="0" labelOnly="1" outline="0" offset="IV256" fieldPosition="0">
        <references count="1">
          <reference field="1" count="0"/>
        </references>
      </pivotArea>
    </format>
    <format dxfId="116">
      <pivotArea fieldPosition="0">
        <references count="2">
          <reference field="1" count="0" selected="0"/>
          <reference field="2" count="46">
            <x v="2"/>
            <x v="3"/>
            <x v="4"/>
            <x v="5"/>
            <x v="6"/>
            <x v="8"/>
            <x v="9"/>
            <x v="10"/>
            <x v="11"/>
            <x v="12"/>
            <x v="13"/>
            <x v="15"/>
            <x v="17"/>
            <x v="18"/>
            <x v="19"/>
            <x v="20"/>
            <x v="22"/>
            <x v="23"/>
            <x v="24"/>
            <x v="25"/>
            <x v="27"/>
            <x v="28"/>
            <x v="29"/>
            <x v="30"/>
            <x v="31"/>
            <x v="32"/>
            <x v="33"/>
            <x v="34"/>
            <x v="35"/>
            <x v="36"/>
            <x v="37"/>
            <x v="38"/>
            <x v="39"/>
            <x v="40"/>
            <x v="42"/>
            <x v="45"/>
            <x v="47"/>
            <x v="48"/>
            <x v="49"/>
            <x v="50"/>
            <x v="58"/>
            <x v="59"/>
            <x v="60"/>
            <x v="67"/>
            <x v="69"/>
            <x v="70"/>
          </reference>
        </references>
      </pivotArea>
    </format>
    <format dxfId="115">
      <pivotArea grandRow="1" outline="0" collapsedLevelsAreSubtotals="1" fieldPosition="0"/>
    </format>
    <format dxfId="114">
      <pivotArea dataOnly="0" labelOnly="1" grandRow="1" outline="0" fieldPosition="0"/>
    </format>
    <format dxfId="113">
      <pivotArea dataOnly="0" labelOnly="1" outline="0" fieldPosition="0">
        <references count="2">
          <reference field="1" count="0" selected="0"/>
          <reference field="2" count="46">
            <x v="2"/>
            <x v="3"/>
            <x v="4"/>
            <x v="5"/>
            <x v="6"/>
            <x v="8"/>
            <x v="9"/>
            <x v="10"/>
            <x v="11"/>
            <x v="12"/>
            <x v="13"/>
            <x v="15"/>
            <x v="17"/>
            <x v="18"/>
            <x v="19"/>
            <x v="20"/>
            <x v="22"/>
            <x v="23"/>
            <x v="24"/>
            <x v="25"/>
            <x v="27"/>
            <x v="28"/>
            <x v="29"/>
            <x v="30"/>
            <x v="31"/>
            <x v="32"/>
            <x v="33"/>
            <x v="34"/>
            <x v="35"/>
            <x v="36"/>
            <x v="37"/>
            <x v="38"/>
            <x v="39"/>
            <x v="40"/>
            <x v="42"/>
            <x v="45"/>
            <x v="47"/>
            <x v="48"/>
            <x v="49"/>
            <x v="50"/>
            <x v="58"/>
            <x v="59"/>
            <x v="60"/>
            <x v="67"/>
            <x v="69"/>
            <x v="70"/>
          </reference>
        </references>
      </pivotArea>
    </format>
    <format dxfId="112">
      <pivotArea fieldPosition="0">
        <references count="2">
          <reference field="1" count="0" selected="0"/>
          <reference field="2" count="46">
            <x v="2"/>
            <x v="3"/>
            <x v="4"/>
            <x v="5"/>
            <x v="6"/>
            <x v="8"/>
            <x v="9"/>
            <x v="10"/>
            <x v="11"/>
            <x v="12"/>
            <x v="13"/>
            <x v="15"/>
            <x v="17"/>
            <x v="18"/>
            <x v="19"/>
            <x v="20"/>
            <x v="22"/>
            <x v="23"/>
            <x v="24"/>
            <x v="25"/>
            <x v="27"/>
            <x v="28"/>
            <x v="29"/>
            <x v="30"/>
            <x v="31"/>
            <x v="32"/>
            <x v="33"/>
            <x v="34"/>
            <x v="35"/>
            <x v="36"/>
            <x v="37"/>
            <x v="38"/>
            <x v="39"/>
            <x v="40"/>
            <x v="42"/>
            <x v="45"/>
            <x v="47"/>
            <x v="48"/>
            <x v="49"/>
            <x v="50"/>
            <x v="58"/>
            <x v="59"/>
            <x v="60"/>
            <x v="67"/>
            <x v="69"/>
            <x v="70"/>
          </reference>
        </references>
      </pivotArea>
    </format>
    <format dxfId="111">
      <pivotArea grandRow="1" outline="0" collapsedLevelsAreSubtotals="1" fieldPosition="0"/>
    </format>
    <format dxfId="110">
      <pivotArea dataOnly="0" labelOnly="1" grandRow="1" outline="0" fieldPosition="0"/>
    </format>
    <format dxfId="109">
      <pivotArea dataOnly="0" labelOnly="1" outline="0" fieldPosition="0">
        <references count="2">
          <reference field="1" count="0" selected="0"/>
          <reference field="2" count="46">
            <x v="2"/>
            <x v="3"/>
            <x v="4"/>
            <x v="5"/>
            <x v="6"/>
            <x v="8"/>
            <x v="9"/>
            <x v="10"/>
            <x v="11"/>
            <x v="12"/>
            <x v="13"/>
            <x v="15"/>
            <x v="17"/>
            <x v="18"/>
            <x v="19"/>
            <x v="20"/>
            <x v="22"/>
            <x v="23"/>
            <x v="24"/>
            <x v="25"/>
            <x v="27"/>
            <x v="28"/>
            <x v="29"/>
            <x v="30"/>
            <x v="31"/>
            <x v="32"/>
            <x v="33"/>
            <x v="34"/>
            <x v="35"/>
            <x v="36"/>
            <x v="37"/>
            <x v="38"/>
            <x v="39"/>
            <x v="40"/>
            <x v="42"/>
            <x v="45"/>
            <x v="47"/>
            <x v="48"/>
            <x v="49"/>
            <x v="50"/>
            <x v="58"/>
            <x v="59"/>
            <x v="60"/>
            <x v="67"/>
            <x v="69"/>
            <x v="70"/>
          </reference>
        </references>
      </pivotArea>
    </format>
    <format dxfId="108">
      <pivotArea fieldPosition="0">
        <references count="2">
          <reference field="1" count="0" selected="0"/>
          <reference field="2" count="45">
            <x v="3"/>
            <x v="4"/>
            <x v="5"/>
            <x v="6"/>
            <x v="8"/>
            <x v="9"/>
            <x v="10"/>
            <x v="11"/>
            <x v="12"/>
            <x v="13"/>
            <x v="15"/>
            <x v="17"/>
            <x v="18"/>
            <x v="19"/>
            <x v="20"/>
            <x v="22"/>
            <x v="23"/>
            <x v="24"/>
            <x v="25"/>
            <x v="27"/>
            <x v="28"/>
            <x v="29"/>
            <x v="30"/>
            <x v="31"/>
            <x v="32"/>
            <x v="33"/>
            <x v="34"/>
            <x v="35"/>
            <x v="36"/>
            <x v="37"/>
            <x v="38"/>
            <x v="39"/>
            <x v="40"/>
            <x v="42"/>
            <x v="45"/>
            <x v="47"/>
            <x v="48"/>
            <x v="49"/>
            <x v="50"/>
            <x v="58"/>
            <x v="59"/>
            <x v="60"/>
            <x v="67"/>
            <x v="69"/>
            <x v="70"/>
          </reference>
        </references>
      </pivotArea>
    </format>
    <format dxfId="107">
      <pivotArea dataOnly="0" labelOnly="1" outline="0" fieldPosition="0">
        <references count="2">
          <reference field="1" count="0" selected="0"/>
          <reference field="2" count="45">
            <x v="3"/>
            <x v="4"/>
            <x v="5"/>
            <x v="6"/>
            <x v="8"/>
            <x v="9"/>
            <x v="10"/>
            <x v="11"/>
            <x v="12"/>
            <x v="13"/>
            <x v="15"/>
            <x v="17"/>
            <x v="18"/>
            <x v="19"/>
            <x v="20"/>
            <x v="22"/>
            <x v="23"/>
            <x v="24"/>
            <x v="25"/>
            <x v="27"/>
            <x v="28"/>
            <x v="29"/>
            <x v="30"/>
            <x v="31"/>
            <x v="32"/>
            <x v="33"/>
            <x v="34"/>
            <x v="35"/>
            <x v="36"/>
            <x v="37"/>
            <x v="38"/>
            <x v="39"/>
            <x v="40"/>
            <x v="42"/>
            <x v="45"/>
            <x v="47"/>
            <x v="48"/>
            <x v="49"/>
            <x v="50"/>
            <x v="58"/>
            <x v="59"/>
            <x v="60"/>
            <x v="67"/>
            <x v="69"/>
            <x v="70"/>
          </reference>
        </references>
      </pivotArea>
    </format>
    <format dxfId="106">
      <pivotArea fieldPosition="0">
        <references count="2">
          <reference field="1" count="0" selected="0"/>
          <reference field="2" count="49">
            <x v="2"/>
            <x v="3"/>
            <x v="4"/>
            <x v="5"/>
            <x v="6"/>
            <x v="8"/>
            <x v="9"/>
            <x v="10"/>
            <x v="11"/>
            <x v="12"/>
            <x v="13"/>
            <x v="15"/>
            <x v="17"/>
            <x v="18"/>
            <x v="19"/>
            <x v="20"/>
            <x v="21"/>
            <x v="22"/>
            <x v="23"/>
            <x v="25"/>
            <x v="26"/>
            <x v="27"/>
            <x v="28"/>
            <x v="29"/>
            <x v="30"/>
            <x v="31"/>
            <x v="32"/>
            <x v="33"/>
            <x v="34"/>
            <x v="35"/>
            <x v="36"/>
            <x v="37"/>
            <x v="38"/>
            <x v="39"/>
            <x v="40"/>
            <x v="42"/>
            <x v="44"/>
            <x v="45"/>
            <x v="47"/>
            <x v="48"/>
            <x v="49"/>
            <x v="50"/>
            <x v="51"/>
            <x v="58"/>
            <x v="59"/>
            <x v="60"/>
            <x v="67"/>
            <x v="69"/>
            <x v="70"/>
          </reference>
        </references>
      </pivotArea>
    </format>
    <format dxfId="105">
      <pivotArea dataOnly="0" labelOnly="1" outline="0" fieldPosition="0">
        <references count="2">
          <reference field="1" count="0" selected="0"/>
          <reference field="2" count="49">
            <x v="2"/>
            <x v="3"/>
            <x v="4"/>
            <x v="5"/>
            <x v="6"/>
            <x v="8"/>
            <x v="9"/>
            <x v="10"/>
            <x v="11"/>
            <x v="12"/>
            <x v="13"/>
            <x v="15"/>
            <x v="17"/>
            <x v="18"/>
            <x v="19"/>
            <x v="20"/>
            <x v="21"/>
            <x v="22"/>
            <x v="23"/>
            <x v="25"/>
            <x v="26"/>
            <x v="27"/>
            <x v="28"/>
            <x v="29"/>
            <x v="30"/>
            <x v="31"/>
            <x v="32"/>
            <x v="33"/>
            <x v="34"/>
            <x v="35"/>
            <x v="36"/>
            <x v="37"/>
            <x v="38"/>
            <x v="39"/>
            <x v="40"/>
            <x v="42"/>
            <x v="44"/>
            <x v="45"/>
            <x v="47"/>
            <x v="48"/>
            <x v="49"/>
            <x v="50"/>
            <x v="51"/>
            <x v="58"/>
            <x v="59"/>
            <x v="60"/>
            <x v="67"/>
            <x v="69"/>
            <x v="70"/>
          </reference>
        </references>
      </pivotArea>
    </format>
    <format dxfId="104">
      <pivotArea fieldPosition="0">
        <references count="2">
          <reference field="1" count="0" selected="0"/>
          <reference field="2" count="49">
            <x v="2"/>
            <x v="3"/>
            <x v="4"/>
            <x v="5"/>
            <x v="6"/>
            <x v="8"/>
            <x v="9"/>
            <x v="10"/>
            <x v="11"/>
            <x v="12"/>
            <x v="13"/>
            <x v="15"/>
            <x v="17"/>
            <x v="18"/>
            <x v="19"/>
            <x v="20"/>
            <x v="21"/>
            <x v="22"/>
            <x v="23"/>
            <x v="25"/>
            <x v="26"/>
            <x v="27"/>
            <x v="28"/>
            <x v="29"/>
            <x v="30"/>
            <x v="31"/>
            <x v="32"/>
            <x v="33"/>
            <x v="34"/>
            <x v="35"/>
            <x v="36"/>
            <x v="37"/>
            <x v="38"/>
            <x v="39"/>
            <x v="40"/>
            <x v="42"/>
            <x v="44"/>
            <x v="45"/>
            <x v="47"/>
            <x v="48"/>
            <x v="49"/>
            <x v="50"/>
            <x v="51"/>
            <x v="58"/>
            <x v="59"/>
            <x v="60"/>
            <x v="67"/>
            <x v="69"/>
            <x v="70"/>
          </reference>
        </references>
      </pivotArea>
    </format>
    <format dxfId="103">
      <pivotArea dataOnly="0" labelOnly="1" outline="0" fieldPosition="0">
        <references count="2">
          <reference field="1" count="0" selected="0"/>
          <reference field="2" count="49">
            <x v="2"/>
            <x v="3"/>
            <x v="4"/>
            <x v="5"/>
            <x v="6"/>
            <x v="8"/>
            <x v="9"/>
            <x v="10"/>
            <x v="11"/>
            <x v="12"/>
            <x v="13"/>
            <x v="15"/>
            <x v="17"/>
            <x v="18"/>
            <x v="19"/>
            <x v="20"/>
            <x v="21"/>
            <x v="22"/>
            <x v="23"/>
            <x v="25"/>
            <x v="26"/>
            <x v="27"/>
            <x v="28"/>
            <x v="29"/>
            <x v="30"/>
            <x v="31"/>
            <x v="32"/>
            <x v="33"/>
            <x v="34"/>
            <x v="35"/>
            <x v="36"/>
            <x v="37"/>
            <x v="38"/>
            <x v="39"/>
            <x v="40"/>
            <x v="42"/>
            <x v="44"/>
            <x v="45"/>
            <x v="47"/>
            <x v="48"/>
            <x v="49"/>
            <x v="50"/>
            <x v="51"/>
            <x v="58"/>
            <x v="59"/>
            <x v="60"/>
            <x v="67"/>
            <x v="69"/>
            <x v="70"/>
          </reference>
        </references>
      </pivotArea>
    </format>
    <format dxfId="102">
      <pivotArea fieldPosition="0">
        <references count="1">
          <reference field="1" count="0"/>
        </references>
      </pivotArea>
    </format>
    <format dxfId="101">
      <pivotArea fieldPosition="0">
        <references count="2">
          <reference field="1" count="0" selected="0"/>
          <reference field="2" count="48">
            <x v="2"/>
            <x v="3"/>
            <x v="4"/>
            <x v="5"/>
            <x v="6"/>
            <x v="8"/>
            <x v="9"/>
            <x v="10"/>
            <x v="11"/>
            <x v="12"/>
            <x v="13"/>
            <x v="15"/>
            <x v="17"/>
            <x v="18"/>
            <x v="19"/>
            <x v="20"/>
            <x v="21"/>
            <x v="22"/>
            <x v="23"/>
            <x v="25"/>
            <x v="27"/>
            <x v="28"/>
            <x v="29"/>
            <x v="30"/>
            <x v="31"/>
            <x v="32"/>
            <x v="33"/>
            <x v="34"/>
            <x v="35"/>
            <x v="36"/>
            <x v="37"/>
            <x v="38"/>
            <x v="39"/>
            <x v="40"/>
            <x v="41"/>
            <x v="42"/>
            <x v="44"/>
            <x v="45"/>
            <x v="47"/>
            <x v="49"/>
            <x v="50"/>
            <x v="51"/>
            <x v="58"/>
            <x v="59"/>
            <x v="60"/>
            <x v="67"/>
            <x v="69"/>
            <x v="70"/>
          </reference>
        </references>
      </pivotArea>
    </format>
    <format dxfId="100">
      <pivotArea field="2" type="button" dataOnly="0" labelOnly="1" outline="0" axis="axisRow" fieldPosition="1"/>
    </format>
    <format dxfId="99">
      <pivotArea dataOnly="0" labelOnly="1" outline="0" offset="IV256" fieldPosition="0">
        <references count="1">
          <reference field="1" count="0"/>
        </references>
      </pivotArea>
    </format>
    <format dxfId="98">
      <pivotArea dataOnly="0" labelOnly="1" outline="0" fieldPosition="0">
        <references count="2">
          <reference field="1" count="0" selected="0"/>
          <reference field="2" count="48">
            <x v="2"/>
            <x v="3"/>
            <x v="4"/>
            <x v="5"/>
            <x v="6"/>
            <x v="8"/>
            <x v="9"/>
            <x v="10"/>
            <x v="11"/>
            <x v="12"/>
            <x v="13"/>
            <x v="15"/>
            <x v="17"/>
            <x v="18"/>
            <x v="19"/>
            <x v="20"/>
            <x v="21"/>
            <x v="22"/>
            <x v="23"/>
            <x v="25"/>
            <x v="27"/>
            <x v="28"/>
            <x v="29"/>
            <x v="30"/>
            <x v="31"/>
            <x v="32"/>
            <x v="33"/>
            <x v="34"/>
            <x v="35"/>
            <x v="36"/>
            <x v="37"/>
            <x v="38"/>
            <x v="39"/>
            <x v="40"/>
            <x v="41"/>
            <x v="42"/>
            <x v="44"/>
            <x v="45"/>
            <x v="47"/>
            <x v="49"/>
            <x v="50"/>
            <x v="51"/>
            <x v="58"/>
            <x v="59"/>
            <x v="60"/>
            <x v="67"/>
            <x v="69"/>
            <x v="70"/>
          </reference>
        </references>
      </pivotArea>
    </format>
    <format dxfId="97">
      <pivotArea dataOnly="0" labelOnly="1" outline="0" fieldPosition="0">
        <references count="1">
          <reference field="3" count="5">
            <x v="2"/>
            <x v="3"/>
            <x v="4"/>
            <x v="5"/>
            <x v="6"/>
          </reference>
        </references>
      </pivotArea>
    </format>
    <format dxfId="96">
      <pivotArea dataOnly="0" labelOnly="1" grandCol="1" outline="0" fieldPosition="0"/>
    </format>
    <format dxfId="95">
      <pivotArea outline="0" collapsedLevelsAreSubtotals="1" fieldPosition="0"/>
    </format>
    <format dxfId="94">
      <pivotArea field="2" type="button" dataOnly="0" labelOnly="1" outline="0" axis="axisRow" fieldPosition="1"/>
    </format>
    <format dxfId="93">
      <pivotArea dataOnly="0" labelOnly="1" outline="0" offset="IV256" fieldPosition="0">
        <references count="1">
          <reference field="1" count="0"/>
        </references>
      </pivotArea>
    </format>
    <format dxfId="92">
      <pivotArea dataOnly="0" labelOnly="1" grandRow="1" outline="0" offset="IV256" fieldPosition="0"/>
    </format>
    <format dxfId="91">
      <pivotArea dataOnly="0" labelOnly="1" outline="0" fieldPosition="0">
        <references count="2">
          <reference field="1" count="0" selected="0"/>
          <reference field="2" count="49">
            <x v="2"/>
            <x v="3"/>
            <x v="4"/>
            <x v="5"/>
            <x v="6"/>
            <x v="8"/>
            <x v="9"/>
            <x v="10"/>
            <x v="11"/>
            <x v="12"/>
            <x v="13"/>
            <x v="15"/>
            <x v="17"/>
            <x v="18"/>
            <x v="19"/>
            <x v="20"/>
            <x v="21"/>
            <x v="22"/>
            <x v="23"/>
            <x v="24"/>
            <x v="25"/>
            <x v="27"/>
            <x v="28"/>
            <x v="29"/>
            <x v="30"/>
            <x v="31"/>
            <x v="32"/>
            <x v="33"/>
            <x v="34"/>
            <x v="35"/>
            <x v="36"/>
            <x v="37"/>
            <x v="38"/>
            <x v="39"/>
            <x v="40"/>
            <x v="41"/>
            <x v="42"/>
            <x v="44"/>
            <x v="45"/>
            <x v="47"/>
            <x v="49"/>
            <x v="50"/>
            <x v="51"/>
            <x v="58"/>
            <x v="59"/>
            <x v="60"/>
            <x v="67"/>
            <x v="69"/>
            <x v="70"/>
          </reference>
        </references>
      </pivotArea>
    </format>
    <format dxfId="90">
      <pivotArea dataOnly="0" labelOnly="1" outline="0" fieldPosition="0">
        <references count="1">
          <reference field="3" count="5">
            <x v="2"/>
            <x v="3"/>
            <x v="4"/>
            <x v="5"/>
            <x v="6"/>
          </reference>
        </references>
      </pivotArea>
    </format>
    <format dxfId="89">
      <pivotArea dataOnly="0" labelOnly="1" grandCol="1" outline="0" fieldPosition="0"/>
    </format>
    <format dxfId="88">
      <pivotArea fieldPosition="0">
        <references count="2">
          <reference field="1" count="0" selected="0"/>
          <reference field="2" count="52">
            <x v="2"/>
            <x v="3"/>
            <x v="4"/>
            <x v="5"/>
            <x v="6"/>
            <x v="8"/>
            <x v="9"/>
            <x v="10"/>
            <x v="11"/>
            <x v="12"/>
            <x v="13"/>
            <x v="14"/>
            <x v="15"/>
            <x v="17"/>
            <x v="18"/>
            <x v="19"/>
            <x v="20"/>
            <x v="21"/>
            <x v="22"/>
            <x v="23"/>
            <x v="25"/>
            <x v="27"/>
            <x v="28"/>
            <x v="29"/>
            <x v="30"/>
            <x v="31"/>
            <x v="32"/>
            <x v="33"/>
            <x v="34"/>
            <x v="35"/>
            <x v="36"/>
            <x v="37"/>
            <x v="38"/>
            <x v="39"/>
            <x v="40"/>
            <x v="41"/>
            <x v="42"/>
            <x v="43"/>
            <x v="44"/>
            <x v="45"/>
            <x v="47"/>
            <x v="49"/>
            <x v="50"/>
            <x v="51"/>
            <x v="58"/>
            <x v="59"/>
            <x v="60"/>
            <x v="67"/>
            <x v="69"/>
            <x v="70"/>
            <x v="71"/>
            <x v="72"/>
          </reference>
        </references>
      </pivotArea>
    </format>
    <format dxfId="87">
      <pivotArea dataOnly="0" labelOnly="1" outline="0" fieldPosition="0">
        <references count="2">
          <reference field="1" count="0" selected="0"/>
          <reference field="2" count="50">
            <x v="2"/>
            <x v="3"/>
            <x v="4"/>
            <x v="5"/>
            <x v="6"/>
            <x v="8"/>
            <x v="9"/>
            <x v="10"/>
            <x v="11"/>
            <x v="12"/>
            <x v="13"/>
            <x v="14"/>
            <x v="15"/>
            <x v="17"/>
            <x v="18"/>
            <x v="19"/>
            <x v="20"/>
            <x v="21"/>
            <x v="22"/>
            <x v="23"/>
            <x v="25"/>
            <x v="27"/>
            <x v="28"/>
            <x v="29"/>
            <x v="30"/>
            <x v="31"/>
            <x v="32"/>
            <x v="33"/>
            <x v="34"/>
            <x v="35"/>
            <x v="36"/>
            <x v="37"/>
            <x v="38"/>
            <x v="39"/>
            <x v="40"/>
            <x v="41"/>
            <x v="42"/>
            <x v="43"/>
            <x v="44"/>
            <x v="45"/>
            <x v="47"/>
            <x v="49"/>
            <x v="50"/>
            <x v="51"/>
            <x v="58"/>
            <x v="59"/>
            <x v="60"/>
            <x v="67"/>
            <x v="69"/>
            <x v="70"/>
          </reference>
        </references>
      </pivotArea>
    </format>
    <format dxfId="86">
      <pivotArea dataOnly="0" labelOnly="1" outline="0" fieldPosition="0">
        <references count="2">
          <reference field="1" count="0" selected="0"/>
          <reference field="2" count="2">
            <x v="71"/>
            <x v="72"/>
          </reference>
        </references>
      </pivotArea>
    </format>
    <format dxfId="85">
      <pivotArea fieldPosition="0">
        <references count="2">
          <reference field="1" count="0" selected="0"/>
          <reference field="2" count="52">
            <x v="2"/>
            <x v="3"/>
            <x v="4"/>
            <x v="5"/>
            <x v="6"/>
            <x v="8"/>
            <x v="9"/>
            <x v="10"/>
            <x v="11"/>
            <x v="12"/>
            <x v="13"/>
            <x v="14"/>
            <x v="15"/>
            <x v="17"/>
            <x v="18"/>
            <x v="19"/>
            <x v="20"/>
            <x v="21"/>
            <x v="22"/>
            <x v="23"/>
            <x v="25"/>
            <x v="27"/>
            <x v="28"/>
            <x v="29"/>
            <x v="30"/>
            <x v="31"/>
            <x v="32"/>
            <x v="33"/>
            <x v="34"/>
            <x v="35"/>
            <x v="36"/>
            <x v="37"/>
            <x v="38"/>
            <x v="39"/>
            <x v="40"/>
            <x v="41"/>
            <x v="42"/>
            <x v="43"/>
            <x v="44"/>
            <x v="45"/>
            <x v="47"/>
            <x v="49"/>
            <x v="50"/>
            <x v="51"/>
            <x v="58"/>
            <x v="59"/>
            <x v="60"/>
            <x v="67"/>
            <x v="69"/>
            <x v="70"/>
            <x v="71"/>
            <x v="72"/>
          </reference>
        </references>
      </pivotArea>
    </format>
    <format dxfId="84">
      <pivotArea dataOnly="0" labelOnly="1" outline="0" fieldPosition="0">
        <references count="2">
          <reference field="1" count="0" selected="0"/>
          <reference field="2" count="50">
            <x v="2"/>
            <x v="3"/>
            <x v="4"/>
            <x v="5"/>
            <x v="6"/>
            <x v="8"/>
            <x v="9"/>
            <x v="10"/>
            <x v="11"/>
            <x v="12"/>
            <x v="13"/>
            <x v="14"/>
            <x v="15"/>
            <x v="17"/>
            <x v="18"/>
            <x v="19"/>
            <x v="20"/>
            <x v="21"/>
            <x v="22"/>
            <x v="23"/>
            <x v="25"/>
            <x v="27"/>
            <x v="28"/>
            <x v="29"/>
            <x v="30"/>
            <x v="31"/>
            <x v="32"/>
            <x v="33"/>
            <x v="34"/>
            <x v="35"/>
            <x v="36"/>
            <x v="37"/>
            <x v="38"/>
            <x v="39"/>
            <x v="40"/>
            <x v="41"/>
            <x v="42"/>
            <x v="43"/>
            <x v="44"/>
            <x v="45"/>
            <x v="47"/>
            <x v="49"/>
            <x v="50"/>
            <x v="51"/>
            <x v="58"/>
            <x v="59"/>
            <x v="60"/>
            <x v="67"/>
            <x v="69"/>
            <x v="70"/>
          </reference>
        </references>
      </pivotArea>
    </format>
    <format dxfId="83">
      <pivotArea dataOnly="0" labelOnly="1" outline="0" fieldPosition="0">
        <references count="2">
          <reference field="1" count="0" selected="0"/>
          <reference field="2" count="2">
            <x v="71"/>
            <x v="72"/>
          </reference>
        </references>
      </pivotArea>
    </format>
    <format dxfId="82">
      <pivotArea fieldPosition="0">
        <references count="2">
          <reference field="1" count="0" selected="0"/>
          <reference field="2" count="52">
            <x v="2"/>
            <x v="3"/>
            <x v="4"/>
            <x v="5"/>
            <x v="6"/>
            <x v="8"/>
            <x v="9"/>
            <x v="10"/>
            <x v="11"/>
            <x v="12"/>
            <x v="13"/>
            <x v="14"/>
            <x v="15"/>
            <x v="17"/>
            <x v="18"/>
            <x v="19"/>
            <x v="20"/>
            <x v="21"/>
            <x v="22"/>
            <x v="23"/>
            <x v="25"/>
            <x v="27"/>
            <x v="28"/>
            <x v="29"/>
            <x v="30"/>
            <x v="31"/>
            <x v="32"/>
            <x v="33"/>
            <x v="34"/>
            <x v="35"/>
            <x v="36"/>
            <x v="37"/>
            <x v="38"/>
            <x v="39"/>
            <x v="40"/>
            <x v="41"/>
            <x v="42"/>
            <x v="43"/>
            <x v="44"/>
            <x v="45"/>
            <x v="47"/>
            <x v="49"/>
            <x v="50"/>
            <x v="51"/>
            <x v="58"/>
            <x v="59"/>
            <x v="60"/>
            <x v="67"/>
            <x v="69"/>
            <x v="70"/>
            <x v="71"/>
            <x v="72"/>
          </reference>
        </references>
      </pivotArea>
    </format>
    <format dxfId="81">
      <pivotArea dataOnly="0" labelOnly="1" outline="0" fieldPosition="0">
        <references count="2">
          <reference field="1" count="0" selected="0"/>
          <reference field="2" count="50">
            <x v="2"/>
            <x v="3"/>
            <x v="4"/>
            <x v="5"/>
            <x v="6"/>
            <x v="8"/>
            <x v="9"/>
            <x v="10"/>
            <x v="11"/>
            <x v="12"/>
            <x v="13"/>
            <x v="14"/>
            <x v="15"/>
            <x v="17"/>
            <x v="18"/>
            <x v="19"/>
            <x v="20"/>
            <x v="21"/>
            <x v="22"/>
            <x v="23"/>
            <x v="25"/>
            <x v="27"/>
            <x v="28"/>
            <x v="29"/>
            <x v="30"/>
            <x v="31"/>
            <x v="32"/>
            <x v="33"/>
            <x v="34"/>
            <x v="35"/>
            <x v="36"/>
            <x v="37"/>
            <x v="38"/>
            <x v="39"/>
            <x v="40"/>
            <x v="41"/>
            <x v="42"/>
            <x v="43"/>
            <x v="44"/>
            <x v="45"/>
            <x v="47"/>
            <x v="49"/>
            <x v="50"/>
            <x v="51"/>
            <x v="58"/>
            <x v="59"/>
            <x v="60"/>
            <x v="67"/>
            <x v="69"/>
            <x v="70"/>
          </reference>
        </references>
      </pivotArea>
    </format>
    <format dxfId="80">
      <pivotArea dataOnly="0" labelOnly="1" outline="0" fieldPosition="0">
        <references count="2">
          <reference field="1" count="0" selected="0"/>
          <reference field="2" count="2">
            <x v="71"/>
            <x v="72"/>
          </reference>
        </references>
      </pivotArea>
    </format>
    <format dxfId="79">
      <pivotArea dataOnly="0" labelOnly="1" outline="0" offset="IV256" fieldPosition="0">
        <references count="1">
          <reference field="1" count="0"/>
        </references>
      </pivotArea>
    </format>
    <format dxfId="78">
      <pivotArea outline="0" collapsedLevelsAreSubtotals="1" fieldPosition="0"/>
    </format>
    <format dxfId="77">
      <pivotArea dataOnly="0" labelOnly="1" outline="0" offset="IV256" fieldPosition="0">
        <references count="1">
          <reference field="1" count="0"/>
        </references>
      </pivotArea>
    </format>
    <format dxfId="76">
      <pivotArea dataOnly="0" labelOnly="1" grandRow="1" outline="0" offset="IV256" fieldPosition="0"/>
    </format>
    <format dxfId="75">
      <pivotArea dataOnly="0" labelOnly="1" outline="0" fieldPosition="0">
        <references count="2">
          <reference field="1" count="0" selected="0"/>
          <reference field="2" count="50">
            <x v="2"/>
            <x v="3"/>
            <x v="4"/>
            <x v="5"/>
            <x v="6"/>
            <x v="8"/>
            <x v="9"/>
            <x v="10"/>
            <x v="11"/>
            <x v="12"/>
            <x v="13"/>
            <x v="14"/>
            <x v="15"/>
            <x v="17"/>
            <x v="18"/>
            <x v="19"/>
            <x v="20"/>
            <x v="21"/>
            <x v="22"/>
            <x v="23"/>
            <x v="25"/>
            <x v="26"/>
            <x v="27"/>
            <x v="28"/>
            <x v="29"/>
            <x v="30"/>
            <x v="31"/>
            <x v="32"/>
            <x v="33"/>
            <x v="34"/>
            <x v="35"/>
            <x v="36"/>
            <x v="37"/>
            <x v="38"/>
            <x v="39"/>
            <x v="40"/>
            <x v="41"/>
            <x v="42"/>
            <x v="44"/>
            <x v="45"/>
            <x v="47"/>
            <x v="49"/>
            <x v="50"/>
            <x v="51"/>
            <x v="58"/>
            <x v="59"/>
            <x v="61"/>
            <x v="69"/>
            <x v="70"/>
            <x v="72"/>
          </reference>
        </references>
      </pivotArea>
    </format>
    <format dxfId="74">
      <pivotArea outline="0" collapsedLevelsAreSubtotals="1" fieldPosition="0"/>
    </format>
    <format dxfId="73">
      <pivotArea dataOnly="0" labelOnly="1" outline="0" fieldPosition="0">
        <references count="1">
          <reference field="1" count="0"/>
        </references>
      </pivotArea>
    </format>
    <format dxfId="72">
      <pivotArea dataOnly="0" labelOnly="1" grandRow="1" outline="0" fieldPosition="0"/>
    </format>
    <format dxfId="71">
      <pivotArea dataOnly="0" labelOnly="1" outline="0" fieldPosition="0">
        <references count="2">
          <reference field="1" count="0" selected="0"/>
          <reference field="2" count="50">
            <x v="2"/>
            <x v="3"/>
            <x v="4"/>
            <x v="5"/>
            <x v="6"/>
            <x v="8"/>
            <x v="9"/>
            <x v="10"/>
            <x v="11"/>
            <x v="12"/>
            <x v="13"/>
            <x v="14"/>
            <x v="15"/>
            <x v="17"/>
            <x v="18"/>
            <x v="19"/>
            <x v="20"/>
            <x v="21"/>
            <x v="22"/>
            <x v="23"/>
            <x v="25"/>
            <x v="26"/>
            <x v="27"/>
            <x v="28"/>
            <x v="29"/>
            <x v="30"/>
            <x v="31"/>
            <x v="32"/>
            <x v="33"/>
            <x v="34"/>
            <x v="35"/>
            <x v="36"/>
            <x v="37"/>
            <x v="38"/>
            <x v="39"/>
            <x v="40"/>
            <x v="41"/>
            <x v="42"/>
            <x v="44"/>
            <x v="45"/>
            <x v="47"/>
            <x v="49"/>
            <x v="50"/>
            <x v="51"/>
            <x v="58"/>
            <x v="59"/>
            <x v="61"/>
            <x v="69"/>
            <x v="70"/>
            <x v="72"/>
          </reference>
        </references>
      </pivotArea>
    </format>
    <format dxfId="70">
      <pivotArea outline="0" collapsedLevelsAreSubtotals="1" fieldPosition="0"/>
    </format>
    <format dxfId="69">
      <pivotArea dataOnly="0" labelOnly="1" outline="0" fieldPosition="0">
        <references count="1">
          <reference field="1" count="0"/>
        </references>
      </pivotArea>
    </format>
    <format dxfId="68">
      <pivotArea dataOnly="0" labelOnly="1" grandRow="1" outline="0" fieldPosition="0"/>
    </format>
    <format dxfId="67">
      <pivotArea dataOnly="0" labelOnly="1" outline="0" fieldPosition="0">
        <references count="2">
          <reference field="1" count="0" selected="0"/>
          <reference field="2" count="50">
            <x v="2"/>
            <x v="3"/>
            <x v="4"/>
            <x v="5"/>
            <x v="6"/>
            <x v="8"/>
            <x v="9"/>
            <x v="10"/>
            <x v="11"/>
            <x v="12"/>
            <x v="13"/>
            <x v="14"/>
            <x v="15"/>
            <x v="17"/>
            <x v="18"/>
            <x v="19"/>
            <x v="20"/>
            <x v="21"/>
            <x v="22"/>
            <x v="23"/>
            <x v="25"/>
            <x v="26"/>
            <x v="27"/>
            <x v="28"/>
            <x v="29"/>
            <x v="30"/>
            <x v="31"/>
            <x v="32"/>
            <x v="33"/>
            <x v="34"/>
            <x v="35"/>
            <x v="36"/>
            <x v="37"/>
            <x v="38"/>
            <x v="39"/>
            <x v="40"/>
            <x v="41"/>
            <x v="42"/>
            <x v="44"/>
            <x v="45"/>
            <x v="47"/>
            <x v="49"/>
            <x v="50"/>
            <x v="51"/>
            <x v="58"/>
            <x v="59"/>
            <x v="61"/>
            <x v="69"/>
            <x v="70"/>
            <x v="72"/>
          </reference>
        </references>
      </pivotArea>
    </format>
    <format dxfId="66">
      <pivotArea outline="0" collapsedLevelsAreSubtotals="1" fieldPosition="0"/>
    </format>
    <format dxfId="65">
      <pivotArea dataOnly="0" labelOnly="1" outline="0" fieldPosition="0">
        <references count="1">
          <reference field="1" count="0"/>
        </references>
      </pivotArea>
    </format>
    <format dxfId="64">
      <pivotArea dataOnly="0" labelOnly="1" grandRow="1" outline="0" fieldPosition="0"/>
    </format>
    <format dxfId="63">
      <pivotArea dataOnly="0" labelOnly="1" outline="0" fieldPosition="0">
        <references count="2">
          <reference field="1" count="0" selected="0"/>
          <reference field="2" count="50">
            <x v="2"/>
            <x v="3"/>
            <x v="4"/>
            <x v="5"/>
            <x v="6"/>
            <x v="8"/>
            <x v="9"/>
            <x v="10"/>
            <x v="11"/>
            <x v="12"/>
            <x v="13"/>
            <x v="14"/>
            <x v="15"/>
            <x v="17"/>
            <x v="18"/>
            <x v="19"/>
            <x v="20"/>
            <x v="21"/>
            <x v="22"/>
            <x v="23"/>
            <x v="25"/>
            <x v="26"/>
            <x v="27"/>
            <x v="28"/>
            <x v="29"/>
            <x v="30"/>
            <x v="31"/>
            <x v="32"/>
            <x v="33"/>
            <x v="34"/>
            <x v="35"/>
            <x v="36"/>
            <x v="37"/>
            <x v="38"/>
            <x v="39"/>
            <x v="40"/>
            <x v="41"/>
            <x v="42"/>
            <x v="44"/>
            <x v="45"/>
            <x v="47"/>
            <x v="49"/>
            <x v="50"/>
            <x v="51"/>
            <x v="58"/>
            <x v="59"/>
            <x v="61"/>
            <x v="69"/>
            <x v="70"/>
            <x v="7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83"/>
  <sheetViews>
    <sheetView showGridLines="0" topLeftCell="AE1" zoomScale="70" zoomScaleNormal="70" workbookViewId="0">
      <selection activeCell="AL24" sqref="AL24"/>
    </sheetView>
  </sheetViews>
  <sheetFormatPr defaultRowHeight="17.399999999999999" x14ac:dyDescent="0.4"/>
  <cols>
    <col min="1" max="1" width="5.59765625" style="97" customWidth="1"/>
    <col min="2" max="2" width="5.59765625" style="97" hidden="1" customWidth="1"/>
    <col min="3" max="7" width="5.59765625" style="97" customWidth="1"/>
    <col min="8" max="8" width="10.5" style="97" bestFit="1" customWidth="1"/>
    <col min="9" max="11" width="5.59765625" style="97" customWidth="1"/>
    <col min="12" max="12" width="5.09765625" style="97" customWidth="1"/>
    <col min="13" max="14" width="5.59765625" style="97" customWidth="1"/>
    <col min="15" max="21" width="8" style="107" customWidth="1"/>
    <col min="22" max="22" width="5.3984375" style="107" customWidth="1"/>
    <col min="23" max="23" width="9" style="135" bestFit="1" customWidth="1"/>
    <col min="24" max="24" width="5.3984375" style="107" customWidth="1"/>
    <col min="25" max="25" width="9" style="135" bestFit="1" customWidth="1"/>
    <col min="26" max="26" width="5.3984375" style="107" customWidth="1"/>
    <col min="34" max="37" width="5.5" customWidth="1"/>
    <col min="38" max="43" width="5.5" style="97" customWidth="1"/>
    <col min="44" max="44" width="7.8984375" style="191" customWidth="1"/>
    <col min="45" max="49" width="5.5" style="97" customWidth="1"/>
    <col min="50" max="56" width="8" style="107" customWidth="1"/>
    <col min="57" max="57" width="5.5" style="107" customWidth="1"/>
    <col min="58" max="58" width="9" style="135" bestFit="1" customWidth="1"/>
    <col min="59" max="59" width="5.8984375" style="107" bestFit="1" customWidth="1"/>
    <col min="60" max="60" width="9" style="135" bestFit="1" customWidth="1"/>
    <col min="61" max="61" width="5.5" style="107" customWidth="1"/>
    <col min="76" max="76" width="9" customWidth="1"/>
  </cols>
  <sheetData>
    <row r="1" spans="1:86" ht="21" x14ac:dyDescent="0.4">
      <c r="A1" s="112" t="s">
        <v>193</v>
      </c>
      <c r="AH1" s="112" t="s">
        <v>194</v>
      </c>
    </row>
    <row r="2" spans="1:86" x14ac:dyDescent="0.4">
      <c r="W2" s="135" t="s">
        <v>232</v>
      </c>
      <c r="Y2" s="135" t="s">
        <v>233</v>
      </c>
      <c r="BF2" s="135" t="s">
        <v>232</v>
      </c>
      <c r="BH2" s="135" t="s">
        <v>233</v>
      </c>
      <c r="BX2" t="s">
        <v>339</v>
      </c>
      <c r="CD2" t="s">
        <v>340</v>
      </c>
    </row>
    <row r="3" spans="1:86" ht="34.799999999999997" x14ac:dyDescent="0.4">
      <c r="A3" s="113" t="s">
        <v>190</v>
      </c>
      <c r="B3" s="114" t="s">
        <v>192</v>
      </c>
      <c r="C3" s="114" t="s">
        <v>192</v>
      </c>
      <c r="D3" s="114" t="s">
        <v>191</v>
      </c>
      <c r="E3" s="114" t="s">
        <v>17</v>
      </c>
      <c r="F3" s="114" t="s">
        <v>18</v>
      </c>
      <c r="G3" s="114" t="s">
        <v>16</v>
      </c>
      <c r="H3" s="114" t="s">
        <v>11</v>
      </c>
      <c r="I3" s="114" t="s">
        <v>163</v>
      </c>
      <c r="J3" s="118" t="s">
        <v>3</v>
      </c>
      <c r="K3" s="115" t="s">
        <v>4</v>
      </c>
      <c r="L3" s="116" t="s">
        <v>153</v>
      </c>
      <c r="M3" s="115" t="s">
        <v>22</v>
      </c>
      <c r="N3" s="115" t="s">
        <v>15</v>
      </c>
      <c r="O3" s="122" t="s">
        <v>209</v>
      </c>
      <c r="P3" s="123" t="s">
        <v>210</v>
      </c>
      <c r="Q3" s="123" t="s">
        <v>211</v>
      </c>
      <c r="R3" s="123" t="s">
        <v>212</v>
      </c>
      <c r="S3" s="123" t="s">
        <v>213</v>
      </c>
      <c r="T3" s="123" t="s">
        <v>214</v>
      </c>
      <c r="U3" s="124" t="s">
        <v>217</v>
      </c>
      <c r="V3" s="121" t="s">
        <v>215</v>
      </c>
      <c r="W3" s="121" t="s">
        <v>231</v>
      </c>
      <c r="X3" s="121" t="s">
        <v>216</v>
      </c>
      <c r="Y3" s="121" t="s">
        <v>231</v>
      </c>
      <c r="Z3" s="121" t="s">
        <v>217</v>
      </c>
      <c r="AH3" s="114" t="s">
        <v>190</v>
      </c>
      <c r="AI3" s="114" t="s">
        <v>192</v>
      </c>
      <c r="AJ3" s="114" t="s">
        <v>192</v>
      </c>
      <c r="AK3" s="114"/>
      <c r="AL3" s="114" t="s">
        <v>191</v>
      </c>
      <c r="AM3" s="114" t="s">
        <v>17</v>
      </c>
      <c r="AN3" s="114" t="s">
        <v>18</v>
      </c>
      <c r="AO3" s="114" t="s">
        <v>16</v>
      </c>
      <c r="AP3" s="114" t="s">
        <v>11</v>
      </c>
      <c r="AQ3" s="114" t="s">
        <v>163</v>
      </c>
      <c r="AR3" s="114" t="s">
        <v>308</v>
      </c>
      <c r="AS3" s="118" t="s">
        <v>3</v>
      </c>
      <c r="AT3" s="115" t="s">
        <v>4</v>
      </c>
      <c r="AU3" s="116" t="s">
        <v>153</v>
      </c>
      <c r="AV3" s="115" t="s">
        <v>22</v>
      </c>
      <c r="AW3" s="115" t="s">
        <v>15</v>
      </c>
      <c r="AX3" s="122" t="s">
        <v>209</v>
      </c>
      <c r="AY3" s="123" t="s">
        <v>210</v>
      </c>
      <c r="AZ3" s="123" t="s">
        <v>211</v>
      </c>
      <c r="BA3" s="123" t="s">
        <v>212</v>
      </c>
      <c r="BB3" s="123" t="s">
        <v>213</v>
      </c>
      <c r="BC3" s="124" t="s">
        <v>214</v>
      </c>
      <c r="BD3" s="123" t="s">
        <v>217</v>
      </c>
      <c r="BE3" s="121" t="s">
        <v>215</v>
      </c>
      <c r="BF3" s="136" t="s">
        <v>234</v>
      </c>
      <c r="BG3" s="121" t="s">
        <v>216</v>
      </c>
      <c r="BH3" s="136" t="s">
        <v>235</v>
      </c>
      <c r="BI3" s="121" t="s">
        <v>217</v>
      </c>
      <c r="BJ3" s="198" t="s">
        <v>328</v>
      </c>
      <c r="BK3" s="199" t="s">
        <v>329</v>
      </c>
      <c r="BL3" s="199" t="s">
        <v>330</v>
      </c>
      <c r="BM3" s="199" t="s">
        <v>331</v>
      </c>
      <c r="BN3" s="199" t="s">
        <v>332</v>
      </c>
      <c r="BO3" s="199" t="s">
        <v>333</v>
      </c>
      <c r="BP3" s="199" t="s">
        <v>84</v>
      </c>
      <c r="BR3" s="199" t="s">
        <v>334</v>
      </c>
      <c r="BS3" s="199" t="s">
        <v>335</v>
      </c>
      <c r="BT3" s="199" t="s">
        <v>336</v>
      </c>
      <c r="BU3" s="199" t="s">
        <v>337</v>
      </c>
      <c r="BV3" s="199" t="s">
        <v>338</v>
      </c>
      <c r="BW3" s="199"/>
      <c r="BX3" s="199" t="s">
        <v>334</v>
      </c>
      <c r="BY3" s="199" t="s">
        <v>335</v>
      </c>
      <c r="BZ3" s="199" t="s">
        <v>336</v>
      </c>
      <c r="CA3" s="199" t="s">
        <v>337</v>
      </c>
      <c r="CB3" s="199" t="s">
        <v>338</v>
      </c>
      <c r="CD3" s="199" t="s">
        <v>334</v>
      </c>
      <c r="CE3" s="199" t="s">
        <v>335</v>
      </c>
      <c r="CF3" s="199" t="s">
        <v>336</v>
      </c>
      <c r="CG3" s="199" t="s">
        <v>337</v>
      </c>
      <c r="CH3" s="199" t="s">
        <v>338</v>
      </c>
    </row>
    <row r="4" spans="1:86" x14ac:dyDescent="0.4">
      <c r="A4" s="378">
        <v>2022</v>
      </c>
      <c r="B4" s="104">
        <v>1</v>
      </c>
      <c r="C4" s="109" t="s">
        <v>195</v>
      </c>
      <c r="D4" s="104">
        <f>COUNTIFS('2023년 신조차 고장관리 세부현황'!$D:$D,"2022",'2023년 신조차 고장관리 세부현황'!$E:$E,'처리 현황'!$B4)</f>
        <v>0</v>
      </c>
      <c r="E4" s="104">
        <f>COUNTIFS('2023년 신조차 고장관리 세부현황'!$D:$D,"2022",'2023년 신조차 고장관리 세부현황'!$E:$E,'처리 현황'!$B4,'2023년 신조차 고장관리 세부현황'!$T:$T,'처리 현황'!E$3)</f>
        <v>0</v>
      </c>
      <c r="F4" s="104">
        <f>COUNTIFS('2023년 신조차 고장관리 세부현황'!$D:$D,"2022",'2023년 신조차 고장관리 세부현황'!$E:$E,'처리 현황'!$B4,'2023년 신조차 고장관리 세부현황'!$T:$T,'처리 현황'!F$3)</f>
        <v>0</v>
      </c>
      <c r="G4" s="104">
        <f>COUNTIFS('2023년 신조차 고장관리 세부현황'!$D:$D,"2022",'2023년 신조차 고장관리 세부현황'!$E:$E,'처리 현황'!$B4,'2023년 신조차 고장관리 세부현황'!$T:$T,'처리 현황'!G$3)</f>
        <v>0</v>
      </c>
      <c r="H4" s="104">
        <f>COUNTIFS('2023년 신조차 고장관리 세부현황'!$D:$D,"2022",'2023년 신조차 고장관리 세부현황'!$E:$E,'처리 현황'!$B4,'2023년 신조차 고장관리 세부현황'!$T:$T,'처리 현황'!H$3)</f>
        <v>0</v>
      </c>
      <c r="I4" s="104">
        <f>COUNTIFS('2023년 신조차 고장관리 세부현황'!$D:$D,"2022",'2023년 신조차 고장관리 세부현황'!$E:$E,'처리 현황'!$B4,'2023년 신조차 고장관리 세부현황'!$T:$T,'처리 현황'!I$3)</f>
        <v>0</v>
      </c>
      <c r="J4" s="119">
        <f>COUNTIFS('2023년 신조차 고장관리 세부현황'!$D:$D,"2022",'2023년 신조차 고장관리 세부현황'!$E:$E,'처리 현황'!$B4,'2023년 신조차 고장관리 세부현황'!$J:$J,'처리 현황'!J$3)</f>
        <v>0</v>
      </c>
      <c r="K4" s="104">
        <f>COUNTIFS('2023년 신조차 고장관리 세부현황'!$D:$D,"2022",'2023년 신조차 고장관리 세부현황'!$E:$E,'처리 현황'!$B4,'2023년 신조차 고장관리 세부현황'!$J:$J,'처리 현황'!K$3)</f>
        <v>0</v>
      </c>
      <c r="L4" s="104">
        <f>COUNTIFS('2023년 신조차 고장관리 세부현황'!$D:$D,"2022",'2023년 신조차 고장관리 세부현황'!$E:$E,'처리 현황'!$B4,'2023년 신조차 고장관리 세부현황'!$J:$J,'처리 현황'!L$3)</f>
        <v>0</v>
      </c>
      <c r="M4" s="104">
        <f>COUNTIFS('2023년 신조차 고장관리 세부현황'!$D:$D,"2022",'2023년 신조차 고장관리 세부현황'!$E:$E,'처리 현황'!$B4,'2023년 신조차 고장관리 세부현황'!$J:$J,'처리 현황'!M$3)</f>
        <v>0</v>
      </c>
      <c r="N4" s="104">
        <f>COUNTIFS('2023년 신조차 고장관리 세부현황'!$D:$D,"2022",'2023년 신조차 고장관리 세부현황'!$E:$E,'처리 현황'!$B4,'2023년 신조차 고장관리 세부현황'!$J:$J,'처리 현황'!N$3)</f>
        <v>0</v>
      </c>
      <c r="O4" s="119">
        <f>COUNTIFS('2023년 신조차 고장관리 세부현황'!$D:$D,"2022",'2023년 신조차 고장관리 세부현황'!$E:$E,'처리 현황'!$B4,'2023년 신조차 고장관리 세부현황'!$L:$L,'처리 현황'!O$3)</f>
        <v>0</v>
      </c>
      <c r="P4" s="106">
        <f>COUNTIFS('2023년 신조차 고장관리 세부현황'!$D:$D,"2022",'2023년 신조차 고장관리 세부현황'!$E:$E,'처리 현황'!$B4,'2023년 신조차 고장관리 세부현황'!$L:$L,'처리 현황'!P$3)</f>
        <v>0</v>
      </c>
      <c r="Q4" s="106">
        <f>COUNTIFS('2023년 신조차 고장관리 세부현황'!$D:$D,"2022",'2023년 신조차 고장관리 세부현황'!$E:$E,'처리 현황'!$B4,'2023년 신조차 고장관리 세부현황'!$L:$L,'처리 현황'!Q$3)</f>
        <v>0</v>
      </c>
      <c r="R4" s="106">
        <f>COUNTIFS('2023년 신조차 고장관리 세부현황'!$D:$D,"2022",'2023년 신조차 고장관리 세부현황'!$E:$E,'처리 현황'!$B4,'2023년 신조차 고장관리 세부현황'!$L:$L,'처리 현황'!R$3)</f>
        <v>0</v>
      </c>
      <c r="S4" s="106">
        <f>COUNTIFS('2023년 신조차 고장관리 세부현황'!$D:$D,"2022",'2023년 신조차 고장관리 세부현황'!$E:$E,'처리 현황'!$B4,'2023년 신조차 고장관리 세부현황'!$L:$L,'처리 현황'!S$3)</f>
        <v>0</v>
      </c>
      <c r="T4" s="106">
        <f>COUNTIFS('2023년 신조차 고장관리 세부현황'!$D:$D,"2022",'2023년 신조차 고장관리 세부현황'!$E:$E,'처리 현황'!$B4,'2023년 신조차 고장관리 세부현황'!$L:$L,'처리 현황'!T$3)</f>
        <v>0</v>
      </c>
      <c r="U4" s="125">
        <f>D4-O4-P4-Q4-R4-S4-T4</f>
        <v>0</v>
      </c>
      <c r="V4" s="106">
        <f>COUNTIFS('2023년 신조차 고장관리 세부현황'!$D:$D,"2022",'2023년 신조차 고장관리 세부현황'!$E:$E,'처리 현황'!$B4,'2023년 신조차 고장관리 세부현황'!$K:$K,'처리 현황'!V$3)</f>
        <v>0</v>
      </c>
      <c r="W4" s="133">
        <f>COUNTIFS('2023년 신조차 고장관리 세부현황'!$D:$D,"2022",'2023년 신조차 고장관리 세부현황'!$E:$E,'처리 현황'!$B4,'2023년 신조차 고장관리 세부현황'!$K:$K,W$2,'2023년 신조차 고장관리 세부현황'!$S:$S,"단품불량")</f>
        <v>0</v>
      </c>
      <c r="X4" s="106">
        <f>COUNTIFS('2023년 신조차 고장관리 세부현황'!$D:$D,"2022",'2023년 신조차 고장관리 세부현황'!$E:$E,'처리 현황'!$B4,'2023년 신조차 고장관리 세부현황'!$K:$K,'처리 현황'!X$3)</f>
        <v>0</v>
      </c>
      <c r="Y4" s="133">
        <f>COUNTIFS('2023년 신조차 고장관리 세부현황'!$D:$D,"2022",'2023년 신조차 고장관리 세부현황'!$E:$E,'처리 현황'!$B4,'2023년 신조차 고장관리 세부현황'!$K:$K,Y$2,'2023년 신조차 고장관리 세부현황'!$S:$S,"단품불량")</f>
        <v>0</v>
      </c>
      <c r="Z4" s="106">
        <f>D4-V4-X4</f>
        <v>0</v>
      </c>
      <c r="AD4">
        <v>1</v>
      </c>
      <c r="AE4">
        <v>0</v>
      </c>
      <c r="AH4" s="378">
        <v>2022</v>
      </c>
      <c r="AI4" s="104">
        <v>1</v>
      </c>
      <c r="AJ4" s="109" t="s">
        <v>236</v>
      </c>
      <c r="AK4" s="109">
        <v>0</v>
      </c>
      <c r="AL4" s="104">
        <f>COUNTIFS('2023년 신조차 고장관리 세부현황'!$D:$D,"2022",'2023년 신조차 고장관리 세부현황'!$E:$E,'처리 현황'!$B4)</f>
        <v>0</v>
      </c>
      <c r="AM4" s="104">
        <f>COUNTIFS('2023년 신조차 고장관리 세부현황'!$D:$D,"2022",'2023년 신조차 고장관리 세부현황'!$E:$E,'처리 현황'!$B4,'2023년 신조차 고장관리 세부현황'!$V:$V,'처리 현황'!AM$3)</f>
        <v>0</v>
      </c>
      <c r="AN4" s="104">
        <f>COUNTIFS('2023년 신조차 고장관리 세부현황'!$D:$D,"2022",'2023년 신조차 고장관리 세부현황'!$E:$E,'처리 현황'!$B4,'2023년 신조차 고장관리 세부현황'!$V:$V,'처리 현황'!AN$3)</f>
        <v>0</v>
      </c>
      <c r="AO4" s="104">
        <f>COUNTIFS('2023년 신조차 고장관리 세부현황'!$D:$D,"2022",'2023년 신조차 고장관리 세부현황'!$E:$E,'처리 현황'!$B4,'2023년 신조차 고장관리 세부현황'!$V:$V,'처리 현황'!AO$3)</f>
        <v>0</v>
      </c>
      <c r="AP4" s="104">
        <f>COUNTIFS('2023년 신조차 고장관리 세부현황'!$D:$D,"2022",'2023년 신조차 고장관리 세부현황'!$E:$E,'처리 현황'!$B4,'2023년 신조차 고장관리 세부현황'!$V:$V,'처리 현황'!AP$3)</f>
        <v>0</v>
      </c>
      <c r="AQ4" s="104">
        <f>COUNTIFS('2023년 신조차 고장관리 세부현황'!$D:$D,"2022",'2023년 신조차 고장관리 세부현황'!$E:$E,'처리 현황'!$B4,'2023년 신조차 고장관리 세부현황'!$V:$V,'처리 현황'!AQ$3)</f>
        <v>0</v>
      </c>
      <c r="AR4" s="190">
        <f>AP4+AQ4</f>
        <v>0</v>
      </c>
      <c r="AS4" s="119">
        <f>COUNTIFS('2023년 신조차 고장관리 세부현황'!$D:$D,"2022",'2023년 신조차 고장관리 세부현황'!$E:$E,'처리 현황'!$B4,'2023년 신조차 고장관리 세부현황'!$J:$J,'처리 현황'!AS$3)</f>
        <v>0</v>
      </c>
      <c r="AT4" s="104">
        <f>COUNTIFS('2023년 신조차 고장관리 세부현황'!$D:$D,"2022",'2023년 신조차 고장관리 세부현황'!$E:$E,'처리 현황'!$B4,'2023년 신조차 고장관리 세부현황'!$J:$J,'처리 현황'!AT$3)</f>
        <v>0</v>
      </c>
      <c r="AU4" s="104">
        <f>COUNTIFS('2023년 신조차 고장관리 세부현황'!$D:$D,"2022",'2023년 신조차 고장관리 세부현황'!$E:$E,'처리 현황'!$B4,'2023년 신조차 고장관리 세부현황'!$J:$J,'처리 현황'!AU$3)</f>
        <v>0</v>
      </c>
      <c r="AV4" s="104">
        <f>COUNTIFS('2023년 신조차 고장관리 세부현황'!$D:$D,"2022",'2023년 신조차 고장관리 세부현황'!$E:$E,'처리 현황'!$B4,'2023년 신조차 고장관리 세부현황'!$J:$J,'처리 현황'!AV$3)</f>
        <v>0</v>
      </c>
      <c r="AW4" s="104">
        <f>COUNTIFS('2023년 신조차 고장관리 세부현황'!$D:$D,"2022",'2023년 신조차 고장관리 세부현황'!$E:$E,'처리 현황'!$B4,'2023년 신조차 고장관리 세부현황'!$J:$J,'처리 현황'!AW$3)</f>
        <v>0</v>
      </c>
      <c r="AX4" s="119">
        <f>COUNTIFS('2023년 신조차 고장관리 세부현황'!$D:$D,"2022",'2023년 신조차 고장관리 세부현황'!$E:$E,'처리 현황'!$B4,'2023년 신조차 고장관리 세부현황'!$L:$L,'처리 현황'!AX$3)</f>
        <v>0</v>
      </c>
      <c r="AY4" s="106">
        <f>COUNTIFS('2023년 신조차 고장관리 세부현황'!$D:$D,"2022",'2023년 신조차 고장관리 세부현황'!$E:$E,'처리 현황'!$B4,'2023년 신조차 고장관리 세부현황'!$L:$L,'처리 현황'!AY$3)</f>
        <v>0</v>
      </c>
      <c r="AZ4" s="106">
        <f>COUNTIFS('2023년 신조차 고장관리 세부현황'!$D:$D,"2022",'2023년 신조차 고장관리 세부현황'!$E:$E,'처리 현황'!$B4,'2023년 신조차 고장관리 세부현황'!$L:$L,'처리 현황'!AZ$3)</f>
        <v>0</v>
      </c>
      <c r="BA4" s="106">
        <f>COUNTIFS('2023년 신조차 고장관리 세부현황'!$D:$D,"2022",'2023년 신조차 고장관리 세부현황'!$E:$E,'처리 현황'!$B4,'2023년 신조차 고장관리 세부현황'!$L:$L,'처리 현황'!BA$3)</f>
        <v>0</v>
      </c>
      <c r="BB4" s="106">
        <f>COUNTIFS('2023년 신조차 고장관리 세부현황'!$D:$D,"2022",'2023년 신조차 고장관리 세부현황'!$E:$E,'처리 현황'!$B4,'2023년 신조차 고장관리 세부현황'!$L:$L,'처리 현황'!BB$3)</f>
        <v>0</v>
      </c>
      <c r="BC4" s="106">
        <f>COUNTIFS('2023년 신조차 고장관리 세부현황'!$D:$D,"2022",'2023년 신조차 고장관리 세부현황'!$E:$E,'처리 현황'!$B4,'2023년 신조차 고장관리 세부현황'!$L:$L,'처리 현황'!BC$3)</f>
        <v>0</v>
      </c>
      <c r="BD4" s="106">
        <f>AL4-AX4-AY4-AZ4-BA4-BB4-BC4</f>
        <v>0</v>
      </c>
      <c r="BE4" s="119">
        <f>COUNTIFS('2023년 신조차 고장관리 세부현황'!$D:$D,"2022",'2023년 신조차 고장관리 세부현황'!$E:$E,'처리 현황'!$B4,'2023년 신조차 고장관리 세부현황'!$K:$K,'처리 현황'!BE$3)</f>
        <v>0</v>
      </c>
      <c r="BF4" s="133">
        <f>COUNTIFS('2023년 신조차 고장관리 세부현황'!$D:$D,"2022",'2023년 신조차 고장관리 세부현황'!$E:$E,'처리 현황'!$B4,'2023년 신조차 고장관리 세부현황'!$K:$K,BF$2,'2023년 신조차 고장관리 세부현황'!$S:$S,"단품불량")</f>
        <v>0</v>
      </c>
      <c r="BG4" s="106">
        <f>COUNTIFS('2023년 신조차 고장관리 세부현황'!$D:$D,"2022",'2023년 신조차 고장관리 세부현황'!$E:$E,'처리 현황'!$B4,'2023년 신조차 고장관리 세부현황'!$K:$K,'처리 현황'!BG$3)</f>
        <v>0</v>
      </c>
      <c r="BH4" s="133">
        <f>COUNTIFS('2023년 신조차 고장관리 세부현황'!$D:$D,"2022",'2023년 신조차 고장관리 세부현황'!$E:$E,'처리 현황'!$B4,'2023년 신조차 고장관리 세부현황'!$K:$K,BH$2,'2023년 신조차 고장관리 세부현황'!$S:$S,"단품불량")</f>
        <v>0</v>
      </c>
      <c r="BI4" s="106">
        <f>AL4-BE4-BG4</f>
        <v>0</v>
      </c>
      <c r="BJ4">
        <f>COUNTIFS('2023년 신조차 고장관리 세부현황'!$D:$D,"2022",'2023년 신조차 고장관리 세부현황'!$E:$E,'처리 현황'!$B4,'2023년 신조차 고장관리 세부현황'!$BC:$BC,"완료",'2023년 신조차 고장관리 세부현황'!$CY:$CY,BJ$3)</f>
        <v>0</v>
      </c>
      <c r="BK4">
        <f>COUNTIFS('2023년 신조차 고장관리 세부현황'!$D:$D,"2022",'2023년 신조차 고장관리 세부현황'!$E:$E,'처리 현황'!$B4,'2023년 신조차 고장관리 세부현황'!$BC:$BC,"완료",'2023년 신조차 고장관리 세부현황'!$CY:$CY,BK$3)</f>
        <v>0</v>
      </c>
      <c r="BL4">
        <f>COUNTIFS('2023년 신조차 고장관리 세부현황'!$D:$D,"2022",'2023년 신조차 고장관리 세부현황'!$E:$E,'처리 현황'!$B4,'2023년 신조차 고장관리 세부현황'!$BC:$BC,"완료",'2023년 신조차 고장관리 세부현황'!$CY:$CY,BL$3)</f>
        <v>0</v>
      </c>
      <c r="BM4">
        <f>COUNTIFS('2023년 신조차 고장관리 세부현황'!$D:$D,"2022",'2023년 신조차 고장관리 세부현황'!$E:$E,'처리 현황'!$B4,'2023년 신조차 고장관리 세부현황'!$BC:$BC,"완료",'2023년 신조차 고장관리 세부현황'!$CY:$CY,BM$3)</f>
        <v>0</v>
      </c>
      <c r="BN4">
        <f>COUNTIFS('2023년 신조차 고장관리 세부현황'!$D:$D,"2022",'2023년 신조차 고장관리 세부현황'!$E:$E,'처리 현황'!$B4,'2023년 신조차 고장관리 세부현황'!$BC:$BC,"완료",'2023년 신조차 고장관리 세부현황'!$CY:$CY,BN$3)</f>
        <v>0</v>
      </c>
      <c r="BO4">
        <f>COUNTIFS('2023년 신조차 고장관리 세부현황'!$D:$D,"2022",'2023년 신조차 고장관리 세부현황'!$E:$E,'처리 현황'!$B4,'2023년 신조차 고장관리 세부현황'!$BC:$BC,"완료",'2023년 신조차 고장관리 세부현황'!$CY:$CY,BO$3)</f>
        <v>0</v>
      </c>
      <c r="BP4">
        <f>COUNTIFS('2023년 신조차 고장관리 세부현황'!$D:$D,"2022",'2023년 신조차 고장관리 세부현황'!$E:$E,'처리 현황'!$B4,'2023년 신조차 고장관리 세부현황'!$BC:$BC,"완료",'2023년 신조차 고장관리 세부현황'!$CY:$CY,BP$3)</f>
        <v>0</v>
      </c>
      <c r="BR4">
        <f>COUNTIFS('2023년 신조차 고장관리 세부현황'!$H$5:$H$21,BR$3)</f>
        <v>7</v>
      </c>
      <c r="BS4">
        <f>COUNTIFS('2023년 신조차 고장관리 세부현황'!$H$5:$H$21,BS$3)</f>
        <v>4</v>
      </c>
      <c r="BT4">
        <f>COUNTIFS('2023년 신조차 고장관리 세부현황'!$H$5:$H$21,BT$3)</f>
        <v>3</v>
      </c>
      <c r="BU4">
        <f>COUNTIFS('2023년 신조차 고장관리 세부현황'!$H$5:$H$21,BU$3)</f>
        <v>1</v>
      </c>
      <c r="BV4">
        <f>COUNTIFS('2023년 신조차 고장관리 세부현황'!$H$5:$H$21,BV$3)</f>
        <v>2</v>
      </c>
      <c r="BW4">
        <f>SUM(BR4:BV4)</f>
        <v>17</v>
      </c>
      <c r="BX4">
        <f>COUNTIFS('2023년 신조차 고장관리 세부현황'!$H$5:$H$21,BX$3,'2023년 신조차 고장관리 세부현황'!$AE$5:$AE$21,"삭제")</f>
        <v>0</v>
      </c>
      <c r="BY4">
        <f>COUNTIFS('2023년 신조차 고장관리 세부현황'!$H$5:$H$21,BY$3,'2023년 신조차 고장관리 세부현황'!$AE$5:$AE$21,"삭제")</f>
        <v>0</v>
      </c>
      <c r="BZ4">
        <f>COUNTIFS('2023년 신조차 고장관리 세부현황'!$H$5:$H$21,BZ$3,'2023년 신조차 고장관리 세부현황'!$AE$5:$AE$21,"삭제")</f>
        <v>0</v>
      </c>
      <c r="CA4">
        <f>COUNTIFS('2023년 신조차 고장관리 세부현황'!$H$5:$H$21,CA$3,'2023년 신조차 고장관리 세부현황'!$AE$5:$AE$21,"삭제")</f>
        <v>0</v>
      </c>
      <c r="CB4">
        <f>COUNTIFS('2023년 신조차 고장관리 세부현황'!$H$5:$H$21,CB$3,'2023년 신조차 고장관리 세부현황'!$AE$5:$AE$21,"삭제")</f>
        <v>0</v>
      </c>
      <c r="CD4">
        <f>COUNTIFS('2023년 신조차 고장관리 세부현황'!$H$5:$H$21,CD$3,'2023년 신조차 고장관리 세부현황'!$AE$5:$AE$21,"삭제 협의중")</f>
        <v>2</v>
      </c>
      <c r="CE4">
        <f>COUNTIFS('2023년 신조차 고장관리 세부현황'!$H$5:$H$21,CE$3,'2023년 신조차 고장관리 세부현황'!$AE$5:$AE$21,"삭제 협의중")</f>
        <v>0</v>
      </c>
      <c r="CF4">
        <f>COUNTIFS('2023년 신조차 고장관리 세부현황'!$H$5:$H$21,CF$3,'2023년 신조차 고장관리 세부현황'!$AE$5:$AE$21,"삭제 협의중")</f>
        <v>1</v>
      </c>
      <c r="CG4">
        <f>COUNTIFS('2023년 신조차 고장관리 세부현황'!$H$5:$H$21,CG$3,'2023년 신조차 고장관리 세부현황'!$AE$5:$AE$21,"삭제 협의중")</f>
        <v>1</v>
      </c>
      <c r="CH4">
        <f>COUNTIFS('2023년 신조차 고장관리 세부현황'!$H$5:$H$21,CH$3,'2023년 신조차 고장관리 세부현황'!$AE$5:$AE$21,"삭제 협의중")</f>
        <v>0</v>
      </c>
    </row>
    <row r="5" spans="1:86" x14ac:dyDescent="0.4">
      <c r="A5" s="378"/>
      <c r="B5" s="104">
        <v>2</v>
      </c>
      <c r="C5" s="109" t="s">
        <v>196</v>
      </c>
      <c r="D5" s="104">
        <f>COUNTIFS('2023년 신조차 고장관리 세부현황'!$D:$D,"2022",'2023년 신조차 고장관리 세부현황'!$E:$E,'처리 현황'!$B5)</f>
        <v>0</v>
      </c>
      <c r="E5" s="104">
        <f>COUNTIFS('2023년 신조차 고장관리 세부현황'!$D:$D,"2022",'2023년 신조차 고장관리 세부현황'!$E:$E,'처리 현황'!$B5,'2023년 신조차 고장관리 세부현황'!$T:$T,'처리 현황'!E$3)</f>
        <v>0</v>
      </c>
      <c r="F5" s="104">
        <f>COUNTIFS('2023년 신조차 고장관리 세부현황'!$D:$D,"2022",'2023년 신조차 고장관리 세부현황'!$E:$E,'처리 현황'!$B5,'2023년 신조차 고장관리 세부현황'!$T:$T,'처리 현황'!F$3)</f>
        <v>0</v>
      </c>
      <c r="G5" s="104">
        <f>COUNTIFS('2023년 신조차 고장관리 세부현황'!$D:$D,"2022",'2023년 신조차 고장관리 세부현황'!$E:$E,'처리 현황'!$B5,'2023년 신조차 고장관리 세부현황'!$T:$T,'처리 현황'!G$3)</f>
        <v>0</v>
      </c>
      <c r="H5" s="104">
        <f>COUNTIFS('2023년 신조차 고장관리 세부현황'!$D:$D,"2022",'2023년 신조차 고장관리 세부현황'!$E:$E,'처리 현황'!$B5,'2023년 신조차 고장관리 세부현황'!$T:$T,'처리 현황'!H$3)</f>
        <v>0</v>
      </c>
      <c r="I5" s="104">
        <f>COUNTIFS('2023년 신조차 고장관리 세부현황'!$D:$D,"2022",'2023년 신조차 고장관리 세부현황'!$E:$E,'처리 현황'!$B5,'2023년 신조차 고장관리 세부현황'!$T:$T,'처리 현황'!I$3)</f>
        <v>0</v>
      </c>
      <c r="J5" s="119">
        <f>COUNTIFS('2023년 신조차 고장관리 세부현황'!$D:$D,"2022",'2023년 신조차 고장관리 세부현황'!$E:$E,'처리 현황'!$B5,'2023년 신조차 고장관리 세부현황'!$J:$J,'처리 현황'!J$3)</f>
        <v>0</v>
      </c>
      <c r="K5" s="104">
        <f>COUNTIFS('2023년 신조차 고장관리 세부현황'!$D:$D,"2022",'2023년 신조차 고장관리 세부현황'!$E:$E,'처리 현황'!$B5,'2023년 신조차 고장관리 세부현황'!$J:$J,'처리 현황'!K$3)</f>
        <v>0</v>
      </c>
      <c r="L5" s="104">
        <f>COUNTIFS('2023년 신조차 고장관리 세부현황'!$D:$D,"2022",'2023년 신조차 고장관리 세부현황'!$E:$E,'처리 현황'!$B5,'2023년 신조차 고장관리 세부현황'!$J:$J,'처리 현황'!L$3)</f>
        <v>0</v>
      </c>
      <c r="M5" s="104">
        <f>COUNTIFS('2023년 신조차 고장관리 세부현황'!$D:$D,"2022",'2023년 신조차 고장관리 세부현황'!$E:$E,'처리 현황'!$B5,'2023년 신조차 고장관리 세부현황'!$J:$J,'처리 현황'!M$3)</f>
        <v>0</v>
      </c>
      <c r="N5" s="104">
        <f>COUNTIFS('2023년 신조차 고장관리 세부현황'!$D:$D,"2022",'2023년 신조차 고장관리 세부현황'!$E:$E,'처리 현황'!$B5,'2023년 신조차 고장관리 세부현황'!$J:$J,'처리 현황'!N$3)</f>
        <v>0</v>
      </c>
      <c r="O5" s="119">
        <f>COUNTIFS('2023년 신조차 고장관리 세부현황'!$D:$D,"2022",'2023년 신조차 고장관리 세부현황'!$E:$E,'처리 현황'!$B5,'2023년 신조차 고장관리 세부현황'!$L:$L,'처리 현황'!O$3)</f>
        <v>0</v>
      </c>
      <c r="P5" s="106">
        <f>COUNTIFS('2023년 신조차 고장관리 세부현황'!$D:$D,"2022",'2023년 신조차 고장관리 세부현황'!$E:$E,'처리 현황'!$B5,'2023년 신조차 고장관리 세부현황'!$L:$L,'처리 현황'!P$3)</f>
        <v>0</v>
      </c>
      <c r="Q5" s="106">
        <f>COUNTIFS('2023년 신조차 고장관리 세부현황'!$D:$D,"2022",'2023년 신조차 고장관리 세부현황'!$E:$E,'처리 현황'!$B5,'2023년 신조차 고장관리 세부현황'!$L:$L,'처리 현황'!Q$3)</f>
        <v>0</v>
      </c>
      <c r="R5" s="106">
        <f>COUNTIFS('2023년 신조차 고장관리 세부현황'!$D:$D,"2022",'2023년 신조차 고장관리 세부현황'!$E:$E,'처리 현황'!$B5,'2023년 신조차 고장관리 세부현황'!$L:$L,'처리 현황'!R$3)</f>
        <v>0</v>
      </c>
      <c r="S5" s="106">
        <f>COUNTIFS('2023년 신조차 고장관리 세부현황'!$D:$D,"2022",'2023년 신조차 고장관리 세부현황'!$E:$E,'처리 현황'!$B5,'2023년 신조차 고장관리 세부현황'!$L:$L,'처리 현황'!S$3)</f>
        <v>0</v>
      </c>
      <c r="T5" s="106">
        <f>COUNTIFS('2023년 신조차 고장관리 세부현황'!$D:$D,"2022",'2023년 신조차 고장관리 세부현황'!$E:$E,'처리 현황'!$B5,'2023년 신조차 고장관리 세부현황'!$L:$L,'처리 현황'!T$3)</f>
        <v>0</v>
      </c>
      <c r="U5" s="125">
        <f t="shared" ref="U5:U27" si="0">D5-O5-P5-Q5-R5-S5-T5</f>
        <v>0</v>
      </c>
      <c r="V5" s="106">
        <f>COUNTIFS('2023년 신조차 고장관리 세부현황'!$D:$D,"2022",'2023년 신조차 고장관리 세부현황'!$E:$E,'처리 현황'!$B5,'2023년 신조차 고장관리 세부현황'!$K:$K,'처리 현황'!V$3)</f>
        <v>0</v>
      </c>
      <c r="W5" s="133">
        <f>COUNTIFS('2023년 신조차 고장관리 세부현황'!$D:$D,"2022",'2023년 신조차 고장관리 세부현황'!$E:$E,'처리 현황'!$B5,'2023년 신조차 고장관리 세부현황'!$K:$K,W$2,'2023년 신조차 고장관리 세부현황'!$S:$S,"단품불량")</f>
        <v>0</v>
      </c>
      <c r="X5" s="106">
        <f>COUNTIFS('2023년 신조차 고장관리 세부현황'!$D:$D,"2022",'2023년 신조차 고장관리 세부현황'!$E:$E,'처리 현황'!$B5,'2023년 신조차 고장관리 세부현황'!$K:$K,'처리 현황'!X$3)</f>
        <v>0</v>
      </c>
      <c r="Y5" s="133">
        <f>COUNTIFS('2023년 신조차 고장관리 세부현황'!$D:$D,"2022",'2023년 신조차 고장관리 세부현황'!$E:$E,'처리 현황'!$B5,'2023년 신조차 고장관리 세부현황'!$K:$K,Y$2,'2023년 신조차 고장관리 세부현황'!$S:$S,"단품불량")</f>
        <v>0</v>
      </c>
      <c r="Z5" s="106">
        <f t="shared" ref="Z5:Z27" si="1">D5-V5-X5</f>
        <v>0</v>
      </c>
      <c r="AD5">
        <v>2</v>
      </c>
      <c r="AE5">
        <v>0</v>
      </c>
      <c r="AH5" s="378"/>
      <c r="AI5" s="104">
        <v>2</v>
      </c>
      <c r="AJ5" s="109" t="s">
        <v>196</v>
      </c>
      <c r="AK5" s="109">
        <v>0</v>
      </c>
      <c r="AL5" s="104">
        <f>COUNTIFS('2023년 신조차 고장관리 세부현황'!$D:$D,"2022",'2023년 신조차 고장관리 세부현황'!$E:$E,'처리 현황'!$B5)</f>
        <v>0</v>
      </c>
      <c r="AM5" s="104">
        <f>COUNTIFS('2023년 신조차 고장관리 세부현황'!$D:$D,"2022",'2023년 신조차 고장관리 세부현황'!$E:$E,'처리 현황'!$B5,'2023년 신조차 고장관리 세부현황'!$V:$V,'처리 현황'!AM$3)</f>
        <v>0</v>
      </c>
      <c r="AN5" s="104">
        <f>COUNTIFS('2023년 신조차 고장관리 세부현황'!$D:$D,"2022",'2023년 신조차 고장관리 세부현황'!$E:$E,'처리 현황'!$B5,'2023년 신조차 고장관리 세부현황'!$V:$V,'처리 현황'!AN$3)</f>
        <v>0</v>
      </c>
      <c r="AO5" s="104">
        <f>COUNTIFS('2023년 신조차 고장관리 세부현황'!$D:$D,"2022",'2023년 신조차 고장관리 세부현황'!$E:$E,'처리 현황'!$B5,'2023년 신조차 고장관리 세부현황'!$V:$V,'처리 현황'!AO$3)</f>
        <v>0</v>
      </c>
      <c r="AP5" s="104">
        <f>COUNTIFS('2023년 신조차 고장관리 세부현황'!$D:$D,"2022",'2023년 신조차 고장관리 세부현황'!$E:$E,'처리 현황'!$B5,'2023년 신조차 고장관리 세부현황'!$V:$V,'처리 현황'!AP$3)</f>
        <v>0</v>
      </c>
      <c r="AQ5" s="104">
        <f>COUNTIFS('2023년 신조차 고장관리 세부현황'!$D:$D,"2022",'2023년 신조차 고장관리 세부현황'!$E:$E,'처리 현황'!$B5,'2023년 신조차 고장관리 세부현황'!$V:$V,'처리 현황'!AQ$3)</f>
        <v>0</v>
      </c>
      <c r="AR5" s="190">
        <f t="shared" ref="AR5:AR27" si="2">AP5+AQ5</f>
        <v>0</v>
      </c>
      <c r="AS5" s="119">
        <f>COUNTIFS('2023년 신조차 고장관리 세부현황'!$D:$D,"2022",'2023년 신조차 고장관리 세부현황'!$E:$E,'처리 현황'!$B5,'2023년 신조차 고장관리 세부현황'!$J:$J,'처리 현황'!AS$3)</f>
        <v>0</v>
      </c>
      <c r="AT5" s="104">
        <f>COUNTIFS('2023년 신조차 고장관리 세부현황'!$D:$D,"2022",'2023년 신조차 고장관리 세부현황'!$E:$E,'처리 현황'!$B5,'2023년 신조차 고장관리 세부현황'!$J:$J,'처리 현황'!AT$3)</f>
        <v>0</v>
      </c>
      <c r="AU5" s="104">
        <f>COUNTIFS('2023년 신조차 고장관리 세부현황'!$D:$D,"2022",'2023년 신조차 고장관리 세부현황'!$E:$E,'처리 현황'!$B5,'2023년 신조차 고장관리 세부현황'!$J:$J,'처리 현황'!AU$3)</f>
        <v>0</v>
      </c>
      <c r="AV5" s="104">
        <f>COUNTIFS('2023년 신조차 고장관리 세부현황'!$D:$D,"2022",'2023년 신조차 고장관리 세부현황'!$E:$E,'처리 현황'!$B5,'2023년 신조차 고장관리 세부현황'!$J:$J,'처리 현황'!AV$3)</f>
        <v>0</v>
      </c>
      <c r="AW5" s="104">
        <f>COUNTIFS('2023년 신조차 고장관리 세부현황'!$D:$D,"2022",'2023년 신조차 고장관리 세부현황'!$E:$E,'처리 현황'!$B5,'2023년 신조차 고장관리 세부현황'!$J:$J,'처리 현황'!AW$3)</f>
        <v>0</v>
      </c>
      <c r="AX5" s="119">
        <f>COUNTIFS('2023년 신조차 고장관리 세부현황'!$D:$D,"2022",'2023년 신조차 고장관리 세부현황'!$E:$E,'처리 현황'!$B5,'2023년 신조차 고장관리 세부현황'!$L:$L,'처리 현황'!AX$3)</f>
        <v>0</v>
      </c>
      <c r="AY5" s="106">
        <f>COUNTIFS('2023년 신조차 고장관리 세부현황'!$D:$D,"2022",'2023년 신조차 고장관리 세부현황'!$E:$E,'처리 현황'!$B5,'2023년 신조차 고장관리 세부현황'!$L:$L,'처리 현황'!AY$3)</f>
        <v>0</v>
      </c>
      <c r="AZ5" s="106">
        <f>COUNTIFS('2023년 신조차 고장관리 세부현황'!$D:$D,"2022",'2023년 신조차 고장관리 세부현황'!$E:$E,'처리 현황'!$B5,'2023년 신조차 고장관리 세부현황'!$L:$L,'처리 현황'!AZ$3)</f>
        <v>0</v>
      </c>
      <c r="BA5" s="106">
        <f>COUNTIFS('2023년 신조차 고장관리 세부현황'!$D:$D,"2022",'2023년 신조차 고장관리 세부현황'!$E:$E,'처리 현황'!$B5,'2023년 신조차 고장관리 세부현황'!$L:$L,'처리 현황'!BA$3)</f>
        <v>0</v>
      </c>
      <c r="BB5" s="106">
        <f>COUNTIFS('2023년 신조차 고장관리 세부현황'!$D:$D,"2022",'2023년 신조차 고장관리 세부현황'!$E:$E,'처리 현황'!$B5,'2023년 신조차 고장관리 세부현황'!$L:$L,'처리 현황'!BB$3)</f>
        <v>0</v>
      </c>
      <c r="BC5" s="106">
        <f>COUNTIFS('2023년 신조차 고장관리 세부현황'!$D:$D,"2022",'2023년 신조차 고장관리 세부현황'!$E:$E,'처리 현황'!$B5,'2023년 신조차 고장관리 세부현황'!$L:$L,'처리 현황'!BC$3)</f>
        <v>0</v>
      </c>
      <c r="BD5" s="106">
        <f t="shared" ref="BD5:BD27" si="3">AL5-AX5-AY5-AZ5-BA5-BB5-BC5</f>
        <v>0</v>
      </c>
      <c r="BE5" s="119">
        <f>COUNTIFS('2023년 신조차 고장관리 세부현황'!$D:$D,"2022",'2023년 신조차 고장관리 세부현황'!$E:$E,'처리 현황'!$B5,'2023년 신조차 고장관리 세부현황'!$K:$K,'처리 현황'!BE$3)</f>
        <v>0</v>
      </c>
      <c r="BF5" s="133">
        <f>COUNTIFS('2023년 신조차 고장관리 세부현황'!$D:$D,"2022",'2023년 신조차 고장관리 세부현황'!$E:$E,'처리 현황'!$B5,'2023년 신조차 고장관리 세부현황'!$K:$K,BF$2,'2023년 신조차 고장관리 세부현황'!$S:$S,"단품불량")</f>
        <v>0</v>
      </c>
      <c r="BG5" s="106">
        <f>COUNTIFS('2023년 신조차 고장관리 세부현황'!$D:$D,"2022",'2023년 신조차 고장관리 세부현황'!$E:$E,'처리 현황'!$B5,'2023년 신조차 고장관리 세부현황'!$K:$K,'처리 현황'!BG$3)</f>
        <v>0</v>
      </c>
      <c r="BH5" s="133">
        <f>COUNTIFS('2023년 신조차 고장관리 세부현황'!$D:$D,"2022",'2023년 신조차 고장관리 세부현황'!$E:$E,'처리 현황'!$B5,'2023년 신조차 고장관리 세부현황'!$K:$K,BH$2,'2023년 신조차 고장관리 세부현황'!$S:$S,"단품불량")</f>
        <v>0</v>
      </c>
      <c r="BI5" s="106">
        <f t="shared" ref="BI5:BI27" si="4">AL5-BE5-BG5</f>
        <v>0</v>
      </c>
      <c r="BJ5">
        <f>COUNTIFS('2023년 신조차 고장관리 세부현황'!$D:$D,"2022",'2023년 신조차 고장관리 세부현황'!$E:$E,'처리 현황'!$B5,'2023년 신조차 고장관리 세부현황'!$BC:$BC,"완료",'2023년 신조차 고장관리 세부현황'!$CY:$CY,BJ$3)</f>
        <v>0</v>
      </c>
      <c r="BK5">
        <f>COUNTIFS('2023년 신조차 고장관리 세부현황'!$D:$D,"2022",'2023년 신조차 고장관리 세부현황'!$E:$E,'처리 현황'!$B5,'2023년 신조차 고장관리 세부현황'!$BC:$BC,"완료",'2023년 신조차 고장관리 세부현황'!$CY:$CY,BK$3)</f>
        <v>0</v>
      </c>
      <c r="BL5">
        <f>COUNTIFS('2023년 신조차 고장관리 세부현황'!$D:$D,"2022",'2023년 신조차 고장관리 세부현황'!$E:$E,'처리 현황'!$B5,'2023년 신조차 고장관리 세부현황'!$BC:$BC,"완료",'2023년 신조차 고장관리 세부현황'!$CY:$CY,BL$3)</f>
        <v>0</v>
      </c>
      <c r="BM5">
        <f>COUNTIFS('2023년 신조차 고장관리 세부현황'!$D:$D,"2022",'2023년 신조차 고장관리 세부현황'!$E:$E,'처리 현황'!$B5,'2023년 신조차 고장관리 세부현황'!$BC:$BC,"완료",'2023년 신조차 고장관리 세부현황'!$CY:$CY,BM$3)</f>
        <v>0</v>
      </c>
      <c r="BN5">
        <f>COUNTIFS('2023년 신조차 고장관리 세부현황'!$D:$D,"2022",'2023년 신조차 고장관리 세부현황'!$E:$E,'처리 현황'!$B5,'2023년 신조차 고장관리 세부현황'!$BC:$BC,"완료",'2023년 신조차 고장관리 세부현황'!$CY:$CY,BN$3)</f>
        <v>0</v>
      </c>
      <c r="BO5">
        <f>COUNTIFS('2023년 신조차 고장관리 세부현황'!$D:$D,"2022",'2023년 신조차 고장관리 세부현황'!$E:$E,'처리 현황'!$B5,'2023년 신조차 고장관리 세부현황'!$BC:$BC,"완료",'2023년 신조차 고장관리 세부현황'!$CY:$CY,BO$3)</f>
        <v>0</v>
      </c>
      <c r="BP5">
        <f>COUNTIFS('2023년 신조차 고장관리 세부현황'!$D:$D,"2022",'2023년 신조차 고장관리 세부현황'!$E:$E,'처리 현황'!$B5,'2023년 신조차 고장관리 세부현황'!$BC:$BC,"완료",'2023년 신조차 고장관리 세부현황'!$CY:$CY,BP$3)</f>
        <v>0</v>
      </c>
      <c r="BR5">
        <v>15</v>
      </c>
      <c r="BS5">
        <v>4</v>
      </c>
      <c r="BT5">
        <v>6</v>
      </c>
      <c r="BU5">
        <v>8</v>
      </c>
      <c r="BV5">
        <v>8</v>
      </c>
    </row>
    <row r="6" spans="1:86" x14ac:dyDescent="0.4">
      <c r="A6" s="378"/>
      <c r="B6" s="104">
        <v>3</v>
      </c>
      <c r="C6" s="109" t="s">
        <v>197</v>
      </c>
      <c r="D6" s="104">
        <f>COUNTIFS('2023년 신조차 고장관리 세부현황'!$D:$D,"2022",'2023년 신조차 고장관리 세부현황'!$E:$E,'처리 현황'!$B6)</f>
        <v>0</v>
      </c>
      <c r="E6" s="104">
        <f>COUNTIFS('2023년 신조차 고장관리 세부현황'!$D:$D,"2022",'2023년 신조차 고장관리 세부현황'!$E:$E,'처리 현황'!$B6,'2023년 신조차 고장관리 세부현황'!$T:$T,'처리 현황'!E$3)</f>
        <v>0</v>
      </c>
      <c r="F6" s="104">
        <f>COUNTIFS('2023년 신조차 고장관리 세부현황'!$D:$D,"2022",'2023년 신조차 고장관리 세부현황'!$E:$E,'처리 현황'!$B6,'2023년 신조차 고장관리 세부현황'!$T:$T,'처리 현황'!F$3)</f>
        <v>0</v>
      </c>
      <c r="G6" s="104">
        <f>COUNTIFS('2023년 신조차 고장관리 세부현황'!$D:$D,"2022",'2023년 신조차 고장관리 세부현황'!$E:$E,'처리 현황'!$B6,'2023년 신조차 고장관리 세부현황'!$T:$T,'처리 현황'!G$3)</f>
        <v>0</v>
      </c>
      <c r="H6" s="104">
        <f>COUNTIFS('2023년 신조차 고장관리 세부현황'!$D:$D,"2022",'2023년 신조차 고장관리 세부현황'!$E:$E,'처리 현황'!$B6,'2023년 신조차 고장관리 세부현황'!$T:$T,'처리 현황'!H$3)</f>
        <v>0</v>
      </c>
      <c r="I6" s="104">
        <f>COUNTIFS('2023년 신조차 고장관리 세부현황'!$D:$D,"2022",'2023년 신조차 고장관리 세부현황'!$E:$E,'처리 현황'!$B6,'2023년 신조차 고장관리 세부현황'!$T:$T,'처리 현황'!I$3)</f>
        <v>0</v>
      </c>
      <c r="J6" s="119">
        <f>COUNTIFS('2023년 신조차 고장관리 세부현황'!$D:$D,"2022",'2023년 신조차 고장관리 세부현황'!$E:$E,'처리 현황'!$B6,'2023년 신조차 고장관리 세부현황'!$J:$J,'처리 현황'!J$3)</f>
        <v>0</v>
      </c>
      <c r="K6" s="104">
        <f>COUNTIFS('2023년 신조차 고장관리 세부현황'!$D:$D,"2022",'2023년 신조차 고장관리 세부현황'!$E:$E,'처리 현황'!$B6,'2023년 신조차 고장관리 세부현황'!$J:$J,'처리 현황'!K$3)</f>
        <v>0</v>
      </c>
      <c r="L6" s="104">
        <f>COUNTIFS('2023년 신조차 고장관리 세부현황'!$D:$D,"2022",'2023년 신조차 고장관리 세부현황'!$E:$E,'처리 현황'!$B6,'2023년 신조차 고장관리 세부현황'!$J:$J,'처리 현황'!L$3)</f>
        <v>0</v>
      </c>
      <c r="M6" s="104">
        <f>COUNTIFS('2023년 신조차 고장관리 세부현황'!$D:$D,"2022",'2023년 신조차 고장관리 세부현황'!$E:$E,'처리 현황'!$B6,'2023년 신조차 고장관리 세부현황'!$J:$J,'처리 현황'!M$3)</f>
        <v>0</v>
      </c>
      <c r="N6" s="104">
        <f>COUNTIFS('2023년 신조차 고장관리 세부현황'!$D:$D,"2022",'2023년 신조차 고장관리 세부현황'!$E:$E,'처리 현황'!$B6,'2023년 신조차 고장관리 세부현황'!$J:$J,'처리 현황'!N$3)</f>
        <v>0</v>
      </c>
      <c r="O6" s="119">
        <f>COUNTIFS('2023년 신조차 고장관리 세부현황'!$D:$D,"2022",'2023년 신조차 고장관리 세부현황'!$E:$E,'처리 현황'!$B6,'2023년 신조차 고장관리 세부현황'!$L:$L,'처리 현황'!O$3)</f>
        <v>0</v>
      </c>
      <c r="P6" s="106">
        <f>COUNTIFS('2023년 신조차 고장관리 세부현황'!$D:$D,"2022",'2023년 신조차 고장관리 세부현황'!$E:$E,'처리 현황'!$B6,'2023년 신조차 고장관리 세부현황'!$L:$L,'처리 현황'!P$3)</f>
        <v>0</v>
      </c>
      <c r="Q6" s="106">
        <f>COUNTIFS('2023년 신조차 고장관리 세부현황'!$D:$D,"2022",'2023년 신조차 고장관리 세부현황'!$E:$E,'처리 현황'!$B6,'2023년 신조차 고장관리 세부현황'!$L:$L,'처리 현황'!Q$3)</f>
        <v>0</v>
      </c>
      <c r="R6" s="106">
        <f>COUNTIFS('2023년 신조차 고장관리 세부현황'!$D:$D,"2022",'2023년 신조차 고장관리 세부현황'!$E:$E,'처리 현황'!$B6,'2023년 신조차 고장관리 세부현황'!$L:$L,'처리 현황'!R$3)</f>
        <v>0</v>
      </c>
      <c r="S6" s="106">
        <f>COUNTIFS('2023년 신조차 고장관리 세부현황'!$D:$D,"2022",'2023년 신조차 고장관리 세부현황'!$E:$E,'처리 현황'!$B6,'2023년 신조차 고장관리 세부현황'!$L:$L,'처리 현황'!S$3)</f>
        <v>0</v>
      </c>
      <c r="T6" s="106">
        <f>COUNTIFS('2023년 신조차 고장관리 세부현황'!$D:$D,"2022",'2023년 신조차 고장관리 세부현황'!$E:$E,'처리 현황'!$B6,'2023년 신조차 고장관리 세부현황'!$L:$L,'처리 현황'!T$3)</f>
        <v>0</v>
      </c>
      <c r="U6" s="125">
        <f t="shared" si="0"/>
        <v>0</v>
      </c>
      <c r="V6" s="106">
        <f>COUNTIFS('2023년 신조차 고장관리 세부현황'!$D:$D,"2022",'2023년 신조차 고장관리 세부현황'!$E:$E,'처리 현황'!$B6,'2023년 신조차 고장관리 세부현황'!$K:$K,'처리 현황'!V$3)</f>
        <v>0</v>
      </c>
      <c r="W6" s="133">
        <f>COUNTIFS('2023년 신조차 고장관리 세부현황'!$D:$D,"2022",'2023년 신조차 고장관리 세부현황'!$E:$E,'처리 현황'!$B6,'2023년 신조차 고장관리 세부현황'!$K:$K,W$2,'2023년 신조차 고장관리 세부현황'!$S:$S,"단품불량")</f>
        <v>0</v>
      </c>
      <c r="X6" s="106">
        <f>COUNTIFS('2023년 신조차 고장관리 세부현황'!$D:$D,"2022",'2023년 신조차 고장관리 세부현황'!$E:$E,'처리 현황'!$B6,'2023년 신조차 고장관리 세부현황'!$K:$K,'처리 현황'!X$3)</f>
        <v>0</v>
      </c>
      <c r="Y6" s="133">
        <f>COUNTIFS('2023년 신조차 고장관리 세부현황'!$D:$D,"2022",'2023년 신조차 고장관리 세부현황'!$E:$E,'처리 현황'!$B6,'2023년 신조차 고장관리 세부현황'!$K:$K,Y$2,'2023년 신조차 고장관리 세부현황'!$S:$S,"단품불량")</f>
        <v>0</v>
      </c>
      <c r="Z6" s="106">
        <f t="shared" si="1"/>
        <v>0</v>
      </c>
      <c r="AD6">
        <v>3</v>
      </c>
      <c r="AE6">
        <v>0</v>
      </c>
      <c r="AH6" s="378"/>
      <c r="AI6" s="104">
        <v>3</v>
      </c>
      <c r="AJ6" s="109" t="s">
        <v>197</v>
      </c>
      <c r="AK6" s="109">
        <v>0</v>
      </c>
      <c r="AL6" s="104">
        <f>COUNTIFS('2023년 신조차 고장관리 세부현황'!$D:$D,"2022",'2023년 신조차 고장관리 세부현황'!$E:$E,'처리 현황'!$B6)</f>
        <v>0</v>
      </c>
      <c r="AM6" s="104">
        <f>COUNTIFS('2023년 신조차 고장관리 세부현황'!$D:$D,"2022",'2023년 신조차 고장관리 세부현황'!$E:$E,'처리 현황'!$B6,'2023년 신조차 고장관리 세부현황'!$V:$V,'처리 현황'!AM$3)</f>
        <v>0</v>
      </c>
      <c r="AN6" s="104">
        <f>COUNTIFS('2023년 신조차 고장관리 세부현황'!$D:$D,"2022",'2023년 신조차 고장관리 세부현황'!$E:$E,'처리 현황'!$B6,'2023년 신조차 고장관리 세부현황'!$V:$V,'처리 현황'!AN$3)</f>
        <v>0</v>
      </c>
      <c r="AO6" s="104">
        <f>COUNTIFS('2023년 신조차 고장관리 세부현황'!$D:$D,"2022",'2023년 신조차 고장관리 세부현황'!$E:$E,'처리 현황'!$B6,'2023년 신조차 고장관리 세부현황'!$V:$V,'처리 현황'!AO$3)</f>
        <v>0</v>
      </c>
      <c r="AP6" s="104">
        <f>COUNTIFS('2023년 신조차 고장관리 세부현황'!$D:$D,"2022",'2023년 신조차 고장관리 세부현황'!$E:$E,'처리 현황'!$B6,'2023년 신조차 고장관리 세부현황'!$V:$V,'처리 현황'!AP$3)</f>
        <v>0</v>
      </c>
      <c r="AQ6" s="104">
        <f>COUNTIFS('2023년 신조차 고장관리 세부현황'!$D:$D,"2022",'2023년 신조차 고장관리 세부현황'!$E:$E,'처리 현황'!$B6,'2023년 신조차 고장관리 세부현황'!$V:$V,'처리 현황'!AQ$3)</f>
        <v>0</v>
      </c>
      <c r="AR6" s="190">
        <f t="shared" si="2"/>
        <v>0</v>
      </c>
      <c r="AS6" s="119">
        <f>COUNTIFS('2023년 신조차 고장관리 세부현황'!$D:$D,"2022",'2023년 신조차 고장관리 세부현황'!$E:$E,'처리 현황'!$B6,'2023년 신조차 고장관리 세부현황'!$J:$J,'처리 현황'!AS$3)</f>
        <v>0</v>
      </c>
      <c r="AT6" s="104">
        <f>COUNTIFS('2023년 신조차 고장관리 세부현황'!$D:$D,"2022",'2023년 신조차 고장관리 세부현황'!$E:$E,'처리 현황'!$B6,'2023년 신조차 고장관리 세부현황'!$J:$J,'처리 현황'!AT$3)</f>
        <v>0</v>
      </c>
      <c r="AU6" s="104">
        <f>COUNTIFS('2023년 신조차 고장관리 세부현황'!$D:$D,"2022",'2023년 신조차 고장관리 세부현황'!$E:$E,'처리 현황'!$B6,'2023년 신조차 고장관리 세부현황'!$J:$J,'처리 현황'!AU$3)</f>
        <v>0</v>
      </c>
      <c r="AV6" s="104">
        <f>COUNTIFS('2023년 신조차 고장관리 세부현황'!$D:$D,"2022",'2023년 신조차 고장관리 세부현황'!$E:$E,'처리 현황'!$B6,'2023년 신조차 고장관리 세부현황'!$J:$J,'처리 현황'!AV$3)</f>
        <v>0</v>
      </c>
      <c r="AW6" s="104">
        <f>COUNTIFS('2023년 신조차 고장관리 세부현황'!$D:$D,"2022",'2023년 신조차 고장관리 세부현황'!$E:$E,'처리 현황'!$B6,'2023년 신조차 고장관리 세부현황'!$J:$J,'처리 현황'!AW$3)</f>
        <v>0</v>
      </c>
      <c r="AX6" s="119">
        <f>COUNTIFS('2023년 신조차 고장관리 세부현황'!$D:$D,"2022",'2023년 신조차 고장관리 세부현황'!$E:$E,'처리 현황'!$B6,'2023년 신조차 고장관리 세부현황'!$L:$L,'처리 현황'!AX$3)</f>
        <v>0</v>
      </c>
      <c r="AY6" s="106">
        <f>COUNTIFS('2023년 신조차 고장관리 세부현황'!$D:$D,"2022",'2023년 신조차 고장관리 세부현황'!$E:$E,'처리 현황'!$B6,'2023년 신조차 고장관리 세부현황'!$L:$L,'처리 현황'!AY$3)</f>
        <v>0</v>
      </c>
      <c r="AZ6" s="106">
        <f>COUNTIFS('2023년 신조차 고장관리 세부현황'!$D:$D,"2022",'2023년 신조차 고장관리 세부현황'!$E:$E,'처리 현황'!$B6,'2023년 신조차 고장관리 세부현황'!$L:$L,'처리 현황'!AZ$3)</f>
        <v>0</v>
      </c>
      <c r="BA6" s="106">
        <f>COUNTIFS('2023년 신조차 고장관리 세부현황'!$D:$D,"2022",'2023년 신조차 고장관리 세부현황'!$E:$E,'처리 현황'!$B6,'2023년 신조차 고장관리 세부현황'!$L:$L,'처리 현황'!BA$3)</f>
        <v>0</v>
      </c>
      <c r="BB6" s="106">
        <f>COUNTIFS('2023년 신조차 고장관리 세부현황'!$D:$D,"2022",'2023년 신조차 고장관리 세부현황'!$E:$E,'처리 현황'!$B6,'2023년 신조차 고장관리 세부현황'!$L:$L,'처리 현황'!BB$3)</f>
        <v>0</v>
      </c>
      <c r="BC6" s="106">
        <f>COUNTIFS('2023년 신조차 고장관리 세부현황'!$D:$D,"2022",'2023년 신조차 고장관리 세부현황'!$E:$E,'처리 현황'!$B6,'2023년 신조차 고장관리 세부현황'!$L:$L,'처리 현황'!BC$3)</f>
        <v>0</v>
      </c>
      <c r="BD6" s="106">
        <f t="shared" si="3"/>
        <v>0</v>
      </c>
      <c r="BE6" s="119">
        <f>COUNTIFS('2023년 신조차 고장관리 세부현황'!$D:$D,"2022",'2023년 신조차 고장관리 세부현황'!$E:$E,'처리 현황'!$B6,'2023년 신조차 고장관리 세부현황'!$K:$K,'처리 현황'!BE$3)</f>
        <v>0</v>
      </c>
      <c r="BF6" s="133">
        <f>COUNTIFS('2023년 신조차 고장관리 세부현황'!$D:$D,"2022",'2023년 신조차 고장관리 세부현황'!$E:$E,'처리 현황'!$B6,'2023년 신조차 고장관리 세부현황'!$K:$K,BF$2,'2023년 신조차 고장관리 세부현황'!$S:$S,"단품불량")</f>
        <v>0</v>
      </c>
      <c r="BG6" s="106">
        <f>COUNTIFS('2023년 신조차 고장관리 세부현황'!$D:$D,"2022",'2023년 신조차 고장관리 세부현황'!$E:$E,'처리 현황'!$B6,'2023년 신조차 고장관리 세부현황'!$K:$K,'처리 현황'!BG$3)</f>
        <v>0</v>
      </c>
      <c r="BH6" s="133">
        <f>COUNTIFS('2023년 신조차 고장관리 세부현황'!$D:$D,"2022",'2023년 신조차 고장관리 세부현황'!$E:$E,'처리 현황'!$B6,'2023년 신조차 고장관리 세부현황'!$K:$K,BH$2,'2023년 신조차 고장관리 세부현황'!$S:$S,"단품불량")</f>
        <v>0</v>
      </c>
      <c r="BI6" s="106">
        <f t="shared" si="4"/>
        <v>0</v>
      </c>
      <c r="BJ6">
        <f>COUNTIFS('2023년 신조차 고장관리 세부현황'!$D:$D,"2022",'2023년 신조차 고장관리 세부현황'!$E:$E,'처리 현황'!$B6,'2023년 신조차 고장관리 세부현황'!$BC:$BC,"완료",'2023년 신조차 고장관리 세부현황'!$CY:$CY,BJ$3)</f>
        <v>0</v>
      </c>
      <c r="BK6">
        <f>COUNTIFS('2023년 신조차 고장관리 세부현황'!$D:$D,"2022",'2023년 신조차 고장관리 세부현황'!$E:$E,'처리 현황'!$B6,'2023년 신조차 고장관리 세부현황'!$BC:$BC,"완료",'2023년 신조차 고장관리 세부현황'!$CY:$CY,BK$3)</f>
        <v>0</v>
      </c>
      <c r="BL6">
        <f>COUNTIFS('2023년 신조차 고장관리 세부현황'!$D:$D,"2022",'2023년 신조차 고장관리 세부현황'!$E:$E,'처리 현황'!$B6,'2023년 신조차 고장관리 세부현황'!$BC:$BC,"완료",'2023년 신조차 고장관리 세부현황'!$CY:$CY,BL$3)</f>
        <v>0</v>
      </c>
      <c r="BM6">
        <f>COUNTIFS('2023년 신조차 고장관리 세부현황'!$D:$D,"2022",'2023년 신조차 고장관리 세부현황'!$E:$E,'처리 현황'!$B6,'2023년 신조차 고장관리 세부현황'!$BC:$BC,"완료",'2023년 신조차 고장관리 세부현황'!$CY:$CY,BM$3)</f>
        <v>0</v>
      </c>
      <c r="BN6">
        <f>COUNTIFS('2023년 신조차 고장관리 세부현황'!$D:$D,"2022",'2023년 신조차 고장관리 세부현황'!$E:$E,'처리 현황'!$B6,'2023년 신조차 고장관리 세부현황'!$BC:$BC,"완료",'2023년 신조차 고장관리 세부현황'!$CY:$CY,BN$3)</f>
        <v>0</v>
      </c>
      <c r="BO6">
        <f>COUNTIFS('2023년 신조차 고장관리 세부현황'!$D:$D,"2022",'2023년 신조차 고장관리 세부현황'!$E:$E,'처리 현황'!$B6,'2023년 신조차 고장관리 세부현황'!$BC:$BC,"완료",'2023년 신조차 고장관리 세부현황'!$CY:$CY,BO$3)</f>
        <v>0</v>
      </c>
      <c r="BP6">
        <f>COUNTIFS('2023년 신조차 고장관리 세부현황'!$D:$D,"2022",'2023년 신조차 고장관리 세부현황'!$E:$E,'처리 현황'!$B6,'2023년 신조차 고장관리 세부현황'!$BC:$BC,"완료",'2023년 신조차 고장관리 세부현황'!$CY:$CY,BP$3)</f>
        <v>0</v>
      </c>
      <c r="BX6" s="199" t="s">
        <v>334</v>
      </c>
      <c r="BY6" s="199" t="s">
        <v>335</v>
      </c>
      <c r="BZ6" s="199" t="s">
        <v>336</v>
      </c>
      <c r="CA6" s="199" t="s">
        <v>337</v>
      </c>
      <c r="CB6" s="199" t="s">
        <v>338</v>
      </c>
    </row>
    <row r="7" spans="1:86" x14ac:dyDescent="0.4">
      <c r="A7" s="378"/>
      <c r="B7" s="104">
        <v>4</v>
      </c>
      <c r="C7" s="109" t="s">
        <v>198</v>
      </c>
      <c r="D7" s="104">
        <f>COUNTIFS('2023년 신조차 고장관리 세부현황'!$D:$D,"2022",'2023년 신조차 고장관리 세부현황'!$E:$E,'처리 현황'!$B7)</f>
        <v>0</v>
      </c>
      <c r="E7" s="104">
        <f>COUNTIFS('2023년 신조차 고장관리 세부현황'!$D:$D,"2022",'2023년 신조차 고장관리 세부현황'!$E:$E,'처리 현황'!$B7,'2023년 신조차 고장관리 세부현황'!$T:$T,'처리 현황'!E$3)</f>
        <v>0</v>
      </c>
      <c r="F7" s="104">
        <f>COUNTIFS('2023년 신조차 고장관리 세부현황'!$D:$D,"2022",'2023년 신조차 고장관리 세부현황'!$E:$E,'처리 현황'!$B7,'2023년 신조차 고장관리 세부현황'!$T:$T,'처리 현황'!F$3)</f>
        <v>0</v>
      </c>
      <c r="G7" s="104">
        <f>COUNTIFS('2023년 신조차 고장관리 세부현황'!$D:$D,"2022",'2023년 신조차 고장관리 세부현황'!$E:$E,'처리 현황'!$B7,'2023년 신조차 고장관리 세부현황'!$T:$T,'처리 현황'!G$3)</f>
        <v>0</v>
      </c>
      <c r="H7" s="104">
        <f>COUNTIFS('2023년 신조차 고장관리 세부현황'!$D:$D,"2022",'2023년 신조차 고장관리 세부현황'!$E:$E,'처리 현황'!$B7,'2023년 신조차 고장관리 세부현황'!$T:$T,'처리 현황'!H$3)</f>
        <v>0</v>
      </c>
      <c r="I7" s="104">
        <f>COUNTIFS('2023년 신조차 고장관리 세부현황'!$D:$D,"2022",'2023년 신조차 고장관리 세부현황'!$E:$E,'처리 현황'!$B7,'2023년 신조차 고장관리 세부현황'!$T:$T,'처리 현황'!I$3)</f>
        <v>0</v>
      </c>
      <c r="J7" s="119">
        <f>COUNTIFS('2023년 신조차 고장관리 세부현황'!$D:$D,"2022",'2023년 신조차 고장관리 세부현황'!$E:$E,'처리 현황'!$B7,'2023년 신조차 고장관리 세부현황'!$J:$J,'처리 현황'!J$3)</f>
        <v>0</v>
      </c>
      <c r="K7" s="104">
        <f>COUNTIFS('2023년 신조차 고장관리 세부현황'!$D:$D,"2022",'2023년 신조차 고장관리 세부현황'!$E:$E,'처리 현황'!$B7,'2023년 신조차 고장관리 세부현황'!$J:$J,'처리 현황'!K$3)</f>
        <v>0</v>
      </c>
      <c r="L7" s="104">
        <f>COUNTIFS('2023년 신조차 고장관리 세부현황'!$D:$D,"2022",'2023년 신조차 고장관리 세부현황'!$E:$E,'처리 현황'!$B7,'2023년 신조차 고장관리 세부현황'!$J:$J,'처리 현황'!L$3)</f>
        <v>0</v>
      </c>
      <c r="M7" s="104">
        <f>COUNTIFS('2023년 신조차 고장관리 세부현황'!$D:$D,"2022",'2023년 신조차 고장관리 세부현황'!$E:$E,'처리 현황'!$B7,'2023년 신조차 고장관리 세부현황'!$J:$J,'처리 현황'!M$3)</f>
        <v>0</v>
      </c>
      <c r="N7" s="104">
        <f>COUNTIFS('2023년 신조차 고장관리 세부현황'!$D:$D,"2022",'2023년 신조차 고장관리 세부현황'!$E:$E,'처리 현황'!$B7,'2023년 신조차 고장관리 세부현황'!$J:$J,'처리 현황'!N$3)</f>
        <v>0</v>
      </c>
      <c r="O7" s="119">
        <f>COUNTIFS('2023년 신조차 고장관리 세부현황'!$D:$D,"2022",'2023년 신조차 고장관리 세부현황'!$E:$E,'처리 현황'!$B7,'2023년 신조차 고장관리 세부현황'!$L:$L,'처리 현황'!O$3)</f>
        <v>0</v>
      </c>
      <c r="P7" s="106">
        <f>COUNTIFS('2023년 신조차 고장관리 세부현황'!$D:$D,"2022",'2023년 신조차 고장관리 세부현황'!$E:$E,'처리 현황'!$B7,'2023년 신조차 고장관리 세부현황'!$L:$L,'처리 현황'!P$3)</f>
        <v>0</v>
      </c>
      <c r="Q7" s="106">
        <f>COUNTIFS('2023년 신조차 고장관리 세부현황'!$D:$D,"2022",'2023년 신조차 고장관리 세부현황'!$E:$E,'처리 현황'!$B7,'2023년 신조차 고장관리 세부현황'!$L:$L,'처리 현황'!Q$3)</f>
        <v>0</v>
      </c>
      <c r="R7" s="106">
        <f>COUNTIFS('2023년 신조차 고장관리 세부현황'!$D:$D,"2022",'2023년 신조차 고장관리 세부현황'!$E:$E,'처리 현황'!$B7,'2023년 신조차 고장관리 세부현황'!$L:$L,'처리 현황'!R$3)</f>
        <v>0</v>
      </c>
      <c r="S7" s="106">
        <f>COUNTIFS('2023년 신조차 고장관리 세부현황'!$D:$D,"2022",'2023년 신조차 고장관리 세부현황'!$E:$E,'처리 현황'!$B7,'2023년 신조차 고장관리 세부현황'!$L:$L,'처리 현황'!S$3)</f>
        <v>0</v>
      </c>
      <c r="T7" s="106">
        <f>COUNTIFS('2023년 신조차 고장관리 세부현황'!$D:$D,"2022",'2023년 신조차 고장관리 세부현황'!$E:$E,'처리 현황'!$B7,'2023년 신조차 고장관리 세부현황'!$L:$L,'처리 현황'!T$3)</f>
        <v>0</v>
      </c>
      <c r="U7" s="125">
        <f t="shared" si="0"/>
        <v>0</v>
      </c>
      <c r="V7" s="106">
        <f>COUNTIFS('2023년 신조차 고장관리 세부현황'!$D:$D,"2022",'2023년 신조차 고장관리 세부현황'!$E:$E,'처리 현황'!$B7,'2023년 신조차 고장관리 세부현황'!$K:$K,'처리 현황'!V$3)</f>
        <v>0</v>
      </c>
      <c r="W7" s="133">
        <f>COUNTIFS('2023년 신조차 고장관리 세부현황'!$D:$D,"2022",'2023년 신조차 고장관리 세부현황'!$E:$E,'처리 현황'!$B7,'2023년 신조차 고장관리 세부현황'!$K:$K,W$2,'2023년 신조차 고장관리 세부현황'!$S:$S,"단품불량")</f>
        <v>0</v>
      </c>
      <c r="X7" s="106">
        <f>COUNTIFS('2023년 신조차 고장관리 세부현황'!$D:$D,"2022",'2023년 신조차 고장관리 세부현황'!$E:$E,'처리 현황'!$B7,'2023년 신조차 고장관리 세부현황'!$K:$K,'처리 현황'!X$3)</f>
        <v>0</v>
      </c>
      <c r="Y7" s="133">
        <f>COUNTIFS('2023년 신조차 고장관리 세부현황'!$D:$D,"2022",'2023년 신조차 고장관리 세부현황'!$E:$E,'처리 현황'!$B7,'2023년 신조차 고장관리 세부현황'!$K:$K,Y$2,'2023년 신조차 고장관리 세부현황'!$S:$S,"단품불량")</f>
        <v>0</v>
      </c>
      <c r="Z7" s="106">
        <f t="shared" si="1"/>
        <v>0</v>
      </c>
      <c r="AD7">
        <v>4</v>
      </c>
      <c r="AE7">
        <v>0</v>
      </c>
      <c r="AH7" s="378"/>
      <c r="AI7" s="104">
        <v>4</v>
      </c>
      <c r="AJ7" s="109" t="s">
        <v>198</v>
      </c>
      <c r="AK7" s="109">
        <v>0</v>
      </c>
      <c r="AL7" s="104">
        <f>COUNTIFS('2023년 신조차 고장관리 세부현황'!$D:$D,"2022",'2023년 신조차 고장관리 세부현황'!$E:$E,'처리 현황'!$B7)</f>
        <v>0</v>
      </c>
      <c r="AM7" s="104">
        <f>COUNTIFS('2023년 신조차 고장관리 세부현황'!$D:$D,"2022",'2023년 신조차 고장관리 세부현황'!$E:$E,'처리 현황'!$B7,'2023년 신조차 고장관리 세부현황'!$V:$V,'처리 현황'!AM$3)</f>
        <v>0</v>
      </c>
      <c r="AN7" s="104">
        <f>COUNTIFS('2023년 신조차 고장관리 세부현황'!$D:$D,"2022",'2023년 신조차 고장관리 세부현황'!$E:$E,'처리 현황'!$B7,'2023년 신조차 고장관리 세부현황'!$V:$V,'처리 현황'!AN$3)</f>
        <v>0</v>
      </c>
      <c r="AO7" s="104">
        <f>COUNTIFS('2023년 신조차 고장관리 세부현황'!$D:$D,"2022",'2023년 신조차 고장관리 세부현황'!$E:$E,'처리 현황'!$B7,'2023년 신조차 고장관리 세부현황'!$V:$V,'처리 현황'!AO$3)</f>
        <v>0</v>
      </c>
      <c r="AP7" s="104">
        <f>COUNTIFS('2023년 신조차 고장관리 세부현황'!$D:$D,"2022",'2023년 신조차 고장관리 세부현황'!$E:$E,'처리 현황'!$B7,'2023년 신조차 고장관리 세부현황'!$V:$V,'처리 현황'!AP$3)</f>
        <v>0</v>
      </c>
      <c r="AQ7" s="104">
        <f>COUNTIFS('2023년 신조차 고장관리 세부현황'!$D:$D,"2022",'2023년 신조차 고장관리 세부현황'!$E:$E,'처리 현황'!$B7,'2023년 신조차 고장관리 세부현황'!$V:$V,'처리 현황'!AQ$3)</f>
        <v>0</v>
      </c>
      <c r="AR7" s="190">
        <f t="shared" si="2"/>
        <v>0</v>
      </c>
      <c r="AS7" s="119">
        <f>COUNTIFS('2023년 신조차 고장관리 세부현황'!$D:$D,"2022",'2023년 신조차 고장관리 세부현황'!$E:$E,'처리 현황'!$B7,'2023년 신조차 고장관리 세부현황'!$J:$J,'처리 현황'!AS$3)</f>
        <v>0</v>
      </c>
      <c r="AT7" s="104">
        <f>COUNTIFS('2023년 신조차 고장관리 세부현황'!$D:$D,"2022",'2023년 신조차 고장관리 세부현황'!$E:$E,'처리 현황'!$B7,'2023년 신조차 고장관리 세부현황'!$J:$J,'처리 현황'!AT$3)</f>
        <v>0</v>
      </c>
      <c r="AU7" s="104">
        <f>COUNTIFS('2023년 신조차 고장관리 세부현황'!$D:$D,"2022",'2023년 신조차 고장관리 세부현황'!$E:$E,'처리 현황'!$B7,'2023년 신조차 고장관리 세부현황'!$J:$J,'처리 현황'!AU$3)</f>
        <v>0</v>
      </c>
      <c r="AV7" s="104">
        <f>COUNTIFS('2023년 신조차 고장관리 세부현황'!$D:$D,"2022",'2023년 신조차 고장관리 세부현황'!$E:$E,'처리 현황'!$B7,'2023년 신조차 고장관리 세부현황'!$J:$J,'처리 현황'!AV$3)</f>
        <v>0</v>
      </c>
      <c r="AW7" s="104">
        <f>COUNTIFS('2023년 신조차 고장관리 세부현황'!$D:$D,"2022",'2023년 신조차 고장관리 세부현황'!$E:$E,'처리 현황'!$B7,'2023년 신조차 고장관리 세부현황'!$J:$J,'처리 현황'!AW$3)</f>
        <v>0</v>
      </c>
      <c r="AX7" s="119">
        <f>COUNTIFS('2023년 신조차 고장관리 세부현황'!$D:$D,"2022",'2023년 신조차 고장관리 세부현황'!$E:$E,'처리 현황'!$B7,'2023년 신조차 고장관리 세부현황'!$L:$L,'처리 현황'!AX$3)</f>
        <v>0</v>
      </c>
      <c r="AY7" s="106">
        <f>COUNTIFS('2023년 신조차 고장관리 세부현황'!$D:$D,"2022",'2023년 신조차 고장관리 세부현황'!$E:$E,'처리 현황'!$B7,'2023년 신조차 고장관리 세부현황'!$L:$L,'처리 현황'!AY$3)</f>
        <v>0</v>
      </c>
      <c r="AZ7" s="106">
        <f>COUNTIFS('2023년 신조차 고장관리 세부현황'!$D:$D,"2022",'2023년 신조차 고장관리 세부현황'!$E:$E,'처리 현황'!$B7,'2023년 신조차 고장관리 세부현황'!$L:$L,'처리 현황'!AZ$3)</f>
        <v>0</v>
      </c>
      <c r="BA7" s="106">
        <f>COUNTIFS('2023년 신조차 고장관리 세부현황'!$D:$D,"2022",'2023년 신조차 고장관리 세부현황'!$E:$E,'처리 현황'!$B7,'2023년 신조차 고장관리 세부현황'!$L:$L,'처리 현황'!BA$3)</f>
        <v>0</v>
      </c>
      <c r="BB7" s="106">
        <f>COUNTIFS('2023년 신조차 고장관리 세부현황'!$D:$D,"2022",'2023년 신조차 고장관리 세부현황'!$E:$E,'처리 현황'!$B7,'2023년 신조차 고장관리 세부현황'!$L:$L,'처리 현황'!BB$3)</f>
        <v>0</v>
      </c>
      <c r="BC7" s="106">
        <f>COUNTIFS('2023년 신조차 고장관리 세부현황'!$D:$D,"2022",'2023년 신조차 고장관리 세부현황'!$E:$E,'처리 현황'!$B7,'2023년 신조차 고장관리 세부현황'!$L:$L,'처리 현황'!BC$3)</f>
        <v>0</v>
      </c>
      <c r="BD7" s="106">
        <f t="shared" si="3"/>
        <v>0</v>
      </c>
      <c r="BE7" s="119">
        <f>COUNTIFS('2023년 신조차 고장관리 세부현황'!$D:$D,"2022",'2023년 신조차 고장관리 세부현황'!$E:$E,'처리 현황'!$B7,'2023년 신조차 고장관리 세부현황'!$K:$K,'처리 현황'!BE$3)</f>
        <v>0</v>
      </c>
      <c r="BF7" s="133">
        <f>COUNTIFS('2023년 신조차 고장관리 세부현황'!$D:$D,"2022",'2023년 신조차 고장관리 세부현황'!$E:$E,'처리 현황'!$B7,'2023년 신조차 고장관리 세부현황'!$K:$K,BF$2,'2023년 신조차 고장관리 세부현황'!$S:$S,"단품불량")</f>
        <v>0</v>
      </c>
      <c r="BG7" s="106">
        <f>COUNTIFS('2023년 신조차 고장관리 세부현황'!$D:$D,"2022",'2023년 신조차 고장관리 세부현황'!$E:$E,'처리 현황'!$B7,'2023년 신조차 고장관리 세부현황'!$K:$K,'처리 현황'!BG$3)</f>
        <v>0</v>
      </c>
      <c r="BH7" s="133">
        <f>COUNTIFS('2023년 신조차 고장관리 세부현황'!$D:$D,"2022",'2023년 신조차 고장관리 세부현황'!$E:$E,'처리 현황'!$B7,'2023년 신조차 고장관리 세부현황'!$K:$K,BH$2,'2023년 신조차 고장관리 세부현황'!$S:$S,"단품불량")</f>
        <v>0</v>
      </c>
      <c r="BI7" s="106">
        <f t="shared" si="4"/>
        <v>0</v>
      </c>
      <c r="BJ7">
        <f>COUNTIFS('2023년 신조차 고장관리 세부현황'!$D:$D,"2022",'2023년 신조차 고장관리 세부현황'!$E:$E,'처리 현황'!$B7,'2023년 신조차 고장관리 세부현황'!$BC:$BC,"완료",'2023년 신조차 고장관리 세부현황'!$CY:$CY,BJ$3)</f>
        <v>0</v>
      </c>
      <c r="BK7">
        <f>COUNTIFS('2023년 신조차 고장관리 세부현황'!$D:$D,"2022",'2023년 신조차 고장관리 세부현황'!$E:$E,'처리 현황'!$B7,'2023년 신조차 고장관리 세부현황'!$BC:$BC,"완료",'2023년 신조차 고장관리 세부현황'!$CY:$CY,BK$3)</f>
        <v>0</v>
      </c>
      <c r="BL7">
        <f>COUNTIFS('2023년 신조차 고장관리 세부현황'!$D:$D,"2022",'2023년 신조차 고장관리 세부현황'!$E:$E,'처리 현황'!$B7,'2023년 신조차 고장관리 세부현황'!$BC:$BC,"완료",'2023년 신조차 고장관리 세부현황'!$CY:$CY,BL$3)</f>
        <v>0</v>
      </c>
      <c r="BM7">
        <f>COUNTIFS('2023년 신조차 고장관리 세부현황'!$D:$D,"2022",'2023년 신조차 고장관리 세부현황'!$E:$E,'처리 현황'!$B7,'2023년 신조차 고장관리 세부현황'!$BC:$BC,"완료",'2023년 신조차 고장관리 세부현황'!$CY:$CY,BM$3)</f>
        <v>0</v>
      </c>
      <c r="BN7">
        <f>COUNTIFS('2023년 신조차 고장관리 세부현황'!$D:$D,"2022",'2023년 신조차 고장관리 세부현황'!$E:$E,'처리 현황'!$B7,'2023년 신조차 고장관리 세부현황'!$BC:$BC,"완료",'2023년 신조차 고장관리 세부현황'!$CY:$CY,BN$3)</f>
        <v>0</v>
      </c>
      <c r="BO7">
        <f>COUNTIFS('2023년 신조차 고장관리 세부현황'!$D:$D,"2022",'2023년 신조차 고장관리 세부현황'!$E:$E,'처리 현황'!$B7,'2023년 신조차 고장관리 세부현황'!$BC:$BC,"완료",'2023년 신조차 고장관리 세부현황'!$CY:$CY,BO$3)</f>
        <v>0</v>
      </c>
      <c r="BP7">
        <f>COUNTIFS('2023년 신조차 고장관리 세부현황'!$D:$D,"2022",'2023년 신조차 고장관리 세부현황'!$E:$E,'처리 현황'!$B7,'2023년 신조차 고장관리 세부현황'!$BC:$BC,"완료",'2023년 신조차 고장관리 세부현황'!$CY:$CY,BP$3)</f>
        <v>0</v>
      </c>
      <c r="BX7">
        <f>BX4+CD4</f>
        <v>2</v>
      </c>
      <c r="BY7">
        <f t="shared" ref="BY7:CB7" si="5">BY4+CE4</f>
        <v>0</v>
      </c>
      <c r="BZ7">
        <f t="shared" si="5"/>
        <v>1</v>
      </c>
      <c r="CA7">
        <f t="shared" si="5"/>
        <v>1</v>
      </c>
      <c r="CB7">
        <f t="shared" si="5"/>
        <v>0</v>
      </c>
    </row>
    <row r="8" spans="1:86" x14ac:dyDescent="0.4">
      <c r="A8" s="378"/>
      <c r="B8" s="104">
        <v>5</v>
      </c>
      <c r="C8" s="109" t="s">
        <v>199</v>
      </c>
      <c r="D8" s="104">
        <f>COUNTIFS('2023년 신조차 고장관리 세부현황'!$D:$D,"2022",'2023년 신조차 고장관리 세부현황'!$E:$E,'처리 현황'!$B8)</f>
        <v>0</v>
      </c>
      <c r="E8" s="104">
        <f>COUNTIFS('2023년 신조차 고장관리 세부현황'!$D:$D,"2022",'2023년 신조차 고장관리 세부현황'!$E:$E,'처리 현황'!$B8,'2023년 신조차 고장관리 세부현황'!$T:$T,'처리 현황'!E$3)</f>
        <v>0</v>
      </c>
      <c r="F8" s="104">
        <f>COUNTIFS('2023년 신조차 고장관리 세부현황'!$D:$D,"2022",'2023년 신조차 고장관리 세부현황'!$E:$E,'처리 현황'!$B8,'2023년 신조차 고장관리 세부현황'!$T:$T,'처리 현황'!F$3)</f>
        <v>0</v>
      </c>
      <c r="G8" s="104">
        <f>COUNTIFS('2023년 신조차 고장관리 세부현황'!$D:$D,"2022",'2023년 신조차 고장관리 세부현황'!$E:$E,'처리 현황'!$B8,'2023년 신조차 고장관리 세부현황'!$T:$T,'처리 현황'!G$3)</f>
        <v>0</v>
      </c>
      <c r="H8" s="104">
        <f>COUNTIFS('2023년 신조차 고장관리 세부현황'!$D:$D,"2022",'2023년 신조차 고장관리 세부현황'!$E:$E,'처리 현황'!$B8,'2023년 신조차 고장관리 세부현황'!$T:$T,'처리 현황'!H$3)</f>
        <v>0</v>
      </c>
      <c r="I8" s="104">
        <f>COUNTIFS('2023년 신조차 고장관리 세부현황'!$D:$D,"2022",'2023년 신조차 고장관리 세부현황'!$E:$E,'처리 현황'!$B8,'2023년 신조차 고장관리 세부현황'!$T:$T,'처리 현황'!I$3)</f>
        <v>0</v>
      </c>
      <c r="J8" s="119">
        <f>COUNTIFS('2023년 신조차 고장관리 세부현황'!$D:$D,"2022",'2023년 신조차 고장관리 세부현황'!$E:$E,'처리 현황'!$B8,'2023년 신조차 고장관리 세부현황'!$J:$J,'처리 현황'!J$3)</f>
        <v>0</v>
      </c>
      <c r="K8" s="104">
        <f>COUNTIFS('2023년 신조차 고장관리 세부현황'!$D:$D,"2022",'2023년 신조차 고장관리 세부현황'!$E:$E,'처리 현황'!$B8,'2023년 신조차 고장관리 세부현황'!$J:$J,'처리 현황'!K$3)</f>
        <v>0</v>
      </c>
      <c r="L8" s="104">
        <f>COUNTIFS('2023년 신조차 고장관리 세부현황'!$D:$D,"2022",'2023년 신조차 고장관리 세부현황'!$E:$E,'처리 현황'!$B8,'2023년 신조차 고장관리 세부현황'!$J:$J,'처리 현황'!L$3)</f>
        <v>0</v>
      </c>
      <c r="M8" s="104">
        <f>COUNTIFS('2023년 신조차 고장관리 세부현황'!$D:$D,"2022",'2023년 신조차 고장관리 세부현황'!$E:$E,'처리 현황'!$B8,'2023년 신조차 고장관리 세부현황'!$J:$J,'처리 현황'!M$3)</f>
        <v>0</v>
      </c>
      <c r="N8" s="104">
        <f>COUNTIFS('2023년 신조차 고장관리 세부현황'!$D:$D,"2022",'2023년 신조차 고장관리 세부현황'!$E:$E,'처리 현황'!$B8,'2023년 신조차 고장관리 세부현황'!$J:$J,'처리 현황'!N$3)</f>
        <v>0</v>
      </c>
      <c r="O8" s="119">
        <f>COUNTIFS('2023년 신조차 고장관리 세부현황'!$D:$D,"2022",'2023년 신조차 고장관리 세부현황'!$E:$E,'처리 현황'!$B8,'2023년 신조차 고장관리 세부현황'!$L:$L,'처리 현황'!O$3)</f>
        <v>0</v>
      </c>
      <c r="P8" s="106">
        <f>COUNTIFS('2023년 신조차 고장관리 세부현황'!$D:$D,"2022",'2023년 신조차 고장관리 세부현황'!$E:$E,'처리 현황'!$B8,'2023년 신조차 고장관리 세부현황'!$L:$L,'처리 현황'!P$3)</f>
        <v>0</v>
      </c>
      <c r="Q8" s="106">
        <f>COUNTIFS('2023년 신조차 고장관리 세부현황'!$D:$D,"2022",'2023년 신조차 고장관리 세부현황'!$E:$E,'처리 현황'!$B8,'2023년 신조차 고장관리 세부현황'!$L:$L,'처리 현황'!Q$3)</f>
        <v>0</v>
      </c>
      <c r="R8" s="106">
        <f>COUNTIFS('2023년 신조차 고장관리 세부현황'!$D:$D,"2022",'2023년 신조차 고장관리 세부현황'!$E:$E,'처리 현황'!$B8,'2023년 신조차 고장관리 세부현황'!$L:$L,'처리 현황'!R$3)</f>
        <v>0</v>
      </c>
      <c r="S8" s="106">
        <f>COUNTIFS('2023년 신조차 고장관리 세부현황'!$D:$D,"2022",'2023년 신조차 고장관리 세부현황'!$E:$E,'처리 현황'!$B8,'2023년 신조차 고장관리 세부현황'!$L:$L,'처리 현황'!S$3)</f>
        <v>0</v>
      </c>
      <c r="T8" s="106">
        <f>COUNTIFS('2023년 신조차 고장관리 세부현황'!$D:$D,"2022",'2023년 신조차 고장관리 세부현황'!$E:$E,'처리 현황'!$B8,'2023년 신조차 고장관리 세부현황'!$L:$L,'처리 현황'!T$3)</f>
        <v>0</v>
      </c>
      <c r="U8" s="125">
        <f t="shared" si="0"/>
        <v>0</v>
      </c>
      <c r="V8" s="106">
        <f>COUNTIFS('2023년 신조차 고장관리 세부현황'!$D:$D,"2022",'2023년 신조차 고장관리 세부현황'!$E:$E,'처리 현황'!$B8,'2023년 신조차 고장관리 세부현황'!$K:$K,'처리 현황'!V$3)</f>
        <v>0</v>
      </c>
      <c r="W8" s="133">
        <f>COUNTIFS('2023년 신조차 고장관리 세부현황'!$D:$D,"2022",'2023년 신조차 고장관리 세부현황'!$E:$E,'처리 현황'!$B8,'2023년 신조차 고장관리 세부현황'!$K:$K,W$2,'2023년 신조차 고장관리 세부현황'!$S:$S,"단품불량")</f>
        <v>0</v>
      </c>
      <c r="X8" s="106">
        <f>COUNTIFS('2023년 신조차 고장관리 세부현황'!$D:$D,"2022",'2023년 신조차 고장관리 세부현황'!$E:$E,'처리 현황'!$B8,'2023년 신조차 고장관리 세부현황'!$K:$K,'처리 현황'!X$3)</f>
        <v>0</v>
      </c>
      <c r="Y8" s="133">
        <f>COUNTIFS('2023년 신조차 고장관리 세부현황'!$D:$D,"2022",'2023년 신조차 고장관리 세부현황'!$E:$E,'처리 현황'!$B8,'2023년 신조차 고장관리 세부현황'!$K:$K,Y$2,'2023년 신조차 고장관리 세부현황'!$S:$S,"단품불량")</f>
        <v>0</v>
      </c>
      <c r="Z8" s="106">
        <f t="shared" si="1"/>
        <v>0</v>
      </c>
      <c r="AD8">
        <v>5</v>
      </c>
      <c r="AE8">
        <v>0</v>
      </c>
      <c r="AH8" s="378"/>
      <c r="AI8" s="104">
        <v>5</v>
      </c>
      <c r="AJ8" s="109" t="s">
        <v>199</v>
      </c>
      <c r="AK8" s="109">
        <v>0</v>
      </c>
      <c r="AL8" s="104">
        <f>COUNTIFS('2023년 신조차 고장관리 세부현황'!$D:$D,"2022",'2023년 신조차 고장관리 세부현황'!$E:$E,'처리 현황'!$B8)</f>
        <v>0</v>
      </c>
      <c r="AM8" s="104">
        <f>COUNTIFS('2023년 신조차 고장관리 세부현황'!$D:$D,"2022",'2023년 신조차 고장관리 세부현황'!$E:$E,'처리 현황'!$B8,'2023년 신조차 고장관리 세부현황'!$V:$V,'처리 현황'!AM$3)</f>
        <v>0</v>
      </c>
      <c r="AN8" s="104">
        <f>COUNTIFS('2023년 신조차 고장관리 세부현황'!$D:$D,"2022",'2023년 신조차 고장관리 세부현황'!$E:$E,'처리 현황'!$B8,'2023년 신조차 고장관리 세부현황'!$V:$V,'처리 현황'!AN$3)</f>
        <v>0</v>
      </c>
      <c r="AO8" s="104">
        <f>COUNTIFS('2023년 신조차 고장관리 세부현황'!$D:$D,"2022",'2023년 신조차 고장관리 세부현황'!$E:$E,'처리 현황'!$B8,'2023년 신조차 고장관리 세부현황'!$V:$V,'처리 현황'!AO$3)</f>
        <v>0</v>
      </c>
      <c r="AP8" s="104">
        <f>COUNTIFS('2023년 신조차 고장관리 세부현황'!$D:$D,"2022",'2023년 신조차 고장관리 세부현황'!$E:$E,'처리 현황'!$B8,'2023년 신조차 고장관리 세부현황'!$V:$V,'처리 현황'!AP$3)</f>
        <v>0</v>
      </c>
      <c r="AQ8" s="104">
        <f>COUNTIFS('2023년 신조차 고장관리 세부현황'!$D:$D,"2022",'2023년 신조차 고장관리 세부현황'!$E:$E,'처리 현황'!$B8,'2023년 신조차 고장관리 세부현황'!$V:$V,'처리 현황'!AQ$3)</f>
        <v>0</v>
      </c>
      <c r="AR8" s="190">
        <f t="shared" si="2"/>
        <v>0</v>
      </c>
      <c r="AS8" s="119">
        <f>COUNTIFS('2023년 신조차 고장관리 세부현황'!$D:$D,"2022",'2023년 신조차 고장관리 세부현황'!$E:$E,'처리 현황'!$B8,'2023년 신조차 고장관리 세부현황'!$J:$J,'처리 현황'!AS$3)</f>
        <v>0</v>
      </c>
      <c r="AT8" s="104">
        <f>COUNTIFS('2023년 신조차 고장관리 세부현황'!$D:$D,"2022",'2023년 신조차 고장관리 세부현황'!$E:$E,'처리 현황'!$B8,'2023년 신조차 고장관리 세부현황'!$J:$J,'처리 현황'!AT$3)</f>
        <v>0</v>
      </c>
      <c r="AU8" s="104">
        <f>COUNTIFS('2023년 신조차 고장관리 세부현황'!$D:$D,"2022",'2023년 신조차 고장관리 세부현황'!$E:$E,'처리 현황'!$B8,'2023년 신조차 고장관리 세부현황'!$J:$J,'처리 현황'!AU$3)</f>
        <v>0</v>
      </c>
      <c r="AV8" s="104">
        <f>COUNTIFS('2023년 신조차 고장관리 세부현황'!$D:$D,"2022",'2023년 신조차 고장관리 세부현황'!$E:$E,'처리 현황'!$B8,'2023년 신조차 고장관리 세부현황'!$J:$J,'처리 현황'!AV$3)</f>
        <v>0</v>
      </c>
      <c r="AW8" s="104">
        <f>COUNTIFS('2023년 신조차 고장관리 세부현황'!$D:$D,"2022",'2023년 신조차 고장관리 세부현황'!$E:$E,'처리 현황'!$B8,'2023년 신조차 고장관리 세부현황'!$J:$J,'처리 현황'!AW$3)</f>
        <v>0</v>
      </c>
      <c r="AX8" s="119">
        <f>COUNTIFS('2023년 신조차 고장관리 세부현황'!$D:$D,"2022",'2023년 신조차 고장관리 세부현황'!$E:$E,'처리 현황'!$B8,'2023년 신조차 고장관리 세부현황'!$L:$L,'처리 현황'!AX$3)</f>
        <v>0</v>
      </c>
      <c r="AY8" s="106">
        <f>COUNTIFS('2023년 신조차 고장관리 세부현황'!$D:$D,"2022",'2023년 신조차 고장관리 세부현황'!$E:$E,'처리 현황'!$B8,'2023년 신조차 고장관리 세부현황'!$L:$L,'처리 현황'!AY$3)</f>
        <v>0</v>
      </c>
      <c r="AZ8" s="106">
        <f>COUNTIFS('2023년 신조차 고장관리 세부현황'!$D:$D,"2022",'2023년 신조차 고장관리 세부현황'!$E:$E,'처리 현황'!$B8,'2023년 신조차 고장관리 세부현황'!$L:$L,'처리 현황'!AZ$3)</f>
        <v>0</v>
      </c>
      <c r="BA8" s="106">
        <f>COUNTIFS('2023년 신조차 고장관리 세부현황'!$D:$D,"2022",'2023년 신조차 고장관리 세부현황'!$E:$E,'처리 현황'!$B8,'2023년 신조차 고장관리 세부현황'!$L:$L,'처리 현황'!BA$3)</f>
        <v>0</v>
      </c>
      <c r="BB8" s="106">
        <f>COUNTIFS('2023년 신조차 고장관리 세부현황'!$D:$D,"2022",'2023년 신조차 고장관리 세부현황'!$E:$E,'처리 현황'!$B8,'2023년 신조차 고장관리 세부현황'!$L:$L,'처리 현황'!BB$3)</f>
        <v>0</v>
      </c>
      <c r="BC8" s="106">
        <f>COUNTIFS('2023년 신조차 고장관리 세부현황'!$D:$D,"2022",'2023년 신조차 고장관리 세부현황'!$E:$E,'처리 현황'!$B8,'2023년 신조차 고장관리 세부현황'!$L:$L,'처리 현황'!BC$3)</f>
        <v>0</v>
      </c>
      <c r="BD8" s="106">
        <f t="shared" si="3"/>
        <v>0</v>
      </c>
      <c r="BE8" s="119">
        <f>COUNTIFS('2023년 신조차 고장관리 세부현황'!$D:$D,"2022",'2023년 신조차 고장관리 세부현황'!$E:$E,'처리 현황'!$B8,'2023년 신조차 고장관리 세부현황'!$K:$K,'처리 현황'!BE$3)</f>
        <v>0</v>
      </c>
      <c r="BF8" s="133">
        <f>COUNTIFS('2023년 신조차 고장관리 세부현황'!$D:$D,"2022",'2023년 신조차 고장관리 세부현황'!$E:$E,'처리 현황'!$B8,'2023년 신조차 고장관리 세부현황'!$K:$K,BF$2,'2023년 신조차 고장관리 세부현황'!$S:$S,"단품불량")</f>
        <v>0</v>
      </c>
      <c r="BG8" s="106">
        <f>COUNTIFS('2023년 신조차 고장관리 세부현황'!$D:$D,"2022",'2023년 신조차 고장관리 세부현황'!$E:$E,'처리 현황'!$B8,'2023년 신조차 고장관리 세부현황'!$K:$K,'처리 현황'!BG$3)</f>
        <v>0</v>
      </c>
      <c r="BH8" s="133">
        <f>COUNTIFS('2023년 신조차 고장관리 세부현황'!$D:$D,"2022",'2023년 신조차 고장관리 세부현황'!$E:$E,'처리 현황'!$B8,'2023년 신조차 고장관리 세부현황'!$K:$K,BH$2,'2023년 신조차 고장관리 세부현황'!$S:$S,"단품불량")</f>
        <v>0</v>
      </c>
      <c r="BI8" s="106">
        <f t="shared" si="4"/>
        <v>0</v>
      </c>
      <c r="BJ8">
        <f>COUNTIFS('2023년 신조차 고장관리 세부현황'!$D:$D,"2022",'2023년 신조차 고장관리 세부현황'!$E:$E,'처리 현황'!$B8,'2023년 신조차 고장관리 세부현황'!$BC:$BC,"완료",'2023년 신조차 고장관리 세부현황'!$CY:$CY,BJ$3)</f>
        <v>0</v>
      </c>
      <c r="BK8">
        <f>COUNTIFS('2023년 신조차 고장관리 세부현황'!$D:$D,"2022",'2023년 신조차 고장관리 세부현황'!$E:$E,'처리 현황'!$B8,'2023년 신조차 고장관리 세부현황'!$BC:$BC,"완료",'2023년 신조차 고장관리 세부현황'!$CY:$CY,BK$3)</f>
        <v>0</v>
      </c>
      <c r="BL8">
        <f>COUNTIFS('2023년 신조차 고장관리 세부현황'!$D:$D,"2022",'2023년 신조차 고장관리 세부현황'!$E:$E,'처리 현황'!$B8,'2023년 신조차 고장관리 세부현황'!$BC:$BC,"완료",'2023년 신조차 고장관리 세부현황'!$CY:$CY,BL$3)</f>
        <v>0</v>
      </c>
      <c r="BM8">
        <f>COUNTIFS('2023년 신조차 고장관리 세부현황'!$D:$D,"2022",'2023년 신조차 고장관리 세부현황'!$E:$E,'처리 현황'!$B8,'2023년 신조차 고장관리 세부현황'!$BC:$BC,"완료",'2023년 신조차 고장관리 세부현황'!$CY:$CY,BM$3)</f>
        <v>0</v>
      </c>
      <c r="BN8">
        <f>COUNTIFS('2023년 신조차 고장관리 세부현황'!$D:$D,"2022",'2023년 신조차 고장관리 세부현황'!$E:$E,'처리 현황'!$B8,'2023년 신조차 고장관리 세부현황'!$BC:$BC,"완료",'2023년 신조차 고장관리 세부현황'!$CY:$CY,BN$3)</f>
        <v>0</v>
      </c>
      <c r="BO8">
        <f>COUNTIFS('2023년 신조차 고장관리 세부현황'!$D:$D,"2022",'2023년 신조차 고장관리 세부현황'!$E:$E,'처리 현황'!$B8,'2023년 신조차 고장관리 세부현황'!$BC:$BC,"완료",'2023년 신조차 고장관리 세부현황'!$CY:$CY,BO$3)</f>
        <v>0</v>
      </c>
      <c r="BP8">
        <f>COUNTIFS('2023년 신조차 고장관리 세부현황'!$D:$D,"2022",'2023년 신조차 고장관리 세부현황'!$E:$E,'처리 현황'!$B8,'2023년 신조차 고장관리 세부현황'!$BC:$BC,"완료",'2023년 신조차 고장관리 세부현황'!$CY:$CY,BP$3)</f>
        <v>0</v>
      </c>
    </row>
    <row r="9" spans="1:86" x14ac:dyDescent="0.4">
      <c r="A9" s="378"/>
      <c r="B9" s="104">
        <v>6</v>
      </c>
      <c r="C9" s="109" t="s">
        <v>207</v>
      </c>
      <c r="D9" s="104">
        <f>COUNTIFS('2023년 신조차 고장관리 세부현황'!$D:$D,"2022",'2023년 신조차 고장관리 세부현황'!$E:$E,'처리 현황'!$B9)</f>
        <v>0</v>
      </c>
      <c r="E9" s="104">
        <f>COUNTIFS('2023년 신조차 고장관리 세부현황'!$D:$D,"2022",'2023년 신조차 고장관리 세부현황'!$E:$E,'처리 현황'!$B9,'2023년 신조차 고장관리 세부현황'!$T:$T,'처리 현황'!E$3)</f>
        <v>0</v>
      </c>
      <c r="F9" s="104">
        <f>COUNTIFS('2023년 신조차 고장관리 세부현황'!$D:$D,"2022",'2023년 신조차 고장관리 세부현황'!$E:$E,'처리 현황'!$B9,'2023년 신조차 고장관리 세부현황'!$T:$T,'처리 현황'!F$3)</f>
        <v>0</v>
      </c>
      <c r="G9" s="104">
        <f>COUNTIFS('2023년 신조차 고장관리 세부현황'!$D:$D,"2022",'2023년 신조차 고장관리 세부현황'!$E:$E,'처리 현황'!$B9,'2023년 신조차 고장관리 세부현황'!$T:$T,'처리 현황'!G$3)</f>
        <v>0</v>
      </c>
      <c r="H9" s="104">
        <f>COUNTIFS('2023년 신조차 고장관리 세부현황'!$D:$D,"2022",'2023년 신조차 고장관리 세부현황'!$E:$E,'처리 현황'!$B9,'2023년 신조차 고장관리 세부현황'!$T:$T,'처리 현황'!H$3)</f>
        <v>0</v>
      </c>
      <c r="I9" s="104">
        <f>COUNTIFS('2023년 신조차 고장관리 세부현황'!$D:$D,"2022",'2023년 신조차 고장관리 세부현황'!$E:$E,'처리 현황'!$B9,'2023년 신조차 고장관리 세부현황'!$T:$T,'처리 현황'!I$3)</f>
        <v>0</v>
      </c>
      <c r="J9" s="119">
        <f>COUNTIFS('2023년 신조차 고장관리 세부현황'!$D:$D,"2022",'2023년 신조차 고장관리 세부현황'!$E:$E,'처리 현황'!$B9,'2023년 신조차 고장관리 세부현황'!$J:$J,'처리 현황'!J$3)</f>
        <v>0</v>
      </c>
      <c r="K9" s="104">
        <f>COUNTIFS('2023년 신조차 고장관리 세부현황'!$D:$D,"2022",'2023년 신조차 고장관리 세부현황'!$E:$E,'처리 현황'!$B9,'2023년 신조차 고장관리 세부현황'!$J:$J,'처리 현황'!K$3)</f>
        <v>0</v>
      </c>
      <c r="L9" s="104">
        <f>COUNTIFS('2023년 신조차 고장관리 세부현황'!$D:$D,"2022",'2023년 신조차 고장관리 세부현황'!$E:$E,'처리 현황'!$B9,'2023년 신조차 고장관리 세부현황'!$J:$J,'처리 현황'!L$3)</f>
        <v>0</v>
      </c>
      <c r="M9" s="104">
        <f>COUNTIFS('2023년 신조차 고장관리 세부현황'!$D:$D,"2022",'2023년 신조차 고장관리 세부현황'!$E:$E,'처리 현황'!$B9,'2023년 신조차 고장관리 세부현황'!$J:$J,'처리 현황'!M$3)</f>
        <v>0</v>
      </c>
      <c r="N9" s="104">
        <f>COUNTIFS('2023년 신조차 고장관리 세부현황'!$D:$D,"2022",'2023년 신조차 고장관리 세부현황'!$E:$E,'처리 현황'!$B9,'2023년 신조차 고장관리 세부현황'!$J:$J,'처리 현황'!N$3)</f>
        <v>0</v>
      </c>
      <c r="O9" s="119">
        <f>COUNTIFS('2023년 신조차 고장관리 세부현황'!$D:$D,"2022",'2023년 신조차 고장관리 세부현황'!$E:$E,'처리 현황'!$B9,'2023년 신조차 고장관리 세부현황'!$L:$L,'처리 현황'!O$3)</f>
        <v>0</v>
      </c>
      <c r="P9" s="106">
        <f>COUNTIFS('2023년 신조차 고장관리 세부현황'!$D:$D,"2022",'2023년 신조차 고장관리 세부현황'!$E:$E,'처리 현황'!$B9,'2023년 신조차 고장관리 세부현황'!$L:$L,'처리 현황'!P$3)</f>
        <v>0</v>
      </c>
      <c r="Q9" s="106">
        <f>COUNTIFS('2023년 신조차 고장관리 세부현황'!$D:$D,"2022",'2023년 신조차 고장관리 세부현황'!$E:$E,'처리 현황'!$B9,'2023년 신조차 고장관리 세부현황'!$L:$L,'처리 현황'!Q$3)</f>
        <v>0</v>
      </c>
      <c r="R9" s="106">
        <f>COUNTIFS('2023년 신조차 고장관리 세부현황'!$D:$D,"2022",'2023년 신조차 고장관리 세부현황'!$E:$E,'처리 현황'!$B9,'2023년 신조차 고장관리 세부현황'!$L:$L,'처리 현황'!R$3)</f>
        <v>0</v>
      </c>
      <c r="S9" s="106">
        <f>COUNTIFS('2023년 신조차 고장관리 세부현황'!$D:$D,"2022",'2023년 신조차 고장관리 세부현황'!$E:$E,'처리 현황'!$B9,'2023년 신조차 고장관리 세부현황'!$L:$L,'처리 현황'!S$3)</f>
        <v>0</v>
      </c>
      <c r="T9" s="106">
        <f>COUNTIFS('2023년 신조차 고장관리 세부현황'!$D:$D,"2022",'2023년 신조차 고장관리 세부현황'!$E:$E,'처리 현황'!$B9,'2023년 신조차 고장관리 세부현황'!$L:$L,'처리 현황'!T$3)</f>
        <v>0</v>
      </c>
      <c r="U9" s="125">
        <f t="shared" si="0"/>
        <v>0</v>
      </c>
      <c r="V9" s="106">
        <f>COUNTIFS('2023년 신조차 고장관리 세부현황'!$D:$D,"2022",'2023년 신조차 고장관리 세부현황'!$E:$E,'처리 현황'!$B9,'2023년 신조차 고장관리 세부현황'!$K:$K,'처리 현황'!V$3)</f>
        <v>0</v>
      </c>
      <c r="W9" s="133">
        <f>COUNTIFS('2023년 신조차 고장관리 세부현황'!$D:$D,"2022",'2023년 신조차 고장관리 세부현황'!$E:$E,'처리 현황'!$B9,'2023년 신조차 고장관리 세부현황'!$K:$K,W$2,'2023년 신조차 고장관리 세부현황'!$S:$S,"단품불량")</f>
        <v>0</v>
      </c>
      <c r="X9" s="106">
        <f>COUNTIFS('2023년 신조차 고장관리 세부현황'!$D:$D,"2022",'2023년 신조차 고장관리 세부현황'!$E:$E,'처리 현황'!$B9,'2023년 신조차 고장관리 세부현황'!$K:$K,'처리 현황'!X$3)</f>
        <v>0</v>
      </c>
      <c r="Y9" s="133">
        <f>COUNTIFS('2023년 신조차 고장관리 세부현황'!$D:$D,"2022",'2023년 신조차 고장관리 세부현황'!$E:$E,'처리 현황'!$B9,'2023년 신조차 고장관리 세부현황'!$K:$K,Y$2,'2023년 신조차 고장관리 세부현황'!$S:$S,"단품불량")</f>
        <v>0</v>
      </c>
      <c r="Z9" s="106">
        <f t="shared" si="1"/>
        <v>0</v>
      </c>
      <c r="AD9">
        <v>6</v>
      </c>
      <c r="AE9">
        <v>0</v>
      </c>
      <c r="AH9" s="378"/>
      <c r="AI9" s="104">
        <v>6</v>
      </c>
      <c r="AJ9" s="109" t="s">
        <v>207</v>
      </c>
      <c r="AK9" s="109">
        <v>0</v>
      </c>
      <c r="AL9" s="104">
        <f>COUNTIFS('2023년 신조차 고장관리 세부현황'!$D:$D,"2022",'2023년 신조차 고장관리 세부현황'!$E:$E,'처리 현황'!$B9)</f>
        <v>0</v>
      </c>
      <c r="AM9" s="104">
        <f>COUNTIFS('2023년 신조차 고장관리 세부현황'!$D:$D,"2022",'2023년 신조차 고장관리 세부현황'!$E:$E,'처리 현황'!$B9,'2023년 신조차 고장관리 세부현황'!$V:$V,'처리 현황'!AM$3)</f>
        <v>0</v>
      </c>
      <c r="AN9" s="104">
        <f>COUNTIFS('2023년 신조차 고장관리 세부현황'!$D:$D,"2022",'2023년 신조차 고장관리 세부현황'!$E:$E,'처리 현황'!$B9,'2023년 신조차 고장관리 세부현황'!$V:$V,'처리 현황'!AN$3)</f>
        <v>0</v>
      </c>
      <c r="AO9" s="104">
        <f>COUNTIFS('2023년 신조차 고장관리 세부현황'!$D:$D,"2022",'2023년 신조차 고장관리 세부현황'!$E:$E,'처리 현황'!$B9,'2023년 신조차 고장관리 세부현황'!$V:$V,'처리 현황'!AO$3)</f>
        <v>0</v>
      </c>
      <c r="AP9" s="104">
        <f>COUNTIFS('2023년 신조차 고장관리 세부현황'!$D:$D,"2022",'2023년 신조차 고장관리 세부현황'!$E:$E,'처리 현황'!$B9,'2023년 신조차 고장관리 세부현황'!$V:$V,'처리 현황'!AP$3)</f>
        <v>0</v>
      </c>
      <c r="AQ9" s="104">
        <f>COUNTIFS('2023년 신조차 고장관리 세부현황'!$D:$D,"2022",'2023년 신조차 고장관리 세부현황'!$E:$E,'처리 현황'!$B9,'2023년 신조차 고장관리 세부현황'!$V:$V,'처리 현황'!AQ$3)</f>
        <v>0</v>
      </c>
      <c r="AR9" s="190">
        <f t="shared" si="2"/>
        <v>0</v>
      </c>
      <c r="AS9" s="119">
        <f>COUNTIFS('2023년 신조차 고장관리 세부현황'!$D:$D,"2022",'2023년 신조차 고장관리 세부현황'!$E:$E,'처리 현황'!$B9,'2023년 신조차 고장관리 세부현황'!$J:$J,'처리 현황'!AS$3)</f>
        <v>0</v>
      </c>
      <c r="AT9" s="104">
        <f>COUNTIFS('2023년 신조차 고장관리 세부현황'!$D:$D,"2022",'2023년 신조차 고장관리 세부현황'!$E:$E,'처리 현황'!$B9,'2023년 신조차 고장관리 세부현황'!$J:$J,'처리 현황'!AT$3)</f>
        <v>0</v>
      </c>
      <c r="AU9" s="104">
        <f>COUNTIFS('2023년 신조차 고장관리 세부현황'!$D:$D,"2022",'2023년 신조차 고장관리 세부현황'!$E:$E,'처리 현황'!$B9,'2023년 신조차 고장관리 세부현황'!$J:$J,'처리 현황'!AU$3)</f>
        <v>0</v>
      </c>
      <c r="AV9" s="104">
        <f>COUNTIFS('2023년 신조차 고장관리 세부현황'!$D:$D,"2022",'2023년 신조차 고장관리 세부현황'!$E:$E,'처리 현황'!$B9,'2023년 신조차 고장관리 세부현황'!$J:$J,'처리 현황'!AV$3)</f>
        <v>0</v>
      </c>
      <c r="AW9" s="104">
        <f>COUNTIFS('2023년 신조차 고장관리 세부현황'!$D:$D,"2022",'2023년 신조차 고장관리 세부현황'!$E:$E,'처리 현황'!$B9,'2023년 신조차 고장관리 세부현황'!$J:$J,'처리 현황'!AW$3)</f>
        <v>0</v>
      </c>
      <c r="AX9" s="119">
        <f>COUNTIFS('2023년 신조차 고장관리 세부현황'!$D:$D,"2022",'2023년 신조차 고장관리 세부현황'!$E:$E,'처리 현황'!$B9,'2023년 신조차 고장관리 세부현황'!$L:$L,'처리 현황'!AX$3)</f>
        <v>0</v>
      </c>
      <c r="AY9" s="106">
        <f>COUNTIFS('2023년 신조차 고장관리 세부현황'!$D:$D,"2022",'2023년 신조차 고장관리 세부현황'!$E:$E,'처리 현황'!$B9,'2023년 신조차 고장관리 세부현황'!$L:$L,'처리 현황'!AY$3)</f>
        <v>0</v>
      </c>
      <c r="AZ9" s="106">
        <f>COUNTIFS('2023년 신조차 고장관리 세부현황'!$D:$D,"2022",'2023년 신조차 고장관리 세부현황'!$E:$E,'처리 현황'!$B9,'2023년 신조차 고장관리 세부현황'!$L:$L,'처리 현황'!AZ$3)</f>
        <v>0</v>
      </c>
      <c r="BA9" s="106">
        <f>COUNTIFS('2023년 신조차 고장관리 세부현황'!$D:$D,"2022",'2023년 신조차 고장관리 세부현황'!$E:$E,'처리 현황'!$B9,'2023년 신조차 고장관리 세부현황'!$L:$L,'처리 현황'!BA$3)</f>
        <v>0</v>
      </c>
      <c r="BB9" s="106">
        <f>COUNTIFS('2023년 신조차 고장관리 세부현황'!$D:$D,"2022",'2023년 신조차 고장관리 세부현황'!$E:$E,'처리 현황'!$B9,'2023년 신조차 고장관리 세부현황'!$L:$L,'처리 현황'!BB$3)</f>
        <v>0</v>
      </c>
      <c r="BC9" s="106">
        <f>COUNTIFS('2023년 신조차 고장관리 세부현황'!$D:$D,"2022",'2023년 신조차 고장관리 세부현황'!$E:$E,'처리 현황'!$B9,'2023년 신조차 고장관리 세부현황'!$L:$L,'처리 현황'!BC$3)</f>
        <v>0</v>
      </c>
      <c r="BD9" s="106">
        <f t="shared" si="3"/>
        <v>0</v>
      </c>
      <c r="BE9" s="119">
        <f>COUNTIFS('2023년 신조차 고장관리 세부현황'!$D:$D,"2022",'2023년 신조차 고장관리 세부현황'!$E:$E,'처리 현황'!$B9,'2023년 신조차 고장관리 세부현황'!$K:$K,'처리 현황'!BE$3)</f>
        <v>0</v>
      </c>
      <c r="BF9" s="133">
        <f>COUNTIFS('2023년 신조차 고장관리 세부현황'!$D:$D,"2022",'2023년 신조차 고장관리 세부현황'!$E:$E,'처리 현황'!$B9,'2023년 신조차 고장관리 세부현황'!$K:$K,BF$2,'2023년 신조차 고장관리 세부현황'!$S:$S,"단품불량")</f>
        <v>0</v>
      </c>
      <c r="BG9" s="106">
        <f>COUNTIFS('2023년 신조차 고장관리 세부현황'!$D:$D,"2022",'2023년 신조차 고장관리 세부현황'!$E:$E,'처리 현황'!$B9,'2023년 신조차 고장관리 세부현황'!$K:$K,'처리 현황'!BG$3)</f>
        <v>0</v>
      </c>
      <c r="BH9" s="133">
        <f>COUNTIFS('2023년 신조차 고장관리 세부현황'!$D:$D,"2022",'2023년 신조차 고장관리 세부현황'!$E:$E,'처리 현황'!$B9,'2023년 신조차 고장관리 세부현황'!$K:$K,BH$2,'2023년 신조차 고장관리 세부현황'!$S:$S,"단품불량")</f>
        <v>0</v>
      </c>
      <c r="BI9" s="106">
        <f t="shared" si="4"/>
        <v>0</v>
      </c>
      <c r="BJ9">
        <f>COUNTIFS('2023년 신조차 고장관리 세부현황'!$D:$D,"2022",'2023년 신조차 고장관리 세부현황'!$E:$E,'처리 현황'!$B9,'2023년 신조차 고장관리 세부현황'!$BC:$BC,"완료",'2023년 신조차 고장관리 세부현황'!$CY:$CY,BJ$3)</f>
        <v>0</v>
      </c>
      <c r="BK9">
        <f>COUNTIFS('2023년 신조차 고장관리 세부현황'!$D:$D,"2022",'2023년 신조차 고장관리 세부현황'!$E:$E,'처리 현황'!$B9,'2023년 신조차 고장관리 세부현황'!$BC:$BC,"완료",'2023년 신조차 고장관리 세부현황'!$CY:$CY,BK$3)</f>
        <v>0</v>
      </c>
      <c r="BL9">
        <f>COUNTIFS('2023년 신조차 고장관리 세부현황'!$D:$D,"2022",'2023년 신조차 고장관리 세부현황'!$E:$E,'처리 현황'!$B9,'2023년 신조차 고장관리 세부현황'!$BC:$BC,"완료",'2023년 신조차 고장관리 세부현황'!$CY:$CY,BL$3)</f>
        <v>0</v>
      </c>
      <c r="BM9">
        <f>COUNTIFS('2023년 신조차 고장관리 세부현황'!$D:$D,"2022",'2023년 신조차 고장관리 세부현황'!$E:$E,'처리 현황'!$B9,'2023년 신조차 고장관리 세부현황'!$BC:$BC,"완료",'2023년 신조차 고장관리 세부현황'!$CY:$CY,BM$3)</f>
        <v>0</v>
      </c>
      <c r="BN9">
        <f>COUNTIFS('2023년 신조차 고장관리 세부현황'!$D:$D,"2022",'2023년 신조차 고장관리 세부현황'!$E:$E,'처리 현황'!$B9,'2023년 신조차 고장관리 세부현황'!$BC:$BC,"완료",'2023년 신조차 고장관리 세부현황'!$CY:$CY,BN$3)</f>
        <v>0</v>
      </c>
      <c r="BO9">
        <f>COUNTIFS('2023년 신조차 고장관리 세부현황'!$D:$D,"2022",'2023년 신조차 고장관리 세부현황'!$E:$E,'처리 현황'!$B9,'2023년 신조차 고장관리 세부현황'!$BC:$BC,"완료",'2023년 신조차 고장관리 세부현황'!$CY:$CY,BO$3)</f>
        <v>0</v>
      </c>
      <c r="BP9">
        <f>COUNTIFS('2023년 신조차 고장관리 세부현황'!$D:$D,"2022",'2023년 신조차 고장관리 세부현황'!$E:$E,'처리 현황'!$B9,'2023년 신조차 고장관리 세부현황'!$BC:$BC,"완료",'2023년 신조차 고장관리 세부현황'!$CY:$CY,BP$3)</f>
        <v>0</v>
      </c>
    </row>
    <row r="10" spans="1:86" x14ac:dyDescent="0.4">
      <c r="A10" s="378"/>
      <c r="B10" s="104">
        <v>7</v>
      </c>
      <c r="C10" s="109" t="s">
        <v>200</v>
      </c>
      <c r="D10" s="104">
        <f>COUNTIFS('2023년 신조차 고장관리 세부현황'!$D:$D,"2022",'2023년 신조차 고장관리 세부현황'!$E:$E,'처리 현황'!$B10)</f>
        <v>0</v>
      </c>
      <c r="E10" s="104">
        <f>COUNTIFS('2023년 신조차 고장관리 세부현황'!$D:$D,"2022",'2023년 신조차 고장관리 세부현황'!$E:$E,'처리 현황'!$B10,'2023년 신조차 고장관리 세부현황'!$T:$T,'처리 현황'!E$3)</f>
        <v>0</v>
      </c>
      <c r="F10" s="104">
        <f>COUNTIFS('2023년 신조차 고장관리 세부현황'!$D:$D,"2022",'2023년 신조차 고장관리 세부현황'!$E:$E,'처리 현황'!$B10,'2023년 신조차 고장관리 세부현황'!$T:$T,'처리 현황'!F$3)</f>
        <v>0</v>
      </c>
      <c r="G10" s="104">
        <f>COUNTIFS('2023년 신조차 고장관리 세부현황'!$D:$D,"2022",'2023년 신조차 고장관리 세부현황'!$E:$E,'처리 현황'!$B10,'2023년 신조차 고장관리 세부현황'!$T:$T,'처리 현황'!G$3)</f>
        <v>0</v>
      </c>
      <c r="H10" s="104">
        <f>COUNTIFS('2023년 신조차 고장관리 세부현황'!$D:$D,"2022",'2023년 신조차 고장관리 세부현황'!$E:$E,'처리 현황'!$B10,'2023년 신조차 고장관리 세부현황'!$T:$T,'처리 현황'!H$3)</f>
        <v>0</v>
      </c>
      <c r="I10" s="104">
        <f>COUNTIFS('2023년 신조차 고장관리 세부현황'!$D:$D,"2022",'2023년 신조차 고장관리 세부현황'!$E:$E,'처리 현황'!$B10,'2023년 신조차 고장관리 세부현황'!$T:$T,'처리 현황'!I$3)</f>
        <v>0</v>
      </c>
      <c r="J10" s="119">
        <f>COUNTIFS('2023년 신조차 고장관리 세부현황'!$D:$D,"2022",'2023년 신조차 고장관리 세부현황'!$E:$E,'처리 현황'!$B10,'2023년 신조차 고장관리 세부현황'!$J:$J,'처리 현황'!J$3)</f>
        <v>0</v>
      </c>
      <c r="K10" s="104">
        <f>COUNTIFS('2023년 신조차 고장관리 세부현황'!$D:$D,"2022",'2023년 신조차 고장관리 세부현황'!$E:$E,'처리 현황'!$B10,'2023년 신조차 고장관리 세부현황'!$J:$J,'처리 현황'!K$3)</f>
        <v>0</v>
      </c>
      <c r="L10" s="104">
        <f>COUNTIFS('2023년 신조차 고장관리 세부현황'!$D:$D,"2022",'2023년 신조차 고장관리 세부현황'!$E:$E,'처리 현황'!$B10,'2023년 신조차 고장관리 세부현황'!$J:$J,'처리 현황'!L$3)</f>
        <v>0</v>
      </c>
      <c r="M10" s="104">
        <f>COUNTIFS('2023년 신조차 고장관리 세부현황'!$D:$D,"2022",'2023년 신조차 고장관리 세부현황'!$E:$E,'처리 현황'!$B10,'2023년 신조차 고장관리 세부현황'!$J:$J,'처리 현황'!M$3)</f>
        <v>0</v>
      </c>
      <c r="N10" s="104">
        <f>COUNTIFS('2023년 신조차 고장관리 세부현황'!$D:$D,"2022",'2023년 신조차 고장관리 세부현황'!$E:$E,'처리 현황'!$B10,'2023년 신조차 고장관리 세부현황'!$J:$J,'처리 현황'!N$3)</f>
        <v>0</v>
      </c>
      <c r="O10" s="119">
        <f>COUNTIFS('2023년 신조차 고장관리 세부현황'!$D:$D,"2022",'2023년 신조차 고장관리 세부현황'!$E:$E,'처리 현황'!$B10,'2023년 신조차 고장관리 세부현황'!$L:$L,'처리 현황'!O$3)</f>
        <v>0</v>
      </c>
      <c r="P10" s="106">
        <f>COUNTIFS('2023년 신조차 고장관리 세부현황'!$D:$D,"2022",'2023년 신조차 고장관리 세부현황'!$E:$E,'처리 현황'!$B10,'2023년 신조차 고장관리 세부현황'!$L:$L,'처리 현황'!P$3)</f>
        <v>0</v>
      </c>
      <c r="Q10" s="106">
        <f>COUNTIFS('2023년 신조차 고장관리 세부현황'!$D:$D,"2022",'2023년 신조차 고장관리 세부현황'!$E:$E,'처리 현황'!$B10,'2023년 신조차 고장관리 세부현황'!$L:$L,'처리 현황'!Q$3)</f>
        <v>0</v>
      </c>
      <c r="R10" s="106">
        <f>COUNTIFS('2023년 신조차 고장관리 세부현황'!$D:$D,"2022",'2023년 신조차 고장관리 세부현황'!$E:$E,'처리 현황'!$B10,'2023년 신조차 고장관리 세부현황'!$L:$L,'처리 현황'!R$3)</f>
        <v>0</v>
      </c>
      <c r="S10" s="106">
        <f>COUNTIFS('2023년 신조차 고장관리 세부현황'!$D:$D,"2022",'2023년 신조차 고장관리 세부현황'!$E:$E,'처리 현황'!$B10,'2023년 신조차 고장관리 세부현황'!$L:$L,'처리 현황'!S$3)</f>
        <v>0</v>
      </c>
      <c r="T10" s="106">
        <f>COUNTIFS('2023년 신조차 고장관리 세부현황'!$D:$D,"2022",'2023년 신조차 고장관리 세부현황'!$E:$E,'처리 현황'!$B10,'2023년 신조차 고장관리 세부현황'!$L:$L,'처리 현황'!T$3)</f>
        <v>0</v>
      </c>
      <c r="U10" s="125">
        <f t="shared" si="0"/>
        <v>0</v>
      </c>
      <c r="V10" s="106">
        <f>COUNTIFS('2023년 신조차 고장관리 세부현황'!$D:$D,"2022",'2023년 신조차 고장관리 세부현황'!$E:$E,'처리 현황'!$B10,'2023년 신조차 고장관리 세부현황'!$K:$K,'처리 현황'!V$3)</f>
        <v>0</v>
      </c>
      <c r="W10" s="133">
        <f>COUNTIFS('2023년 신조차 고장관리 세부현황'!$D:$D,"2022",'2023년 신조차 고장관리 세부현황'!$E:$E,'처리 현황'!$B10,'2023년 신조차 고장관리 세부현황'!$K:$K,W$2,'2023년 신조차 고장관리 세부현황'!$S:$S,"단품불량")</f>
        <v>0</v>
      </c>
      <c r="X10" s="106">
        <f>COUNTIFS('2023년 신조차 고장관리 세부현황'!$D:$D,"2022",'2023년 신조차 고장관리 세부현황'!$E:$E,'처리 현황'!$B10,'2023년 신조차 고장관리 세부현황'!$K:$K,'처리 현황'!X$3)</f>
        <v>0</v>
      </c>
      <c r="Y10" s="133">
        <f>COUNTIFS('2023년 신조차 고장관리 세부현황'!$D:$D,"2022",'2023년 신조차 고장관리 세부현황'!$E:$E,'처리 현황'!$B10,'2023년 신조차 고장관리 세부현황'!$K:$K,Y$2,'2023년 신조차 고장관리 세부현황'!$S:$S,"단품불량")</f>
        <v>0</v>
      </c>
      <c r="Z10" s="106">
        <f t="shared" si="1"/>
        <v>0</v>
      </c>
      <c r="AD10">
        <v>7</v>
      </c>
      <c r="AE10">
        <v>0</v>
      </c>
      <c r="AH10" s="378"/>
      <c r="AI10" s="104">
        <v>7</v>
      </c>
      <c r="AJ10" s="109" t="s">
        <v>200</v>
      </c>
      <c r="AK10" s="109">
        <v>0</v>
      </c>
      <c r="AL10" s="104">
        <f>COUNTIFS('2023년 신조차 고장관리 세부현황'!$D:$D,"2022",'2023년 신조차 고장관리 세부현황'!$E:$E,'처리 현황'!$B10)</f>
        <v>0</v>
      </c>
      <c r="AM10" s="104">
        <f>COUNTIFS('2023년 신조차 고장관리 세부현황'!$D:$D,"2022",'2023년 신조차 고장관리 세부현황'!$E:$E,'처리 현황'!$B10,'2023년 신조차 고장관리 세부현황'!$V:$V,'처리 현황'!AM$3)</f>
        <v>0</v>
      </c>
      <c r="AN10" s="104">
        <f>COUNTIFS('2023년 신조차 고장관리 세부현황'!$D:$D,"2022",'2023년 신조차 고장관리 세부현황'!$E:$E,'처리 현황'!$B10,'2023년 신조차 고장관리 세부현황'!$V:$V,'처리 현황'!AN$3)</f>
        <v>0</v>
      </c>
      <c r="AO10" s="104">
        <f>COUNTIFS('2023년 신조차 고장관리 세부현황'!$D:$D,"2022",'2023년 신조차 고장관리 세부현황'!$E:$E,'처리 현황'!$B10,'2023년 신조차 고장관리 세부현황'!$V:$V,'처리 현황'!AO$3)</f>
        <v>0</v>
      </c>
      <c r="AP10" s="104">
        <f>COUNTIFS('2023년 신조차 고장관리 세부현황'!$D:$D,"2022",'2023년 신조차 고장관리 세부현황'!$E:$E,'처리 현황'!$B10,'2023년 신조차 고장관리 세부현황'!$V:$V,'처리 현황'!AP$3)</f>
        <v>0</v>
      </c>
      <c r="AQ10" s="104">
        <f>COUNTIFS('2023년 신조차 고장관리 세부현황'!$D:$D,"2022",'2023년 신조차 고장관리 세부현황'!$E:$E,'처리 현황'!$B10,'2023년 신조차 고장관리 세부현황'!$V:$V,'처리 현황'!AQ$3)</f>
        <v>0</v>
      </c>
      <c r="AR10" s="190">
        <f t="shared" si="2"/>
        <v>0</v>
      </c>
      <c r="AS10" s="119">
        <f>COUNTIFS('2023년 신조차 고장관리 세부현황'!$D:$D,"2022",'2023년 신조차 고장관리 세부현황'!$E:$E,'처리 현황'!$B10,'2023년 신조차 고장관리 세부현황'!$J:$J,'처리 현황'!AS$3)</f>
        <v>0</v>
      </c>
      <c r="AT10" s="104">
        <f>COUNTIFS('2023년 신조차 고장관리 세부현황'!$D:$D,"2022",'2023년 신조차 고장관리 세부현황'!$E:$E,'처리 현황'!$B10,'2023년 신조차 고장관리 세부현황'!$J:$J,'처리 현황'!AT$3)</f>
        <v>0</v>
      </c>
      <c r="AU10" s="104">
        <f>COUNTIFS('2023년 신조차 고장관리 세부현황'!$D:$D,"2022",'2023년 신조차 고장관리 세부현황'!$E:$E,'처리 현황'!$B10,'2023년 신조차 고장관리 세부현황'!$J:$J,'처리 현황'!AU$3)</f>
        <v>0</v>
      </c>
      <c r="AV10" s="104">
        <f>COUNTIFS('2023년 신조차 고장관리 세부현황'!$D:$D,"2022",'2023년 신조차 고장관리 세부현황'!$E:$E,'처리 현황'!$B10,'2023년 신조차 고장관리 세부현황'!$J:$J,'처리 현황'!AV$3)</f>
        <v>0</v>
      </c>
      <c r="AW10" s="104">
        <f>COUNTIFS('2023년 신조차 고장관리 세부현황'!$D:$D,"2022",'2023년 신조차 고장관리 세부현황'!$E:$E,'처리 현황'!$B10,'2023년 신조차 고장관리 세부현황'!$J:$J,'처리 현황'!AW$3)</f>
        <v>0</v>
      </c>
      <c r="AX10" s="119">
        <f>COUNTIFS('2023년 신조차 고장관리 세부현황'!$D:$D,"2022",'2023년 신조차 고장관리 세부현황'!$E:$E,'처리 현황'!$B10,'2023년 신조차 고장관리 세부현황'!$L:$L,'처리 현황'!AX$3)</f>
        <v>0</v>
      </c>
      <c r="AY10" s="106">
        <f>COUNTIFS('2023년 신조차 고장관리 세부현황'!$D:$D,"2022",'2023년 신조차 고장관리 세부현황'!$E:$E,'처리 현황'!$B10,'2023년 신조차 고장관리 세부현황'!$L:$L,'처리 현황'!AY$3)</f>
        <v>0</v>
      </c>
      <c r="AZ10" s="106">
        <f>COUNTIFS('2023년 신조차 고장관리 세부현황'!$D:$D,"2022",'2023년 신조차 고장관리 세부현황'!$E:$E,'처리 현황'!$B10,'2023년 신조차 고장관리 세부현황'!$L:$L,'처리 현황'!AZ$3)</f>
        <v>0</v>
      </c>
      <c r="BA10" s="106">
        <f>COUNTIFS('2023년 신조차 고장관리 세부현황'!$D:$D,"2022",'2023년 신조차 고장관리 세부현황'!$E:$E,'처리 현황'!$B10,'2023년 신조차 고장관리 세부현황'!$L:$L,'처리 현황'!BA$3)</f>
        <v>0</v>
      </c>
      <c r="BB10" s="106">
        <f>COUNTIFS('2023년 신조차 고장관리 세부현황'!$D:$D,"2022",'2023년 신조차 고장관리 세부현황'!$E:$E,'처리 현황'!$B10,'2023년 신조차 고장관리 세부현황'!$L:$L,'처리 현황'!BB$3)</f>
        <v>0</v>
      </c>
      <c r="BC10" s="106">
        <f>COUNTIFS('2023년 신조차 고장관리 세부현황'!$D:$D,"2022",'2023년 신조차 고장관리 세부현황'!$E:$E,'처리 현황'!$B10,'2023년 신조차 고장관리 세부현황'!$L:$L,'처리 현황'!BC$3)</f>
        <v>0</v>
      </c>
      <c r="BD10" s="106">
        <f t="shared" si="3"/>
        <v>0</v>
      </c>
      <c r="BE10" s="119">
        <f>COUNTIFS('2023년 신조차 고장관리 세부현황'!$D:$D,"2022",'2023년 신조차 고장관리 세부현황'!$E:$E,'처리 현황'!$B10,'2023년 신조차 고장관리 세부현황'!$K:$K,'처리 현황'!BE$3)</f>
        <v>0</v>
      </c>
      <c r="BF10" s="133">
        <f>COUNTIFS('2023년 신조차 고장관리 세부현황'!$D:$D,"2022",'2023년 신조차 고장관리 세부현황'!$E:$E,'처리 현황'!$B10,'2023년 신조차 고장관리 세부현황'!$K:$K,BF$2,'2023년 신조차 고장관리 세부현황'!$S:$S,"단품불량")</f>
        <v>0</v>
      </c>
      <c r="BG10" s="106">
        <f>COUNTIFS('2023년 신조차 고장관리 세부현황'!$D:$D,"2022",'2023년 신조차 고장관리 세부현황'!$E:$E,'처리 현황'!$B10,'2023년 신조차 고장관리 세부현황'!$K:$K,'처리 현황'!BG$3)</f>
        <v>0</v>
      </c>
      <c r="BH10" s="133">
        <f>COUNTIFS('2023년 신조차 고장관리 세부현황'!$D:$D,"2022",'2023년 신조차 고장관리 세부현황'!$E:$E,'처리 현황'!$B10,'2023년 신조차 고장관리 세부현황'!$K:$K,BH$2,'2023년 신조차 고장관리 세부현황'!$S:$S,"단품불량")</f>
        <v>0</v>
      </c>
      <c r="BI10" s="106">
        <f t="shared" si="4"/>
        <v>0</v>
      </c>
      <c r="BJ10">
        <f>COUNTIFS('2023년 신조차 고장관리 세부현황'!$D:$D,"2022",'2023년 신조차 고장관리 세부현황'!$E:$E,'처리 현황'!$B10,'2023년 신조차 고장관리 세부현황'!$BC:$BC,"완료",'2023년 신조차 고장관리 세부현황'!$CY:$CY,BJ$3)</f>
        <v>0</v>
      </c>
      <c r="BK10">
        <f>COUNTIFS('2023년 신조차 고장관리 세부현황'!$D:$D,"2022",'2023년 신조차 고장관리 세부현황'!$E:$E,'처리 현황'!$B10,'2023년 신조차 고장관리 세부현황'!$BC:$BC,"완료",'2023년 신조차 고장관리 세부현황'!$CY:$CY,BK$3)</f>
        <v>0</v>
      </c>
      <c r="BL10">
        <f>COUNTIFS('2023년 신조차 고장관리 세부현황'!$D:$D,"2022",'2023년 신조차 고장관리 세부현황'!$E:$E,'처리 현황'!$B10,'2023년 신조차 고장관리 세부현황'!$BC:$BC,"완료",'2023년 신조차 고장관리 세부현황'!$CY:$CY,BL$3)</f>
        <v>0</v>
      </c>
      <c r="BM10">
        <f>COUNTIFS('2023년 신조차 고장관리 세부현황'!$D:$D,"2022",'2023년 신조차 고장관리 세부현황'!$E:$E,'처리 현황'!$B10,'2023년 신조차 고장관리 세부현황'!$BC:$BC,"완료",'2023년 신조차 고장관리 세부현황'!$CY:$CY,BM$3)</f>
        <v>0</v>
      </c>
      <c r="BN10">
        <f>COUNTIFS('2023년 신조차 고장관리 세부현황'!$D:$D,"2022",'2023년 신조차 고장관리 세부현황'!$E:$E,'처리 현황'!$B10,'2023년 신조차 고장관리 세부현황'!$BC:$BC,"완료",'2023년 신조차 고장관리 세부현황'!$CY:$CY,BN$3)</f>
        <v>0</v>
      </c>
      <c r="BO10">
        <f>COUNTIFS('2023년 신조차 고장관리 세부현황'!$D:$D,"2022",'2023년 신조차 고장관리 세부현황'!$E:$E,'처리 현황'!$B10,'2023년 신조차 고장관리 세부현황'!$BC:$BC,"완료",'2023년 신조차 고장관리 세부현황'!$CY:$CY,BO$3)</f>
        <v>0</v>
      </c>
      <c r="BP10">
        <f>COUNTIFS('2023년 신조차 고장관리 세부현황'!$D:$D,"2022",'2023년 신조차 고장관리 세부현황'!$E:$E,'처리 현황'!$B10,'2023년 신조차 고장관리 세부현황'!$BC:$BC,"완료",'2023년 신조차 고장관리 세부현황'!$CY:$CY,BP$3)</f>
        <v>0</v>
      </c>
    </row>
    <row r="11" spans="1:86" x14ac:dyDescent="0.4">
      <c r="A11" s="378"/>
      <c r="B11" s="104">
        <v>8</v>
      </c>
      <c r="C11" s="109" t="s">
        <v>201</v>
      </c>
      <c r="D11" s="104">
        <f>COUNTIFS('2023년 신조차 고장관리 세부현황'!$D:$D,"2022",'2023년 신조차 고장관리 세부현황'!$E:$E,'처리 현황'!$B11)</f>
        <v>0</v>
      </c>
      <c r="E11" s="104">
        <f>COUNTIFS('2023년 신조차 고장관리 세부현황'!$D:$D,"2022",'2023년 신조차 고장관리 세부현황'!$E:$E,'처리 현황'!$B11,'2023년 신조차 고장관리 세부현황'!$T:$T,'처리 현황'!E$3)</f>
        <v>0</v>
      </c>
      <c r="F11" s="104">
        <f>COUNTIFS('2023년 신조차 고장관리 세부현황'!$D:$D,"2022",'2023년 신조차 고장관리 세부현황'!$E:$E,'처리 현황'!$B11,'2023년 신조차 고장관리 세부현황'!$T:$T,'처리 현황'!F$3)</f>
        <v>0</v>
      </c>
      <c r="G11" s="104">
        <f>COUNTIFS('2023년 신조차 고장관리 세부현황'!$D:$D,"2022",'2023년 신조차 고장관리 세부현황'!$E:$E,'처리 현황'!$B11,'2023년 신조차 고장관리 세부현황'!$T:$T,'처리 현황'!G$3)</f>
        <v>0</v>
      </c>
      <c r="H11" s="104">
        <f>COUNTIFS('2023년 신조차 고장관리 세부현황'!$D:$D,"2022",'2023년 신조차 고장관리 세부현황'!$E:$E,'처리 현황'!$B11,'2023년 신조차 고장관리 세부현황'!$T:$T,'처리 현황'!H$3)</f>
        <v>0</v>
      </c>
      <c r="I11" s="104">
        <f>COUNTIFS('2023년 신조차 고장관리 세부현황'!$D:$D,"2022",'2023년 신조차 고장관리 세부현황'!$E:$E,'처리 현황'!$B11,'2023년 신조차 고장관리 세부현황'!$T:$T,'처리 현황'!I$3)</f>
        <v>0</v>
      </c>
      <c r="J11" s="119">
        <f>COUNTIFS('2023년 신조차 고장관리 세부현황'!$D:$D,"2022",'2023년 신조차 고장관리 세부현황'!$E:$E,'처리 현황'!$B11,'2023년 신조차 고장관리 세부현황'!$J:$J,'처리 현황'!J$3)</f>
        <v>0</v>
      </c>
      <c r="K11" s="104">
        <f>COUNTIFS('2023년 신조차 고장관리 세부현황'!$D:$D,"2022",'2023년 신조차 고장관리 세부현황'!$E:$E,'처리 현황'!$B11,'2023년 신조차 고장관리 세부현황'!$J:$J,'처리 현황'!K$3)</f>
        <v>0</v>
      </c>
      <c r="L11" s="104">
        <f>COUNTIFS('2023년 신조차 고장관리 세부현황'!$D:$D,"2022",'2023년 신조차 고장관리 세부현황'!$E:$E,'처리 현황'!$B11,'2023년 신조차 고장관리 세부현황'!$J:$J,'처리 현황'!L$3)</f>
        <v>0</v>
      </c>
      <c r="M11" s="104">
        <f>COUNTIFS('2023년 신조차 고장관리 세부현황'!$D:$D,"2022",'2023년 신조차 고장관리 세부현황'!$E:$E,'처리 현황'!$B11,'2023년 신조차 고장관리 세부현황'!$J:$J,'처리 현황'!M$3)</f>
        <v>0</v>
      </c>
      <c r="N11" s="104">
        <f>COUNTIFS('2023년 신조차 고장관리 세부현황'!$D:$D,"2022",'2023년 신조차 고장관리 세부현황'!$E:$E,'처리 현황'!$B11,'2023년 신조차 고장관리 세부현황'!$J:$J,'처리 현황'!N$3)</f>
        <v>0</v>
      </c>
      <c r="O11" s="119">
        <f>COUNTIFS('2023년 신조차 고장관리 세부현황'!$D:$D,"2022",'2023년 신조차 고장관리 세부현황'!$E:$E,'처리 현황'!$B11,'2023년 신조차 고장관리 세부현황'!$L:$L,'처리 현황'!O$3)</f>
        <v>0</v>
      </c>
      <c r="P11" s="106">
        <f>COUNTIFS('2023년 신조차 고장관리 세부현황'!$D:$D,"2022",'2023년 신조차 고장관리 세부현황'!$E:$E,'처리 현황'!$B11,'2023년 신조차 고장관리 세부현황'!$L:$L,'처리 현황'!P$3)</f>
        <v>0</v>
      </c>
      <c r="Q11" s="106">
        <f>COUNTIFS('2023년 신조차 고장관리 세부현황'!$D:$D,"2022",'2023년 신조차 고장관리 세부현황'!$E:$E,'처리 현황'!$B11,'2023년 신조차 고장관리 세부현황'!$L:$L,'처리 현황'!Q$3)</f>
        <v>0</v>
      </c>
      <c r="R11" s="106">
        <f>COUNTIFS('2023년 신조차 고장관리 세부현황'!$D:$D,"2022",'2023년 신조차 고장관리 세부현황'!$E:$E,'처리 현황'!$B11,'2023년 신조차 고장관리 세부현황'!$L:$L,'처리 현황'!R$3)</f>
        <v>0</v>
      </c>
      <c r="S11" s="106">
        <f>COUNTIFS('2023년 신조차 고장관리 세부현황'!$D:$D,"2022",'2023년 신조차 고장관리 세부현황'!$E:$E,'처리 현황'!$B11,'2023년 신조차 고장관리 세부현황'!$L:$L,'처리 현황'!S$3)</f>
        <v>0</v>
      </c>
      <c r="T11" s="106">
        <f>COUNTIFS('2023년 신조차 고장관리 세부현황'!$D:$D,"2022",'2023년 신조차 고장관리 세부현황'!$E:$E,'처리 현황'!$B11,'2023년 신조차 고장관리 세부현황'!$L:$L,'처리 현황'!T$3)</f>
        <v>0</v>
      </c>
      <c r="U11" s="125">
        <f t="shared" si="0"/>
        <v>0</v>
      </c>
      <c r="V11" s="106">
        <f>COUNTIFS('2023년 신조차 고장관리 세부현황'!$D:$D,"2022",'2023년 신조차 고장관리 세부현황'!$E:$E,'처리 현황'!$B11,'2023년 신조차 고장관리 세부현황'!$K:$K,'처리 현황'!V$3)</f>
        <v>0</v>
      </c>
      <c r="W11" s="133">
        <f>COUNTIFS('2023년 신조차 고장관리 세부현황'!$D:$D,"2022",'2023년 신조차 고장관리 세부현황'!$E:$E,'처리 현황'!$B11,'2023년 신조차 고장관리 세부현황'!$K:$K,W$2,'2023년 신조차 고장관리 세부현황'!$S:$S,"단품불량")</f>
        <v>0</v>
      </c>
      <c r="X11" s="106">
        <f>COUNTIFS('2023년 신조차 고장관리 세부현황'!$D:$D,"2022",'2023년 신조차 고장관리 세부현황'!$E:$E,'처리 현황'!$B11,'2023년 신조차 고장관리 세부현황'!$K:$K,'처리 현황'!X$3)</f>
        <v>0</v>
      </c>
      <c r="Y11" s="133">
        <f>COUNTIFS('2023년 신조차 고장관리 세부현황'!$D:$D,"2022",'2023년 신조차 고장관리 세부현황'!$E:$E,'처리 현황'!$B11,'2023년 신조차 고장관리 세부현황'!$K:$K,Y$2,'2023년 신조차 고장관리 세부현황'!$S:$S,"단품불량")</f>
        <v>0</v>
      </c>
      <c r="Z11" s="106">
        <f t="shared" si="1"/>
        <v>0</v>
      </c>
      <c r="AD11">
        <v>8</v>
      </c>
      <c r="AE11">
        <v>0</v>
      </c>
      <c r="AH11" s="378"/>
      <c r="AI11" s="104">
        <v>8</v>
      </c>
      <c r="AJ11" s="109" t="s">
        <v>201</v>
      </c>
      <c r="AK11" s="109">
        <v>0</v>
      </c>
      <c r="AL11" s="104">
        <f>COUNTIFS('2023년 신조차 고장관리 세부현황'!$D:$D,"2022",'2023년 신조차 고장관리 세부현황'!$E:$E,'처리 현황'!$B11)</f>
        <v>0</v>
      </c>
      <c r="AM11" s="104">
        <f>COUNTIFS('2023년 신조차 고장관리 세부현황'!$D:$D,"2022",'2023년 신조차 고장관리 세부현황'!$E:$E,'처리 현황'!$B11,'2023년 신조차 고장관리 세부현황'!$V:$V,'처리 현황'!AM$3)</f>
        <v>0</v>
      </c>
      <c r="AN11" s="104">
        <f>COUNTIFS('2023년 신조차 고장관리 세부현황'!$D:$D,"2022",'2023년 신조차 고장관리 세부현황'!$E:$E,'처리 현황'!$B11,'2023년 신조차 고장관리 세부현황'!$V:$V,'처리 현황'!AN$3)</f>
        <v>0</v>
      </c>
      <c r="AO11" s="104">
        <f>COUNTIFS('2023년 신조차 고장관리 세부현황'!$D:$D,"2022",'2023년 신조차 고장관리 세부현황'!$E:$E,'처리 현황'!$B11,'2023년 신조차 고장관리 세부현황'!$V:$V,'처리 현황'!AO$3)</f>
        <v>0</v>
      </c>
      <c r="AP11" s="104">
        <f>COUNTIFS('2023년 신조차 고장관리 세부현황'!$D:$D,"2022",'2023년 신조차 고장관리 세부현황'!$E:$E,'처리 현황'!$B11,'2023년 신조차 고장관리 세부현황'!$V:$V,'처리 현황'!AP$3)</f>
        <v>0</v>
      </c>
      <c r="AQ11" s="104">
        <f>COUNTIFS('2023년 신조차 고장관리 세부현황'!$D:$D,"2022",'2023년 신조차 고장관리 세부현황'!$E:$E,'처리 현황'!$B11,'2023년 신조차 고장관리 세부현황'!$V:$V,'처리 현황'!AQ$3)</f>
        <v>0</v>
      </c>
      <c r="AR11" s="190">
        <f t="shared" si="2"/>
        <v>0</v>
      </c>
      <c r="AS11" s="119">
        <f>COUNTIFS('2023년 신조차 고장관리 세부현황'!$D:$D,"2022",'2023년 신조차 고장관리 세부현황'!$E:$E,'처리 현황'!$B11,'2023년 신조차 고장관리 세부현황'!$J:$J,'처리 현황'!AS$3)</f>
        <v>0</v>
      </c>
      <c r="AT11" s="104">
        <f>COUNTIFS('2023년 신조차 고장관리 세부현황'!$D:$D,"2022",'2023년 신조차 고장관리 세부현황'!$E:$E,'처리 현황'!$B11,'2023년 신조차 고장관리 세부현황'!$J:$J,'처리 현황'!AT$3)</f>
        <v>0</v>
      </c>
      <c r="AU11" s="104">
        <f>COUNTIFS('2023년 신조차 고장관리 세부현황'!$D:$D,"2022",'2023년 신조차 고장관리 세부현황'!$E:$E,'처리 현황'!$B11,'2023년 신조차 고장관리 세부현황'!$J:$J,'처리 현황'!AU$3)</f>
        <v>0</v>
      </c>
      <c r="AV11" s="104">
        <f>COUNTIFS('2023년 신조차 고장관리 세부현황'!$D:$D,"2022",'2023년 신조차 고장관리 세부현황'!$E:$E,'처리 현황'!$B11,'2023년 신조차 고장관리 세부현황'!$J:$J,'처리 현황'!AV$3)</f>
        <v>0</v>
      </c>
      <c r="AW11" s="104">
        <f>COUNTIFS('2023년 신조차 고장관리 세부현황'!$D:$D,"2022",'2023년 신조차 고장관리 세부현황'!$E:$E,'처리 현황'!$B11,'2023년 신조차 고장관리 세부현황'!$J:$J,'처리 현황'!AW$3)</f>
        <v>0</v>
      </c>
      <c r="AX11" s="119">
        <f>COUNTIFS('2023년 신조차 고장관리 세부현황'!$D:$D,"2022",'2023년 신조차 고장관리 세부현황'!$E:$E,'처리 현황'!$B11,'2023년 신조차 고장관리 세부현황'!$L:$L,'처리 현황'!AX$3)</f>
        <v>0</v>
      </c>
      <c r="AY11" s="106">
        <f>COUNTIFS('2023년 신조차 고장관리 세부현황'!$D:$D,"2022",'2023년 신조차 고장관리 세부현황'!$E:$E,'처리 현황'!$B11,'2023년 신조차 고장관리 세부현황'!$L:$L,'처리 현황'!AY$3)</f>
        <v>0</v>
      </c>
      <c r="AZ11" s="106">
        <f>COUNTIFS('2023년 신조차 고장관리 세부현황'!$D:$D,"2022",'2023년 신조차 고장관리 세부현황'!$E:$E,'처리 현황'!$B11,'2023년 신조차 고장관리 세부현황'!$L:$L,'처리 현황'!AZ$3)</f>
        <v>0</v>
      </c>
      <c r="BA11" s="106">
        <f>COUNTIFS('2023년 신조차 고장관리 세부현황'!$D:$D,"2022",'2023년 신조차 고장관리 세부현황'!$E:$E,'처리 현황'!$B11,'2023년 신조차 고장관리 세부현황'!$L:$L,'처리 현황'!BA$3)</f>
        <v>0</v>
      </c>
      <c r="BB11" s="106">
        <f>COUNTIFS('2023년 신조차 고장관리 세부현황'!$D:$D,"2022",'2023년 신조차 고장관리 세부현황'!$E:$E,'처리 현황'!$B11,'2023년 신조차 고장관리 세부현황'!$L:$L,'처리 현황'!BB$3)</f>
        <v>0</v>
      </c>
      <c r="BC11" s="106">
        <f>COUNTIFS('2023년 신조차 고장관리 세부현황'!$D:$D,"2022",'2023년 신조차 고장관리 세부현황'!$E:$E,'처리 현황'!$B11,'2023년 신조차 고장관리 세부현황'!$L:$L,'처리 현황'!BC$3)</f>
        <v>0</v>
      </c>
      <c r="BD11" s="106">
        <f t="shared" si="3"/>
        <v>0</v>
      </c>
      <c r="BE11" s="119">
        <f>COUNTIFS('2023년 신조차 고장관리 세부현황'!$D:$D,"2022",'2023년 신조차 고장관리 세부현황'!$E:$E,'처리 현황'!$B11,'2023년 신조차 고장관리 세부현황'!$K:$K,'처리 현황'!BE$3)</f>
        <v>0</v>
      </c>
      <c r="BF11" s="133">
        <f>COUNTIFS('2023년 신조차 고장관리 세부현황'!$D:$D,"2022",'2023년 신조차 고장관리 세부현황'!$E:$E,'처리 현황'!$B11,'2023년 신조차 고장관리 세부현황'!$K:$K,BF$2,'2023년 신조차 고장관리 세부현황'!$S:$S,"단품불량")</f>
        <v>0</v>
      </c>
      <c r="BG11" s="106">
        <f>COUNTIFS('2023년 신조차 고장관리 세부현황'!$D:$D,"2022",'2023년 신조차 고장관리 세부현황'!$E:$E,'처리 현황'!$B11,'2023년 신조차 고장관리 세부현황'!$K:$K,'처리 현황'!BG$3)</f>
        <v>0</v>
      </c>
      <c r="BH11" s="133">
        <f>COUNTIFS('2023년 신조차 고장관리 세부현황'!$D:$D,"2022",'2023년 신조차 고장관리 세부현황'!$E:$E,'처리 현황'!$B11,'2023년 신조차 고장관리 세부현황'!$K:$K,BH$2,'2023년 신조차 고장관리 세부현황'!$S:$S,"단품불량")</f>
        <v>0</v>
      </c>
      <c r="BI11" s="106">
        <f t="shared" si="4"/>
        <v>0</v>
      </c>
      <c r="BJ11">
        <f>COUNTIFS('2023년 신조차 고장관리 세부현황'!$D:$D,"2022",'2023년 신조차 고장관리 세부현황'!$E:$E,'처리 현황'!$B11,'2023년 신조차 고장관리 세부현황'!$BC:$BC,"완료",'2023년 신조차 고장관리 세부현황'!$CY:$CY,BJ$3)</f>
        <v>0</v>
      </c>
      <c r="BK11">
        <f>COUNTIFS('2023년 신조차 고장관리 세부현황'!$D:$D,"2022",'2023년 신조차 고장관리 세부현황'!$E:$E,'처리 현황'!$B11,'2023년 신조차 고장관리 세부현황'!$BC:$BC,"완료",'2023년 신조차 고장관리 세부현황'!$CY:$CY,BK$3)</f>
        <v>0</v>
      </c>
      <c r="BL11">
        <f>COUNTIFS('2023년 신조차 고장관리 세부현황'!$D:$D,"2022",'2023년 신조차 고장관리 세부현황'!$E:$E,'처리 현황'!$B11,'2023년 신조차 고장관리 세부현황'!$BC:$BC,"완료",'2023년 신조차 고장관리 세부현황'!$CY:$CY,BL$3)</f>
        <v>0</v>
      </c>
      <c r="BM11">
        <f>COUNTIFS('2023년 신조차 고장관리 세부현황'!$D:$D,"2022",'2023년 신조차 고장관리 세부현황'!$E:$E,'처리 현황'!$B11,'2023년 신조차 고장관리 세부현황'!$BC:$BC,"완료",'2023년 신조차 고장관리 세부현황'!$CY:$CY,BM$3)</f>
        <v>0</v>
      </c>
      <c r="BN11">
        <f>COUNTIFS('2023년 신조차 고장관리 세부현황'!$D:$D,"2022",'2023년 신조차 고장관리 세부현황'!$E:$E,'처리 현황'!$B11,'2023년 신조차 고장관리 세부현황'!$BC:$BC,"완료",'2023년 신조차 고장관리 세부현황'!$CY:$CY,BN$3)</f>
        <v>0</v>
      </c>
      <c r="BO11">
        <f>COUNTIFS('2023년 신조차 고장관리 세부현황'!$D:$D,"2022",'2023년 신조차 고장관리 세부현황'!$E:$E,'처리 현황'!$B11,'2023년 신조차 고장관리 세부현황'!$BC:$BC,"완료",'2023년 신조차 고장관리 세부현황'!$CY:$CY,BO$3)</f>
        <v>0</v>
      </c>
      <c r="BP11">
        <f>COUNTIFS('2023년 신조차 고장관리 세부현황'!$D:$D,"2022",'2023년 신조차 고장관리 세부현황'!$E:$E,'처리 현황'!$B11,'2023년 신조차 고장관리 세부현황'!$BC:$BC,"완료",'2023년 신조차 고장관리 세부현황'!$CY:$CY,BP$3)</f>
        <v>0</v>
      </c>
      <c r="BV11">
        <f>COUNTIFS('2023년 신조차 고장관리 세부현황'!$AE$5:$AE$21,"삭제")</f>
        <v>0</v>
      </c>
    </row>
    <row r="12" spans="1:86" x14ac:dyDescent="0.4">
      <c r="A12" s="378"/>
      <c r="B12" s="104">
        <v>9</v>
      </c>
      <c r="C12" s="109" t="s">
        <v>202</v>
      </c>
      <c r="D12" s="104">
        <f>COUNTIFS('2023년 신조차 고장관리 세부현황'!$D:$D,"2022",'2023년 신조차 고장관리 세부현황'!$E:$E,'처리 현황'!$B12)</f>
        <v>0</v>
      </c>
      <c r="E12" s="104">
        <f>COUNTIFS('2023년 신조차 고장관리 세부현황'!$D:$D,"2022",'2023년 신조차 고장관리 세부현황'!$E:$E,'처리 현황'!$B12,'2023년 신조차 고장관리 세부현황'!$T:$T,'처리 현황'!E$3)</f>
        <v>0</v>
      </c>
      <c r="F12" s="104">
        <f>COUNTIFS('2023년 신조차 고장관리 세부현황'!$D:$D,"2022",'2023년 신조차 고장관리 세부현황'!$E:$E,'처리 현황'!$B12,'2023년 신조차 고장관리 세부현황'!$T:$T,'처리 현황'!F$3)</f>
        <v>0</v>
      </c>
      <c r="G12" s="104">
        <f>COUNTIFS('2023년 신조차 고장관리 세부현황'!$D:$D,"2022",'2023년 신조차 고장관리 세부현황'!$E:$E,'처리 현황'!$B12,'2023년 신조차 고장관리 세부현황'!$T:$T,'처리 현황'!G$3)</f>
        <v>0</v>
      </c>
      <c r="H12" s="104">
        <f>COUNTIFS('2023년 신조차 고장관리 세부현황'!$D:$D,"2022",'2023년 신조차 고장관리 세부현황'!$E:$E,'처리 현황'!$B12,'2023년 신조차 고장관리 세부현황'!$T:$T,'처리 현황'!H$3)</f>
        <v>0</v>
      </c>
      <c r="I12" s="104">
        <f>COUNTIFS('2023년 신조차 고장관리 세부현황'!$D:$D,"2022",'2023년 신조차 고장관리 세부현황'!$E:$E,'처리 현황'!$B12,'2023년 신조차 고장관리 세부현황'!$T:$T,'처리 현황'!I$3)</f>
        <v>0</v>
      </c>
      <c r="J12" s="119">
        <f>COUNTIFS('2023년 신조차 고장관리 세부현황'!$D:$D,"2022",'2023년 신조차 고장관리 세부현황'!$E:$E,'처리 현황'!$B12,'2023년 신조차 고장관리 세부현황'!$J:$J,'처리 현황'!J$3)</f>
        <v>0</v>
      </c>
      <c r="K12" s="104">
        <f>COUNTIFS('2023년 신조차 고장관리 세부현황'!$D:$D,"2022",'2023년 신조차 고장관리 세부현황'!$E:$E,'처리 현황'!$B12,'2023년 신조차 고장관리 세부현황'!$J:$J,'처리 현황'!K$3)</f>
        <v>0</v>
      </c>
      <c r="L12" s="104">
        <f>COUNTIFS('2023년 신조차 고장관리 세부현황'!$D:$D,"2022",'2023년 신조차 고장관리 세부현황'!$E:$E,'처리 현황'!$B12,'2023년 신조차 고장관리 세부현황'!$J:$J,'처리 현황'!L$3)</f>
        <v>0</v>
      </c>
      <c r="M12" s="104">
        <f>COUNTIFS('2023년 신조차 고장관리 세부현황'!$D:$D,"2022",'2023년 신조차 고장관리 세부현황'!$E:$E,'처리 현황'!$B12,'2023년 신조차 고장관리 세부현황'!$J:$J,'처리 현황'!M$3)</f>
        <v>0</v>
      </c>
      <c r="N12" s="104">
        <f>COUNTIFS('2023년 신조차 고장관리 세부현황'!$D:$D,"2022",'2023년 신조차 고장관리 세부현황'!$E:$E,'처리 현황'!$B12,'2023년 신조차 고장관리 세부현황'!$J:$J,'처리 현황'!N$3)</f>
        <v>0</v>
      </c>
      <c r="O12" s="119">
        <f>COUNTIFS('2023년 신조차 고장관리 세부현황'!$D:$D,"2022",'2023년 신조차 고장관리 세부현황'!$E:$E,'처리 현황'!$B12,'2023년 신조차 고장관리 세부현황'!$L:$L,'처리 현황'!O$3)</f>
        <v>0</v>
      </c>
      <c r="P12" s="106">
        <f>COUNTIFS('2023년 신조차 고장관리 세부현황'!$D:$D,"2022",'2023년 신조차 고장관리 세부현황'!$E:$E,'처리 현황'!$B12,'2023년 신조차 고장관리 세부현황'!$L:$L,'처리 현황'!P$3)</f>
        <v>0</v>
      </c>
      <c r="Q12" s="106">
        <f>COUNTIFS('2023년 신조차 고장관리 세부현황'!$D:$D,"2022",'2023년 신조차 고장관리 세부현황'!$E:$E,'처리 현황'!$B12,'2023년 신조차 고장관리 세부현황'!$L:$L,'처리 현황'!Q$3)</f>
        <v>0</v>
      </c>
      <c r="R12" s="106">
        <f>COUNTIFS('2023년 신조차 고장관리 세부현황'!$D:$D,"2022",'2023년 신조차 고장관리 세부현황'!$E:$E,'처리 현황'!$B12,'2023년 신조차 고장관리 세부현황'!$L:$L,'처리 현황'!R$3)</f>
        <v>0</v>
      </c>
      <c r="S12" s="106">
        <f>COUNTIFS('2023년 신조차 고장관리 세부현황'!$D:$D,"2022",'2023년 신조차 고장관리 세부현황'!$E:$E,'처리 현황'!$B12,'2023년 신조차 고장관리 세부현황'!$L:$L,'처리 현황'!S$3)</f>
        <v>0</v>
      </c>
      <c r="T12" s="106">
        <f>COUNTIFS('2023년 신조차 고장관리 세부현황'!$D:$D,"2022",'2023년 신조차 고장관리 세부현황'!$E:$E,'처리 현황'!$B12,'2023년 신조차 고장관리 세부현황'!$L:$L,'처리 현황'!T$3)</f>
        <v>0</v>
      </c>
      <c r="U12" s="125">
        <f t="shared" si="0"/>
        <v>0</v>
      </c>
      <c r="V12" s="106">
        <f>COUNTIFS('2023년 신조차 고장관리 세부현황'!$D:$D,"2022",'2023년 신조차 고장관리 세부현황'!$E:$E,'처리 현황'!$B12,'2023년 신조차 고장관리 세부현황'!$K:$K,'처리 현황'!V$3)</f>
        <v>0</v>
      </c>
      <c r="W12" s="133">
        <f>COUNTIFS('2023년 신조차 고장관리 세부현황'!$D:$D,"2022",'2023년 신조차 고장관리 세부현황'!$E:$E,'처리 현황'!$B12,'2023년 신조차 고장관리 세부현황'!$K:$K,W$2,'2023년 신조차 고장관리 세부현황'!$S:$S,"단품불량")</f>
        <v>0</v>
      </c>
      <c r="X12" s="106">
        <f>COUNTIFS('2023년 신조차 고장관리 세부현황'!$D:$D,"2022",'2023년 신조차 고장관리 세부현황'!$E:$E,'처리 현황'!$B12,'2023년 신조차 고장관리 세부현황'!$K:$K,'처리 현황'!X$3)</f>
        <v>0</v>
      </c>
      <c r="Y12" s="133">
        <f>COUNTIFS('2023년 신조차 고장관리 세부현황'!$D:$D,"2022",'2023년 신조차 고장관리 세부현황'!$E:$E,'처리 현황'!$B12,'2023년 신조차 고장관리 세부현황'!$K:$K,Y$2,'2023년 신조차 고장관리 세부현황'!$S:$S,"단품불량")</f>
        <v>0</v>
      </c>
      <c r="Z12" s="106">
        <f t="shared" si="1"/>
        <v>0</v>
      </c>
      <c r="AD12">
        <v>9</v>
      </c>
      <c r="AE12">
        <v>0</v>
      </c>
      <c r="AH12" s="378"/>
      <c r="AI12" s="104">
        <v>9</v>
      </c>
      <c r="AJ12" s="109" t="s">
        <v>202</v>
      </c>
      <c r="AK12" s="109">
        <v>0</v>
      </c>
      <c r="AL12" s="104">
        <f>COUNTIFS('2023년 신조차 고장관리 세부현황'!$D:$D,"2022",'2023년 신조차 고장관리 세부현황'!$E:$E,'처리 현황'!$B12)</f>
        <v>0</v>
      </c>
      <c r="AM12" s="104">
        <f>COUNTIFS('2023년 신조차 고장관리 세부현황'!$D:$D,"2022",'2023년 신조차 고장관리 세부현황'!$E:$E,'처리 현황'!$B12,'2023년 신조차 고장관리 세부현황'!$V:$V,'처리 현황'!AM$3)</f>
        <v>0</v>
      </c>
      <c r="AN12" s="104">
        <f>COUNTIFS('2023년 신조차 고장관리 세부현황'!$D:$D,"2022",'2023년 신조차 고장관리 세부현황'!$E:$E,'처리 현황'!$B12,'2023년 신조차 고장관리 세부현황'!$V:$V,'처리 현황'!AN$3)</f>
        <v>0</v>
      </c>
      <c r="AO12" s="104">
        <f>COUNTIFS('2023년 신조차 고장관리 세부현황'!$D:$D,"2022",'2023년 신조차 고장관리 세부현황'!$E:$E,'처리 현황'!$B12,'2023년 신조차 고장관리 세부현황'!$V:$V,'처리 현황'!AO$3)</f>
        <v>0</v>
      </c>
      <c r="AP12" s="104">
        <f>COUNTIFS('2023년 신조차 고장관리 세부현황'!$D:$D,"2022",'2023년 신조차 고장관리 세부현황'!$E:$E,'처리 현황'!$B12,'2023년 신조차 고장관리 세부현황'!$V:$V,'처리 현황'!AP$3)</f>
        <v>0</v>
      </c>
      <c r="AQ12" s="104">
        <f>COUNTIFS('2023년 신조차 고장관리 세부현황'!$D:$D,"2022",'2023년 신조차 고장관리 세부현황'!$E:$E,'처리 현황'!$B12,'2023년 신조차 고장관리 세부현황'!$V:$V,'처리 현황'!AQ$3)</f>
        <v>0</v>
      </c>
      <c r="AR12" s="190">
        <f t="shared" si="2"/>
        <v>0</v>
      </c>
      <c r="AS12" s="119">
        <f>COUNTIFS('2023년 신조차 고장관리 세부현황'!$D:$D,"2022",'2023년 신조차 고장관리 세부현황'!$E:$E,'처리 현황'!$B12,'2023년 신조차 고장관리 세부현황'!$J:$J,'처리 현황'!AS$3)</f>
        <v>0</v>
      </c>
      <c r="AT12" s="104">
        <f>COUNTIFS('2023년 신조차 고장관리 세부현황'!$D:$D,"2022",'2023년 신조차 고장관리 세부현황'!$E:$E,'처리 현황'!$B12,'2023년 신조차 고장관리 세부현황'!$J:$J,'처리 현황'!AT$3)</f>
        <v>0</v>
      </c>
      <c r="AU12" s="104">
        <f>COUNTIFS('2023년 신조차 고장관리 세부현황'!$D:$D,"2022",'2023년 신조차 고장관리 세부현황'!$E:$E,'처리 현황'!$B12,'2023년 신조차 고장관리 세부현황'!$J:$J,'처리 현황'!AU$3)</f>
        <v>0</v>
      </c>
      <c r="AV12" s="104">
        <f>COUNTIFS('2023년 신조차 고장관리 세부현황'!$D:$D,"2022",'2023년 신조차 고장관리 세부현황'!$E:$E,'처리 현황'!$B12,'2023년 신조차 고장관리 세부현황'!$J:$J,'처리 현황'!AV$3)</f>
        <v>0</v>
      </c>
      <c r="AW12" s="104">
        <f>COUNTIFS('2023년 신조차 고장관리 세부현황'!$D:$D,"2022",'2023년 신조차 고장관리 세부현황'!$E:$E,'처리 현황'!$B12,'2023년 신조차 고장관리 세부현황'!$J:$J,'처리 현황'!AW$3)</f>
        <v>0</v>
      </c>
      <c r="AX12" s="119">
        <f>COUNTIFS('2023년 신조차 고장관리 세부현황'!$D:$D,"2022",'2023년 신조차 고장관리 세부현황'!$E:$E,'처리 현황'!$B12,'2023년 신조차 고장관리 세부현황'!$L:$L,'처리 현황'!AX$3)</f>
        <v>0</v>
      </c>
      <c r="AY12" s="106">
        <f>COUNTIFS('2023년 신조차 고장관리 세부현황'!$D:$D,"2022",'2023년 신조차 고장관리 세부현황'!$E:$E,'처리 현황'!$B12,'2023년 신조차 고장관리 세부현황'!$L:$L,'처리 현황'!AY$3)</f>
        <v>0</v>
      </c>
      <c r="AZ12" s="106">
        <f>COUNTIFS('2023년 신조차 고장관리 세부현황'!$D:$D,"2022",'2023년 신조차 고장관리 세부현황'!$E:$E,'처리 현황'!$B12,'2023년 신조차 고장관리 세부현황'!$L:$L,'처리 현황'!AZ$3)</f>
        <v>0</v>
      </c>
      <c r="BA12" s="106">
        <f>COUNTIFS('2023년 신조차 고장관리 세부현황'!$D:$D,"2022",'2023년 신조차 고장관리 세부현황'!$E:$E,'처리 현황'!$B12,'2023년 신조차 고장관리 세부현황'!$L:$L,'처리 현황'!BA$3)</f>
        <v>0</v>
      </c>
      <c r="BB12" s="106">
        <f>COUNTIFS('2023년 신조차 고장관리 세부현황'!$D:$D,"2022",'2023년 신조차 고장관리 세부현황'!$E:$E,'처리 현황'!$B12,'2023년 신조차 고장관리 세부현황'!$L:$L,'처리 현황'!BB$3)</f>
        <v>0</v>
      </c>
      <c r="BC12" s="106">
        <f>COUNTIFS('2023년 신조차 고장관리 세부현황'!$D:$D,"2022",'2023년 신조차 고장관리 세부현황'!$E:$E,'처리 현황'!$B12,'2023년 신조차 고장관리 세부현황'!$L:$L,'처리 현황'!BC$3)</f>
        <v>0</v>
      </c>
      <c r="BD12" s="106">
        <f t="shared" si="3"/>
        <v>0</v>
      </c>
      <c r="BE12" s="119">
        <f>COUNTIFS('2023년 신조차 고장관리 세부현황'!$D:$D,"2022",'2023년 신조차 고장관리 세부현황'!$E:$E,'처리 현황'!$B12,'2023년 신조차 고장관리 세부현황'!$K:$K,'처리 현황'!BE$3)</f>
        <v>0</v>
      </c>
      <c r="BF12" s="133">
        <f>COUNTIFS('2023년 신조차 고장관리 세부현황'!$D:$D,"2022",'2023년 신조차 고장관리 세부현황'!$E:$E,'처리 현황'!$B12,'2023년 신조차 고장관리 세부현황'!$K:$K,BF$2,'2023년 신조차 고장관리 세부현황'!$S:$S,"단품불량")</f>
        <v>0</v>
      </c>
      <c r="BG12" s="106">
        <f>COUNTIFS('2023년 신조차 고장관리 세부현황'!$D:$D,"2022",'2023년 신조차 고장관리 세부현황'!$E:$E,'처리 현황'!$B12,'2023년 신조차 고장관리 세부현황'!$K:$K,'처리 현황'!BG$3)</f>
        <v>0</v>
      </c>
      <c r="BH12" s="133">
        <f>COUNTIFS('2023년 신조차 고장관리 세부현황'!$D:$D,"2022",'2023년 신조차 고장관리 세부현황'!$E:$E,'처리 현황'!$B12,'2023년 신조차 고장관리 세부현황'!$K:$K,BH$2,'2023년 신조차 고장관리 세부현황'!$S:$S,"단품불량")</f>
        <v>0</v>
      </c>
      <c r="BI12" s="106">
        <f t="shared" si="4"/>
        <v>0</v>
      </c>
      <c r="BJ12">
        <f>COUNTIFS('2023년 신조차 고장관리 세부현황'!$D:$D,"2022",'2023년 신조차 고장관리 세부현황'!$E:$E,'처리 현황'!$B12,'2023년 신조차 고장관리 세부현황'!$BC:$BC,"완료",'2023년 신조차 고장관리 세부현황'!$CY:$CY,BJ$3)</f>
        <v>0</v>
      </c>
      <c r="BK12">
        <f>COUNTIFS('2023년 신조차 고장관리 세부현황'!$D:$D,"2022",'2023년 신조차 고장관리 세부현황'!$E:$E,'처리 현황'!$B12,'2023년 신조차 고장관리 세부현황'!$BC:$BC,"완료",'2023년 신조차 고장관리 세부현황'!$CY:$CY,BK$3)</f>
        <v>0</v>
      </c>
      <c r="BL12">
        <f>COUNTIFS('2023년 신조차 고장관리 세부현황'!$D:$D,"2022",'2023년 신조차 고장관리 세부현황'!$E:$E,'처리 현황'!$B12,'2023년 신조차 고장관리 세부현황'!$BC:$BC,"완료",'2023년 신조차 고장관리 세부현황'!$CY:$CY,BL$3)</f>
        <v>0</v>
      </c>
      <c r="BM12">
        <f>COUNTIFS('2023년 신조차 고장관리 세부현황'!$D:$D,"2022",'2023년 신조차 고장관리 세부현황'!$E:$E,'처리 현황'!$B12,'2023년 신조차 고장관리 세부현황'!$BC:$BC,"완료",'2023년 신조차 고장관리 세부현황'!$CY:$CY,BM$3)</f>
        <v>0</v>
      </c>
      <c r="BN12">
        <f>COUNTIFS('2023년 신조차 고장관리 세부현황'!$D:$D,"2022",'2023년 신조차 고장관리 세부현황'!$E:$E,'처리 현황'!$B12,'2023년 신조차 고장관리 세부현황'!$BC:$BC,"완료",'2023년 신조차 고장관리 세부현황'!$CY:$CY,BN$3)</f>
        <v>0</v>
      </c>
      <c r="BO12">
        <f>COUNTIFS('2023년 신조차 고장관리 세부현황'!$D:$D,"2022",'2023년 신조차 고장관리 세부현황'!$E:$E,'처리 현황'!$B12,'2023년 신조차 고장관리 세부현황'!$BC:$BC,"완료",'2023년 신조차 고장관리 세부현황'!$CY:$CY,BO$3)</f>
        <v>0</v>
      </c>
      <c r="BP12">
        <f>COUNTIFS('2023년 신조차 고장관리 세부현황'!$D:$D,"2022",'2023년 신조차 고장관리 세부현황'!$E:$E,'처리 현황'!$B12,'2023년 신조차 고장관리 세부현황'!$BC:$BC,"완료",'2023년 신조차 고장관리 세부현황'!$CY:$CY,BP$3)</f>
        <v>0</v>
      </c>
    </row>
    <row r="13" spans="1:86" x14ac:dyDescent="0.4">
      <c r="A13" s="378"/>
      <c r="B13" s="104">
        <v>10</v>
      </c>
      <c r="C13" s="109" t="s">
        <v>203</v>
      </c>
      <c r="D13" s="104">
        <f>COUNTIFS('2023년 신조차 고장관리 세부현황'!$D:$D,"2022",'2023년 신조차 고장관리 세부현황'!$E:$E,'처리 현황'!$B13)</f>
        <v>0</v>
      </c>
      <c r="E13" s="104">
        <f>COUNTIFS('2023년 신조차 고장관리 세부현황'!$D:$D,"2022",'2023년 신조차 고장관리 세부현황'!$E:$E,'처리 현황'!$B13,'2023년 신조차 고장관리 세부현황'!$T:$T,'처리 현황'!E$3)</f>
        <v>0</v>
      </c>
      <c r="F13" s="104">
        <f>COUNTIFS('2023년 신조차 고장관리 세부현황'!$D:$D,"2022",'2023년 신조차 고장관리 세부현황'!$E:$E,'처리 현황'!$B13,'2023년 신조차 고장관리 세부현황'!$T:$T,'처리 현황'!F$3)</f>
        <v>0</v>
      </c>
      <c r="G13" s="104">
        <f>COUNTIFS('2023년 신조차 고장관리 세부현황'!$D:$D,"2022",'2023년 신조차 고장관리 세부현황'!$E:$E,'처리 현황'!$B13,'2023년 신조차 고장관리 세부현황'!$T:$T,'처리 현황'!G$3)</f>
        <v>0</v>
      </c>
      <c r="H13" s="104">
        <f>COUNTIFS('2023년 신조차 고장관리 세부현황'!$D:$D,"2022",'2023년 신조차 고장관리 세부현황'!$E:$E,'처리 현황'!$B13,'2023년 신조차 고장관리 세부현황'!$T:$T,'처리 현황'!H$3)</f>
        <v>0</v>
      </c>
      <c r="I13" s="104">
        <f>COUNTIFS('2023년 신조차 고장관리 세부현황'!$D:$D,"2022",'2023년 신조차 고장관리 세부현황'!$E:$E,'처리 현황'!$B13,'2023년 신조차 고장관리 세부현황'!$T:$T,'처리 현황'!I$3)</f>
        <v>0</v>
      </c>
      <c r="J13" s="119">
        <f>COUNTIFS('2023년 신조차 고장관리 세부현황'!$D:$D,"2022",'2023년 신조차 고장관리 세부현황'!$E:$E,'처리 현황'!$B13,'2023년 신조차 고장관리 세부현황'!$J:$J,'처리 현황'!J$3)</f>
        <v>0</v>
      </c>
      <c r="K13" s="104">
        <f>COUNTIFS('2023년 신조차 고장관리 세부현황'!$D:$D,"2022",'2023년 신조차 고장관리 세부현황'!$E:$E,'처리 현황'!$B13,'2023년 신조차 고장관리 세부현황'!$J:$J,'처리 현황'!K$3)</f>
        <v>0</v>
      </c>
      <c r="L13" s="104">
        <f>COUNTIFS('2023년 신조차 고장관리 세부현황'!$D:$D,"2022",'2023년 신조차 고장관리 세부현황'!$E:$E,'처리 현황'!$B13,'2023년 신조차 고장관리 세부현황'!$J:$J,'처리 현황'!L$3)</f>
        <v>0</v>
      </c>
      <c r="M13" s="104">
        <f>COUNTIFS('2023년 신조차 고장관리 세부현황'!$D:$D,"2022",'2023년 신조차 고장관리 세부현황'!$E:$E,'처리 현황'!$B13,'2023년 신조차 고장관리 세부현황'!$J:$J,'처리 현황'!M$3)</f>
        <v>0</v>
      </c>
      <c r="N13" s="104">
        <f>COUNTIFS('2023년 신조차 고장관리 세부현황'!$D:$D,"2022",'2023년 신조차 고장관리 세부현황'!$E:$E,'처리 현황'!$B13,'2023년 신조차 고장관리 세부현황'!$J:$J,'처리 현황'!N$3)</f>
        <v>0</v>
      </c>
      <c r="O13" s="119">
        <f>COUNTIFS('2023년 신조차 고장관리 세부현황'!$D:$D,"2022",'2023년 신조차 고장관리 세부현황'!$E:$E,'처리 현황'!$B13,'2023년 신조차 고장관리 세부현황'!$L:$L,'처리 현황'!O$3)</f>
        <v>0</v>
      </c>
      <c r="P13" s="106">
        <f>COUNTIFS('2023년 신조차 고장관리 세부현황'!$D:$D,"2022",'2023년 신조차 고장관리 세부현황'!$E:$E,'처리 현황'!$B13,'2023년 신조차 고장관리 세부현황'!$L:$L,'처리 현황'!P$3)</f>
        <v>0</v>
      </c>
      <c r="Q13" s="106">
        <f>COUNTIFS('2023년 신조차 고장관리 세부현황'!$D:$D,"2022",'2023년 신조차 고장관리 세부현황'!$E:$E,'처리 현황'!$B13,'2023년 신조차 고장관리 세부현황'!$L:$L,'처리 현황'!Q$3)</f>
        <v>0</v>
      </c>
      <c r="R13" s="106">
        <f>COUNTIFS('2023년 신조차 고장관리 세부현황'!$D:$D,"2022",'2023년 신조차 고장관리 세부현황'!$E:$E,'처리 현황'!$B13,'2023년 신조차 고장관리 세부현황'!$L:$L,'처리 현황'!R$3)</f>
        <v>0</v>
      </c>
      <c r="S13" s="106">
        <f>COUNTIFS('2023년 신조차 고장관리 세부현황'!$D:$D,"2022",'2023년 신조차 고장관리 세부현황'!$E:$E,'처리 현황'!$B13,'2023년 신조차 고장관리 세부현황'!$L:$L,'처리 현황'!S$3)</f>
        <v>0</v>
      </c>
      <c r="T13" s="106">
        <f>COUNTIFS('2023년 신조차 고장관리 세부현황'!$D:$D,"2022",'2023년 신조차 고장관리 세부현황'!$E:$E,'처리 현황'!$B13,'2023년 신조차 고장관리 세부현황'!$L:$L,'처리 현황'!T$3)</f>
        <v>0</v>
      </c>
      <c r="U13" s="125">
        <f t="shared" si="0"/>
        <v>0</v>
      </c>
      <c r="V13" s="106">
        <f>COUNTIFS('2023년 신조차 고장관리 세부현황'!$D:$D,"2022",'2023년 신조차 고장관리 세부현황'!$E:$E,'처리 현황'!$B13,'2023년 신조차 고장관리 세부현황'!$K:$K,'처리 현황'!V$3)</f>
        <v>0</v>
      </c>
      <c r="W13" s="133">
        <f>COUNTIFS('2023년 신조차 고장관리 세부현황'!$D:$D,"2022",'2023년 신조차 고장관리 세부현황'!$E:$E,'처리 현황'!$B13,'2023년 신조차 고장관리 세부현황'!$K:$K,W$2,'2023년 신조차 고장관리 세부현황'!$S:$S,"단품불량")</f>
        <v>0</v>
      </c>
      <c r="X13" s="106">
        <f>COUNTIFS('2023년 신조차 고장관리 세부현황'!$D:$D,"2022",'2023년 신조차 고장관리 세부현황'!$E:$E,'처리 현황'!$B13,'2023년 신조차 고장관리 세부현황'!$K:$K,'처리 현황'!X$3)</f>
        <v>0</v>
      </c>
      <c r="Y13" s="133">
        <f>COUNTIFS('2023년 신조차 고장관리 세부현황'!$D:$D,"2022",'2023년 신조차 고장관리 세부현황'!$E:$E,'처리 현황'!$B13,'2023년 신조차 고장관리 세부현황'!$K:$K,Y$2,'2023년 신조차 고장관리 세부현황'!$S:$S,"단품불량")</f>
        <v>0</v>
      </c>
      <c r="Z13" s="106">
        <f t="shared" si="1"/>
        <v>0</v>
      </c>
      <c r="AD13">
        <v>10</v>
      </c>
      <c r="AE13">
        <v>0</v>
      </c>
      <c r="AH13" s="378"/>
      <c r="AI13" s="104">
        <v>10</v>
      </c>
      <c r="AJ13" s="109" t="s">
        <v>203</v>
      </c>
      <c r="AK13" s="109">
        <v>0</v>
      </c>
      <c r="AL13" s="104">
        <f>COUNTIFS('2023년 신조차 고장관리 세부현황'!$D:$D,"2022",'2023년 신조차 고장관리 세부현황'!$E:$E,'처리 현황'!$B13)</f>
        <v>0</v>
      </c>
      <c r="AM13" s="104">
        <f>COUNTIFS('2023년 신조차 고장관리 세부현황'!$D:$D,"2022",'2023년 신조차 고장관리 세부현황'!$E:$E,'처리 현황'!$B13,'2023년 신조차 고장관리 세부현황'!$V:$V,'처리 현황'!AM$3)</f>
        <v>0</v>
      </c>
      <c r="AN13" s="104">
        <f>COUNTIFS('2023년 신조차 고장관리 세부현황'!$D:$D,"2022",'2023년 신조차 고장관리 세부현황'!$E:$E,'처리 현황'!$B13,'2023년 신조차 고장관리 세부현황'!$V:$V,'처리 현황'!AN$3)</f>
        <v>0</v>
      </c>
      <c r="AO13" s="104">
        <f>COUNTIFS('2023년 신조차 고장관리 세부현황'!$D:$D,"2022",'2023년 신조차 고장관리 세부현황'!$E:$E,'처리 현황'!$B13,'2023년 신조차 고장관리 세부현황'!$V:$V,'처리 현황'!AO$3)</f>
        <v>0</v>
      </c>
      <c r="AP13" s="104">
        <f>COUNTIFS('2023년 신조차 고장관리 세부현황'!$D:$D,"2022",'2023년 신조차 고장관리 세부현황'!$E:$E,'처리 현황'!$B13,'2023년 신조차 고장관리 세부현황'!$V:$V,'처리 현황'!AP$3)</f>
        <v>0</v>
      </c>
      <c r="AQ13" s="104">
        <f>COUNTIFS('2023년 신조차 고장관리 세부현황'!$D:$D,"2022",'2023년 신조차 고장관리 세부현황'!$E:$E,'처리 현황'!$B13,'2023년 신조차 고장관리 세부현황'!$V:$V,'처리 현황'!AQ$3)</f>
        <v>0</v>
      </c>
      <c r="AR13" s="190">
        <f t="shared" si="2"/>
        <v>0</v>
      </c>
      <c r="AS13" s="119">
        <f>COUNTIFS('2023년 신조차 고장관리 세부현황'!$D:$D,"2022",'2023년 신조차 고장관리 세부현황'!$E:$E,'처리 현황'!$B13,'2023년 신조차 고장관리 세부현황'!$J:$J,'처리 현황'!AS$3)</f>
        <v>0</v>
      </c>
      <c r="AT13" s="104">
        <f>COUNTIFS('2023년 신조차 고장관리 세부현황'!$D:$D,"2022",'2023년 신조차 고장관리 세부현황'!$E:$E,'처리 현황'!$B13,'2023년 신조차 고장관리 세부현황'!$J:$J,'처리 현황'!AT$3)</f>
        <v>0</v>
      </c>
      <c r="AU13" s="104">
        <f>COUNTIFS('2023년 신조차 고장관리 세부현황'!$D:$D,"2022",'2023년 신조차 고장관리 세부현황'!$E:$E,'처리 현황'!$B13,'2023년 신조차 고장관리 세부현황'!$J:$J,'처리 현황'!AU$3)</f>
        <v>0</v>
      </c>
      <c r="AV13" s="104">
        <f>COUNTIFS('2023년 신조차 고장관리 세부현황'!$D:$D,"2022",'2023년 신조차 고장관리 세부현황'!$E:$E,'처리 현황'!$B13,'2023년 신조차 고장관리 세부현황'!$J:$J,'처리 현황'!AV$3)</f>
        <v>0</v>
      </c>
      <c r="AW13" s="104">
        <f>COUNTIFS('2023년 신조차 고장관리 세부현황'!$D:$D,"2022",'2023년 신조차 고장관리 세부현황'!$E:$E,'처리 현황'!$B13,'2023년 신조차 고장관리 세부현황'!$J:$J,'처리 현황'!AW$3)</f>
        <v>0</v>
      </c>
      <c r="AX13" s="119">
        <f>COUNTIFS('2023년 신조차 고장관리 세부현황'!$D:$D,"2022",'2023년 신조차 고장관리 세부현황'!$E:$E,'처리 현황'!$B13,'2023년 신조차 고장관리 세부현황'!$L:$L,'처리 현황'!AX$3)</f>
        <v>0</v>
      </c>
      <c r="AY13" s="106">
        <f>COUNTIFS('2023년 신조차 고장관리 세부현황'!$D:$D,"2022",'2023년 신조차 고장관리 세부현황'!$E:$E,'처리 현황'!$B13,'2023년 신조차 고장관리 세부현황'!$L:$L,'처리 현황'!AY$3)</f>
        <v>0</v>
      </c>
      <c r="AZ13" s="106">
        <f>COUNTIFS('2023년 신조차 고장관리 세부현황'!$D:$D,"2022",'2023년 신조차 고장관리 세부현황'!$E:$E,'처리 현황'!$B13,'2023년 신조차 고장관리 세부현황'!$L:$L,'처리 현황'!AZ$3)</f>
        <v>0</v>
      </c>
      <c r="BA13" s="106">
        <f>COUNTIFS('2023년 신조차 고장관리 세부현황'!$D:$D,"2022",'2023년 신조차 고장관리 세부현황'!$E:$E,'처리 현황'!$B13,'2023년 신조차 고장관리 세부현황'!$L:$L,'처리 현황'!BA$3)</f>
        <v>0</v>
      </c>
      <c r="BB13" s="106">
        <f>COUNTIFS('2023년 신조차 고장관리 세부현황'!$D:$D,"2022",'2023년 신조차 고장관리 세부현황'!$E:$E,'처리 현황'!$B13,'2023년 신조차 고장관리 세부현황'!$L:$L,'처리 현황'!BB$3)</f>
        <v>0</v>
      </c>
      <c r="BC13" s="106">
        <f>COUNTIFS('2023년 신조차 고장관리 세부현황'!$D:$D,"2022",'2023년 신조차 고장관리 세부현황'!$E:$E,'처리 현황'!$B13,'2023년 신조차 고장관리 세부현황'!$L:$L,'처리 현황'!BC$3)</f>
        <v>0</v>
      </c>
      <c r="BD13" s="106">
        <f t="shared" si="3"/>
        <v>0</v>
      </c>
      <c r="BE13" s="119">
        <f>COUNTIFS('2023년 신조차 고장관리 세부현황'!$D:$D,"2022",'2023년 신조차 고장관리 세부현황'!$E:$E,'처리 현황'!$B13,'2023년 신조차 고장관리 세부현황'!$K:$K,'처리 현황'!BE$3)</f>
        <v>0</v>
      </c>
      <c r="BF13" s="133">
        <f>COUNTIFS('2023년 신조차 고장관리 세부현황'!$D:$D,"2022",'2023년 신조차 고장관리 세부현황'!$E:$E,'처리 현황'!$B13,'2023년 신조차 고장관리 세부현황'!$K:$K,BF$2,'2023년 신조차 고장관리 세부현황'!$S:$S,"단품불량")</f>
        <v>0</v>
      </c>
      <c r="BG13" s="106">
        <f>COUNTIFS('2023년 신조차 고장관리 세부현황'!$D:$D,"2022",'2023년 신조차 고장관리 세부현황'!$E:$E,'처리 현황'!$B13,'2023년 신조차 고장관리 세부현황'!$K:$K,'처리 현황'!BG$3)</f>
        <v>0</v>
      </c>
      <c r="BH13" s="133">
        <f>COUNTIFS('2023년 신조차 고장관리 세부현황'!$D:$D,"2022",'2023년 신조차 고장관리 세부현황'!$E:$E,'처리 현황'!$B13,'2023년 신조차 고장관리 세부현황'!$K:$K,BH$2,'2023년 신조차 고장관리 세부현황'!$S:$S,"단품불량")</f>
        <v>0</v>
      </c>
      <c r="BI13" s="106">
        <f t="shared" si="4"/>
        <v>0</v>
      </c>
      <c r="BJ13">
        <f>COUNTIFS('2023년 신조차 고장관리 세부현황'!$D:$D,"2022",'2023년 신조차 고장관리 세부현황'!$E:$E,'처리 현황'!$B13,'2023년 신조차 고장관리 세부현황'!$BC:$BC,"완료",'2023년 신조차 고장관리 세부현황'!$CY:$CY,BJ$3)</f>
        <v>0</v>
      </c>
      <c r="BK13">
        <f>COUNTIFS('2023년 신조차 고장관리 세부현황'!$D:$D,"2022",'2023년 신조차 고장관리 세부현황'!$E:$E,'처리 현황'!$B13,'2023년 신조차 고장관리 세부현황'!$BC:$BC,"완료",'2023년 신조차 고장관리 세부현황'!$CY:$CY,BK$3)</f>
        <v>0</v>
      </c>
      <c r="BL13">
        <f>COUNTIFS('2023년 신조차 고장관리 세부현황'!$D:$D,"2022",'2023년 신조차 고장관리 세부현황'!$E:$E,'처리 현황'!$B13,'2023년 신조차 고장관리 세부현황'!$BC:$BC,"완료",'2023년 신조차 고장관리 세부현황'!$CY:$CY,BL$3)</f>
        <v>0</v>
      </c>
      <c r="BM13">
        <f>COUNTIFS('2023년 신조차 고장관리 세부현황'!$D:$D,"2022",'2023년 신조차 고장관리 세부현황'!$E:$E,'처리 현황'!$B13,'2023년 신조차 고장관리 세부현황'!$BC:$BC,"완료",'2023년 신조차 고장관리 세부현황'!$CY:$CY,BM$3)</f>
        <v>0</v>
      </c>
      <c r="BN13">
        <f>COUNTIFS('2023년 신조차 고장관리 세부현황'!$D:$D,"2022",'2023년 신조차 고장관리 세부현황'!$E:$E,'처리 현황'!$B13,'2023년 신조차 고장관리 세부현황'!$BC:$BC,"완료",'2023년 신조차 고장관리 세부현황'!$CY:$CY,BN$3)</f>
        <v>0</v>
      </c>
      <c r="BO13">
        <f>COUNTIFS('2023년 신조차 고장관리 세부현황'!$D:$D,"2022",'2023년 신조차 고장관리 세부현황'!$E:$E,'처리 현황'!$B13,'2023년 신조차 고장관리 세부현황'!$BC:$BC,"완료",'2023년 신조차 고장관리 세부현황'!$CY:$CY,BO$3)</f>
        <v>0</v>
      </c>
      <c r="BP13">
        <f>COUNTIFS('2023년 신조차 고장관리 세부현황'!$D:$D,"2022",'2023년 신조차 고장관리 세부현황'!$E:$E,'처리 현황'!$B13,'2023년 신조차 고장관리 세부현황'!$BC:$BC,"완료",'2023년 신조차 고장관리 세부현황'!$CY:$CY,BP$3)</f>
        <v>0</v>
      </c>
    </row>
    <row r="14" spans="1:86" x14ac:dyDescent="0.4">
      <c r="A14" s="378"/>
      <c r="B14" s="104">
        <v>11</v>
      </c>
      <c r="C14" s="109" t="s">
        <v>204</v>
      </c>
      <c r="D14" s="104">
        <f>COUNTIFS('2023년 신조차 고장관리 세부현황'!$D:$D,"2022",'2023년 신조차 고장관리 세부현황'!$E:$E,'처리 현황'!$B14)</f>
        <v>0</v>
      </c>
      <c r="E14" s="104">
        <f>COUNTIFS('2023년 신조차 고장관리 세부현황'!$D:$D,"2022",'2023년 신조차 고장관리 세부현황'!$E:$E,'처리 현황'!$B14,'2023년 신조차 고장관리 세부현황'!$T:$T,'처리 현황'!E$3)</f>
        <v>0</v>
      </c>
      <c r="F14" s="104">
        <f>COUNTIFS('2023년 신조차 고장관리 세부현황'!$D:$D,"2022",'2023년 신조차 고장관리 세부현황'!$E:$E,'처리 현황'!$B14,'2023년 신조차 고장관리 세부현황'!$T:$T,'처리 현황'!F$3)</f>
        <v>0</v>
      </c>
      <c r="G14" s="104">
        <f>COUNTIFS('2023년 신조차 고장관리 세부현황'!$D:$D,"2022",'2023년 신조차 고장관리 세부현황'!$E:$E,'처리 현황'!$B14,'2023년 신조차 고장관리 세부현황'!$T:$T,'처리 현황'!G$3)</f>
        <v>0</v>
      </c>
      <c r="H14" s="104">
        <f>COUNTIFS('2023년 신조차 고장관리 세부현황'!$D:$D,"2022",'2023년 신조차 고장관리 세부현황'!$E:$E,'처리 현황'!$B14,'2023년 신조차 고장관리 세부현황'!$T:$T,'처리 현황'!H$3)</f>
        <v>0</v>
      </c>
      <c r="I14" s="104">
        <f>COUNTIFS('2023년 신조차 고장관리 세부현황'!$D:$D,"2022",'2023년 신조차 고장관리 세부현황'!$E:$E,'처리 현황'!$B14,'2023년 신조차 고장관리 세부현황'!$T:$T,'처리 현황'!I$3)</f>
        <v>0</v>
      </c>
      <c r="J14" s="119">
        <f>COUNTIFS('2023년 신조차 고장관리 세부현황'!$D:$D,"2022",'2023년 신조차 고장관리 세부현황'!$E:$E,'처리 현황'!$B14,'2023년 신조차 고장관리 세부현황'!$J:$J,'처리 현황'!J$3)</f>
        <v>0</v>
      </c>
      <c r="K14" s="104">
        <f>COUNTIFS('2023년 신조차 고장관리 세부현황'!$D:$D,"2022",'2023년 신조차 고장관리 세부현황'!$E:$E,'처리 현황'!$B14,'2023년 신조차 고장관리 세부현황'!$J:$J,'처리 현황'!K$3)</f>
        <v>0</v>
      </c>
      <c r="L14" s="104">
        <f>COUNTIFS('2023년 신조차 고장관리 세부현황'!$D:$D,"2022",'2023년 신조차 고장관리 세부현황'!$E:$E,'처리 현황'!$B14,'2023년 신조차 고장관리 세부현황'!$J:$J,'처리 현황'!L$3)</f>
        <v>0</v>
      </c>
      <c r="M14" s="104">
        <f>COUNTIFS('2023년 신조차 고장관리 세부현황'!$D:$D,"2022",'2023년 신조차 고장관리 세부현황'!$E:$E,'처리 현황'!$B14,'2023년 신조차 고장관리 세부현황'!$J:$J,'처리 현황'!M$3)</f>
        <v>0</v>
      </c>
      <c r="N14" s="104">
        <f>COUNTIFS('2023년 신조차 고장관리 세부현황'!$D:$D,"2022",'2023년 신조차 고장관리 세부현황'!$E:$E,'처리 현황'!$B14,'2023년 신조차 고장관리 세부현황'!$J:$J,'처리 현황'!N$3)</f>
        <v>0</v>
      </c>
      <c r="O14" s="119">
        <f>COUNTIFS('2023년 신조차 고장관리 세부현황'!$D:$D,"2022",'2023년 신조차 고장관리 세부현황'!$E:$E,'처리 현황'!$B14,'2023년 신조차 고장관리 세부현황'!$L:$L,'처리 현황'!O$3)</f>
        <v>0</v>
      </c>
      <c r="P14" s="106">
        <f>COUNTIFS('2023년 신조차 고장관리 세부현황'!$D:$D,"2022",'2023년 신조차 고장관리 세부현황'!$E:$E,'처리 현황'!$B14,'2023년 신조차 고장관리 세부현황'!$L:$L,'처리 현황'!P$3)</f>
        <v>0</v>
      </c>
      <c r="Q14" s="106">
        <f>COUNTIFS('2023년 신조차 고장관리 세부현황'!$D:$D,"2022",'2023년 신조차 고장관리 세부현황'!$E:$E,'처리 현황'!$B14,'2023년 신조차 고장관리 세부현황'!$L:$L,'처리 현황'!Q$3)</f>
        <v>0</v>
      </c>
      <c r="R14" s="106">
        <f>COUNTIFS('2023년 신조차 고장관리 세부현황'!$D:$D,"2022",'2023년 신조차 고장관리 세부현황'!$E:$E,'처리 현황'!$B14,'2023년 신조차 고장관리 세부현황'!$L:$L,'처리 현황'!R$3)</f>
        <v>0</v>
      </c>
      <c r="S14" s="106">
        <f>COUNTIFS('2023년 신조차 고장관리 세부현황'!$D:$D,"2022",'2023년 신조차 고장관리 세부현황'!$E:$E,'처리 현황'!$B14,'2023년 신조차 고장관리 세부현황'!$L:$L,'처리 현황'!S$3)</f>
        <v>0</v>
      </c>
      <c r="T14" s="106">
        <f>COUNTIFS('2023년 신조차 고장관리 세부현황'!$D:$D,"2022",'2023년 신조차 고장관리 세부현황'!$E:$E,'처리 현황'!$B14,'2023년 신조차 고장관리 세부현황'!$L:$L,'처리 현황'!T$3)</f>
        <v>0</v>
      </c>
      <c r="U14" s="125">
        <f t="shared" si="0"/>
        <v>0</v>
      </c>
      <c r="V14" s="106">
        <f>COUNTIFS('2023년 신조차 고장관리 세부현황'!$D:$D,"2022",'2023년 신조차 고장관리 세부현황'!$E:$E,'처리 현황'!$B14,'2023년 신조차 고장관리 세부현황'!$K:$K,'처리 현황'!V$3)</f>
        <v>0</v>
      </c>
      <c r="W14" s="133">
        <f>COUNTIFS('2023년 신조차 고장관리 세부현황'!$D:$D,"2022",'2023년 신조차 고장관리 세부현황'!$E:$E,'처리 현황'!$B14,'2023년 신조차 고장관리 세부현황'!$K:$K,W$2,'2023년 신조차 고장관리 세부현황'!$S:$S,"단품불량")</f>
        <v>0</v>
      </c>
      <c r="X14" s="106">
        <f>COUNTIFS('2023년 신조차 고장관리 세부현황'!$D:$D,"2022",'2023년 신조차 고장관리 세부현황'!$E:$E,'처리 현황'!$B14,'2023년 신조차 고장관리 세부현황'!$K:$K,'처리 현황'!X$3)</f>
        <v>0</v>
      </c>
      <c r="Y14" s="133">
        <f>COUNTIFS('2023년 신조차 고장관리 세부현황'!$D:$D,"2022",'2023년 신조차 고장관리 세부현황'!$E:$E,'처리 현황'!$B14,'2023년 신조차 고장관리 세부현황'!$K:$K,Y$2,'2023년 신조차 고장관리 세부현황'!$S:$S,"단품불량")</f>
        <v>0</v>
      </c>
      <c r="Z14" s="106">
        <f t="shared" si="1"/>
        <v>0</v>
      </c>
      <c r="AD14">
        <v>11</v>
      </c>
      <c r="AE14">
        <v>0</v>
      </c>
      <c r="AH14" s="378"/>
      <c r="AI14" s="104">
        <v>11</v>
      </c>
      <c r="AJ14" s="109" t="s">
        <v>204</v>
      </c>
      <c r="AK14" s="109">
        <v>0</v>
      </c>
      <c r="AL14" s="104">
        <f>COUNTIFS('2023년 신조차 고장관리 세부현황'!$D:$D,"2022",'2023년 신조차 고장관리 세부현황'!$E:$E,'처리 현황'!$B14)</f>
        <v>0</v>
      </c>
      <c r="AM14" s="104">
        <f>COUNTIFS('2023년 신조차 고장관리 세부현황'!$D:$D,"2022",'2023년 신조차 고장관리 세부현황'!$E:$E,'처리 현황'!$B14,'2023년 신조차 고장관리 세부현황'!$V:$V,'처리 현황'!AM$3)</f>
        <v>0</v>
      </c>
      <c r="AN14" s="104">
        <f>COUNTIFS('2023년 신조차 고장관리 세부현황'!$D:$D,"2022",'2023년 신조차 고장관리 세부현황'!$E:$E,'처리 현황'!$B14,'2023년 신조차 고장관리 세부현황'!$V:$V,'처리 현황'!AN$3)</f>
        <v>0</v>
      </c>
      <c r="AO14" s="104">
        <f>COUNTIFS('2023년 신조차 고장관리 세부현황'!$D:$D,"2022",'2023년 신조차 고장관리 세부현황'!$E:$E,'처리 현황'!$B14,'2023년 신조차 고장관리 세부현황'!$V:$V,'처리 현황'!AO$3)</f>
        <v>0</v>
      </c>
      <c r="AP14" s="104">
        <f>COUNTIFS('2023년 신조차 고장관리 세부현황'!$D:$D,"2022",'2023년 신조차 고장관리 세부현황'!$E:$E,'처리 현황'!$B14,'2023년 신조차 고장관리 세부현황'!$V:$V,'처리 현황'!AP$3)</f>
        <v>0</v>
      </c>
      <c r="AQ14" s="104">
        <f>COUNTIFS('2023년 신조차 고장관리 세부현황'!$D:$D,"2022",'2023년 신조차 고장관리 세부현황'!$E:$E,'처리 현황'!$B14,'2023년 신조차 고장관리 세부현황'!$V:$V,'처리 현황'!AQ$3)</f>
        <v>0</v>
      </c>
      <c r="AR14" s="190">
        <f t="shared" si="2"/>
        <v>0</v>
      </c>
      <c r="AS14" s="119">
        <f>COUNTIFS('2023년 신조차 고장관리 세부현황'!$D:$D,"2022",'2023년 신조차 고장관리 세부현황'!$E:$E,'처리 현황'!$B14,'2023년 신조차 고장관리 세부현황'!$J:$J,'처리 현황'!AS$3)</f>
        <v>0</v>
      </c>
      <c r="AT14" s="104">
        <f>COUNTIFS('2023년 신조차 고장관리 세부현황'!$D:$D,"2022",'2023년 신조차 고장관리 세부현황'!$E:$E,'처리 현황'!$B14,'2023년 신조차 고장관리 세부현황'!$J:$J,'처리 현황'!AT$3)</f>
        <v>0</v>
      </c>
      <c r="AU14" s="104">
        <f>COUNTIFS('2023년 신조차 고장관리 세부현황'!$D:$D,"2022",'2023년 신조차 고장관리 세부현황'!$E:$E,'처리 현황'!$B14,'2023년 신조차 고장관리 세부현황'!$J:$J,'처리 현황'!AU$3)</f>
        <v>0</v>
      </c>
      <c r="AV14" s="104">
        <f>COUNTIFS('2023년 신조차 고장관리 세부현황'!$D:$D,"2022",'2023년 신조차 고장관리 세부현황'!$E:$E,'처리 현황'!$B14,'2023년 신조차 고장관리 세부현황'!$J:$J,'처리 현황'!AV$3)</f>
        <v>0</v>
      </c>
      <c r="AW14" s="104">
        <f>COUNTIFS('2023년 신조차 고장관리 세부현황'!$D:$D,"2022",'2023년 신조차 고장관리 세부현황'!$E:$E,'처리 현황'!$B14,'2023년 신조차 고장관리 세부현황'!$J:$J,'처리 현황'!AW$3)</f>
        <v>0</v>
      </c>
      <c r="AX14" s="119">
        <f>COUNTIFS('2023년 신조차 고장관리 세부현황'!$D:$D,"2022",'2023년 신조차 고장관리 세부현황'!$E:$E,'처리 현황'!$B14,'2023년 신조차 고장관리 세부현황'!$L:$L,'처리 현황'!AX$3)</f>
        <v>0</v>
      </c>
      <c r="AY14" s="106">
        <f>COUNTIFS('2023년 신조차 고장관리 세부현황'!$D:$D,"2022",'2023년 신조차 고장관리 세부현황'!$E:$E,'처리 현황'!$B14,'2023년 신조차 고장관리 세부현황'!$L:$L,'처리 현황'!AY$3)</f>
        <v>0</v>
      </c>
      <c r="AZ14" s="106">
        <f>COUNTIFS('2023년 신조차 고장관리 세부현황'!$D:$D,"2022",'2023년 신조차 고장관리 세부현황'!$E:$E,'처리 현황'!$B14,'2023년 신조차 고장관리 세부현황'!$L:$L,'처리 현황'!AZ$3)</f>
        <v>0</v>
      </c>
      <c r="BA14" s="106">
        <f>COUNTIFS('2023년 신조차 고장관리 세부현황'!$D:$D,"2022",'2023년 신조차 고장관리 세부현황'!$E:$E,'처리 현황'!$B14,'2023년 신조차 고장관리 세부현황'!$L:$L,'처리 현황'!BA$3)</f>
        <v>0</v>
      </c>
      <c r="BB14" s="106">
        <f>COUNTIFS('2023년 신조차 고장관리 세부현황'!$D:$D,"2022",'2023년 신조차 고장관리 세부현황'!$E:$E,'처리 현황'!$B14,'2023년 신조차 고장관리 세부현황'!$L:$L,'처리 현황'!BB$3)</f>
        <v>0</v>
      </c>
      <c r="BC14" s="106">
        <f>COUNTIFS('2023년 신조차 고장관리 세부현황'!$D:$D,"2022",'2023년 신조차 고장관리 세부현황'!$E:$E,'처리 현황'!$B14,'2023년 신조차 고장관리 세부현황'!$L:$L,'처리 현황'!BC$3)</f>
        <v>0</v>
      </c>
      <c r="BD14" s="106">
        <f t="shared" si="3"/>
        <v>0</v>
      </c>
      <c r="BE14" s="119">
        <f>COUNTIFS('2023년 신조차 고장관리 세부현황'!$D:$D,"2022",'2023년 신조차 고장관리 세부현황'!$E:$E,'처리 현황'!$B14,'2023년 신조차 고장관리 세부현황'!$K:$K,'처리 현황'!BE$3)</f>
        <v>0</v>
      </c>
      <c r="BF14" s="133">
        <f>COUNTIFS('2023년 신조차 고장관리 세부현황'!$D:$D,"2022",'2023년 신조차 고장관리 세부현황'!$E:$E,'처리 현황'!$B14,'2023년 신조차 고장관리 세부현황'!$K:$K,BF$2,'2023년 신조차 고장관리 세부현황'!$S:$S,"단품불량")</f>
        <v>0</v>
      </c>
      <c r="BG14" s="106">
        <f>COUNTIFS('2023년 신조차 고장관리 세부현황'!$D:$D,"2022",'2023년 신조차 고장관리 세부현황'!$E:$E,'처리 현황'!$B14,'2023년 신조차 고장관리 세부현황'!$K:$K,'처리 현황'!BG$3)</f>
        <v>0</v>
      </c>
      <c r="BH14" s="133">
        <f>COUNTIFS('2023년 신조차 고장관리 세부현황'!$D:$D,"2022",'2023년 신조차 고장관리 세부현황'!$E:$E,'처리 현황'!$B14,'2023년 신조차 고장관리 세부현황'!$K:$K,BH$2,'2023년 신조차 고장관리 세부현황'!$S:$S,"단품불량")</f>
        <v>0</v>
      </c>
      <c r="BI14" s="106">
        <f t="shared" si="4"/>
        <v>0</v>
      </c>
      <c r="BJ14">
        <f>COUNTIFS('2023년 신조차 고장관리 세부현황'!$D:$D,"2022",'2023년 신조차 고장관리 세부현황'!$E:$E,'처리 현황'!$B14,'2023년 신조차 고장관리 세부현황'!$BC:$BC,"완료",'2023년 신조차 고장관리 세부현황'!$CY:$CY,BJ$3)</f>
        <v>0</v>
      </c>
      <c r="BK14">
        <f>COUNTIFS('2023년 신조차 고장관리 세부현황'!$D:$D,"2022",'2023년 신조차 고장관리 세부현황'!$E:$E,'처리 현황'!$B14,'2023년 신조차 고장관리 세부현황'!$BC:$BC,"완료",'2023년 신조차 고장관리 세부현황'!$CY:$CY,BK$3)</f>
        <v>0</v>
      </c>
      <c r="BL14">
        <f>COUNTIFS('2023년 신조차 고장관리 세부현황'!$D:$D,"2022",'2023년 신조차 고장관리 세부현황'!$E:$E,'처리 현황'!$B14,'2023년 신조차 고장관리 세부현황'!$BC:$BC,"완료",'2023년 신조차 고장관리 세부현황'!$CY:$CY,BL$3)</f>
        <v>0</v>
      </c>
      <c r="BM14">
        <f>COUNTIFS('2023년 신조차 고장관리 세부현황'!$D:$D,"2022",'2023년 신조차 고장관리 세부현황'!$E:$E,'처리 현황'!$B14,'2023년 신조차 고장관리 세부현황'!$BC:$BC,"완료",'2023년 신조차 고장관리 세부현황'!$CY:$CY,BM$3)</f>
        <v>0</v>
      </c>
      <c r="BN14">
        <f>COUNTIFS('2023년 신조차 고장관리 세부현황'!$D:$D,"2022",'2023년 신조차 고장관리 세부현황'!$E:$E,'처리 현황'!$B14,'2023년 신조차 고장관리 세부현황'!$BC:$BC,"완료",'2023년 신조차 고장관리 세부현황'!$CY:$CY,BN$3)</f>
        <v>0</v>
      </c>
      <c r="BO14">
        <f>COUNTIFS('2023년 신조차 고장관리 세부현황'!$D:$D,"2022",'2023년 신조차 고장관리 세부현황'!$E:$E,'처리 현황'!$B14,'2023년 신조차 고장관리 세부현황'!$BC:$BC,"완료",'2023년 신조차 고장관리 세부현황'!$CY:$CY,BO$3)</f>
        <v>0</v>
      </c>
      <c r="BP14">
        <f>COUNTIFS('2023년 신조차 고장관리 세부현황'!$D:$D,"2022",'2023년 신조차 고장관리 세부현황'!$E:$E,'처리 현황'!$B14,'2023년 신조차 고장관리 세부현황'!$BC:$BC,"완료",'2023년 신조차 고장관리 세부현황'!$CY:$CY,BP$3)</f>
        <v>0</v>
      </c>
    </row>
    <row r="15" spans="1:86" ht="18" thickBot="1" x14ac:dyDescent="0.45">
      <c r="A15" s="379"/>
      <c r="B15" s="110">
        <v>12</v>
      </c>
      <c r="C15" s="111" t="s">
        <v>205</v>
      </c>
      <c r="D15" s="110">
        <f>COUNTIFS('2023년 신조차 고장관리 세부현황'!$D:$D,"2022",'2023년 신조차 고장관리 세부현황'!$E:$E,'처리 현황'!$B15)</f>
        <v>0</v>
      </c>
      <c r="E15" s="110">
        <f>COUNTIFS('2023년 신조차 고장관리 세부현황'!$D:$D,"2022",'2023년 신조차 고장관리 세부현황'!$E:$E,'처리 현황'!$B15,'2023년 신조차 고장관리 세부현황'!$T:$T,'처리 현황'!E$3)</f>
        <v>0</v>
      </c>
      <c r="F15" s="110">
        <f>COUNTIFS('2023년 신조차 고장관리 세부현황'!$D:$D,"2022",'2023년 신조차 고장관리 세부현황'!$E:$E,'처리 현황'!$B15,'2023년 신조차 고장관리 세부현황'!$T:$T,'처리 현황'!F$3)</f>
        <v>0</v>
      </c>
      <c r="G15" s="110">
        <f>COUNTIFS('2023년 신조차 고장관리 세부현황'!$D:$D,"2022",'2023년 신조차 고장관리 세부현황'!$E:$E,'처리 현황'!$B15,'2023년 신조차 고장관리 세부현황'!$T:$T,'처리 현황'!G$3)</f>
        <v>0</v>
      </c>
      <c r="H15" s="110">
        <f>COUNTIFS('2023년 신조차 고장관리 세부현황'!$D:$D,"2022",'2023년 신조차 고장관리 세부현황'!$E:$E,'처리 현황'!$B15,'2023년 신조차 고장관리 세부현황'!$T:$T,'처리 현황'!H$3)</f>
        <v>0</v>
      </c>
      <c r="I15" s="110">
        <f>COUNTIFS('2023년 신조차 고장관리 세부현황'!$D:$D,"2022",'2023년 신조차 고장관리 세부현황'!$E:$E,'처리 현황'!$B15,'2023년 신조차 고장관리 세부현황'!$T:$T,'처리 현황'!I$3)</f>
        <v>0</v>
      </c>
      <c r="J15" s="119">
        <f>COUNTIFS('2023년 신조차 고장관리 세부현황'!$D:$D,"2022",'2023년 신조차 고장관리 세부현황'!$E:$E,'처리 현황'!$B15,'2023년 신조차 고장관리 세부현황'!$J:$J,'처리 현황'!J$3)</f>
        <v>0</v>
      </c>
      <c r="K15" s="104">
        <f>COUNTIFS('2023년 신조차 고장관리 세부현황'!$D:$D,"2022",'2023년 신조차 고장관리 세부현황'!$E:$E,'처리 현황'!$B15,'2023년 신조차 고장관리 세부현황'!$J:$J,'처리 현황'!K$3)</f>
        <v>0</v>
      </c>
      <c r="L15" s="104">
        <f>COUNTIFS('2023년 신조차 고장관리 세부현황'!$D:$D,"2022",'2023년 신조차 고장관리 세부현황'!$E:$E,'처리 현황'!$B15,'2023년 신조차 고장관리 세부현황'!$J:$J,'처리 현황'!L$3)</f>
        <v>0</v>
      </c>
      <c r="M15" s="104">
        <f>COUNTIFS('2023년 신조차 고장관리 세부현황'!$D:$D,"2022",'2023년 신조차 고장관리 세부현황'!$E:$E,'처리 현황'!$B15,'2023년 신조차 고장관리 세부현황'!$J:$J,'처리 현황'!M$3)</f>
        <v>0</v>
      </c>
      <c r="N15" s="104">
        <f>COUNTIFS('2023년 신조차 고장관리 세부현황'!$D:$D,"2022",'2023년 신조차 고장관리 세부현황'!$E:$E,'처리 현황'!$B15,'2023년 신조차 고장관리 세부현황'!$J:$J,'처리 현황'!N$3)</f>
        <v>0</v>
      </c>
      <c r="O15" s="126">
        <f>COUNTIFS('2023년 신조차 고장관리 세부현황'!$D:$D,"2022",'2023년 신조차 고장관리 세부현황'!$E:$E,'처리 현황'!$B15,'2023년 신조차 고장관리 세부현황'!$L:$L,'처리 현황'!O$3)</f>
        <v>0</v>
      </c>
      <c r="P15" s="110">
        <f>COUNTIFS('2023년 신조차 고장관리 세부현황'!$D:$D,"2022",'2023년 신조차 고장관리 세부현황'!$E:$E,'처리 현황'!$B15,'2023년 신조차 고장관리 세부현황'!$L:$L,'처리 현황'!P$3)</f>
        <v>0</v>
      </c>
      <c r="Q15" s="110">
        <f>COUNTIFS('2023년 신조차 고장관리 세부현황'!$D:$D,"2022",'2023년 신조차 고장관리 세부현황'!$E:$E,'처리 현황'!$B15,'2023년 신조차 고장관리 세부현황'!$L:$L,'처리 현황'!Q$3)</f>
        <v>0</v>
      </c>
      <c r="R15" s="110">
        <f>COUNTIFS('2023년 신조차 고장관리 세부현황'!$D:$D,"2022",'2023년 신조차 고장관리 세부현황'!$E:$E,'처리 현황'!$B15,'2023년 신조차 고장관리 세부현황'!$L:$L,'처리 현황'!R$3)</f>
        <v>0</v>
      </c>
      <c r="S15" s="110">
        <f>COUNTIFS('2023년 신조차 고장관리 세부현황'!$D:$D,"2022",'2023년 신조차 고장관리 세부현황'!$E:$E,'처리 현황'!$B15,'2023년 신조차 고장관리 세부현황'!$L:$L,'처리 현황'!S$3)</f>
        <v>0</v>
      </c>
      <c r="T15" s="110">
        <f>COUNTIFS('2023년 신조차 고장관리 세부현황'!$D:$D,"2022",'2023년 신조차 고장관리 세부현황'!$E:$E,'처리 현황'!$B15,'2023년 신조차 고장관리 세부현황'!$L:$L,'처리 현황'!T$3)</f>
        <v>0</v>
      </c>
      <c r="U15" s="127">
        <f t="shared" si="0"/>
        <v>0</v>
      </c>
      <c r="V15" s="126">
        <f>COUNTIFS('2023년 신조차 고장관리 세부현황'!$D:$D,"2022",'2023년 신조차 고장관리 세부현황'!$E:$E,'처리 현황'!$B15,'2023년 신조차 고장관리 세부현황'!$K:$K,'처리 현황'!V$3)</f>
        <v>0</v>
      </c>
      <c r="W15" s="134">
        <f>COUNTIFS('2023년 신조차 고장관리 세부현황'!$D:$D,"2022",'2023년 신조차 고장관리 세부현황'!$E:$E,'처리 현황'!$B15,'2023년 신조차 고장관리 세부현황'!$K:$K,W$2,'2023년 신조차 고장관리 세부현황'!$S:$S,"단품불량")</f>
        <v>0</v>
      </c>
      <c r="X15" s="134">
        <f>COUNTIFS('2023년 신조차 고장관리 세부현황'!$D:$D,"2022",'2023년 신조차 고장관리 세부현황'!$E:$E,'처리 현황'!$B15,'2023년 신조차 고장관리 세부현황'!$K:$K,'처리 현황'!X$3)</f>
        <v>0</v>
      </c>
      <c r="Y15" s="134">
        <f>COUNTIFS('2023년 신조차 고장관리 세부현황'!$D:$D,"2022",'2023년 신조차 고장관리 세부현황'!$E:$E,'처리 현황'!$B15,'2023년 신조차 고장관리 세부현황'!$K:$K,Y$2,'2023년 신조차 고장관리 세부현황'!$S:$S,"단품불량")</f>
        <v>0</v>
      </c>
      <c r="Z15" s="134">
        <f t="shared" si="1"/>
        <v>0</v>
      </c>
      <c r="AD15">
        <v>12</v>
      </c>
      <c r="AE15">
        <v>0</v>
      </c>
      <c r="AH15" s="379"/>
      <c r="AI15" s="110">
        <v>12</v>
      </c>
      <c r="AJ15" s="111" t="s">
        <v>205</v>
      </c>
      <c r="AK15" s="109">
        <v>0</v>
      </c>
      <c r="AL15" s="110">
        <f>COUNTIFS('2023년 신조차 고장관리 세부현황'!$D:$D,"2022",'2023년 신조차 고장관리 세부현황'!$E:$E,'처리 현황'!$B15)</f>
        <v>0</v>
      </c>
      <c r="AM15" s="110">
        <f>COUNTIFS('2023년 신조차 고장관리 세부현황'!$D:$D,"2022",'2023년 신조차 고장관리 세부현황'!$E:$E,'처리 현황'!$B15,'2023년 신조차 고장관리 세부현황'!$V:$V,'처리 현황'!AM$3)</f>
        <v>0</v>
      </c>
      <c r="AN15" s="110">
        <f>COUNTIFS('2023년 신조차 고장관리 세부현황'!$D:$D,"2022",'2023년 신조차 고장관리 세부현황'!$E:$E,'처리 현황'!$B15,'2023년 신조차 고장관리 세부현황'!$V:$V,'처리 현황'!AN$3)</f>
        <v>0</v>
      </c>
      <c r="AO15" s="110">
        <f>COUNTIFS('2023년 신조차 고장관리 세부현황'!$D:$D,"2022",'2023년 신조차 고장관리 세부현황'!$E:$E,'처리 현황'!$B15,'2023년 신조차 고장관리 세부현황'!$V:$V,'처리 현황'!AO$3)</f>
        <v>0</v>
      </c>
      <c r="AP15" s="110">
        <f>COUNTIFS('2023년 신조차 고장관리 세부현황'!$D:$D,"2022",'2023년 신조차 고장관리 세부현황'!$E:$E,'처리 현황'!$B15,'2023년 신조차 고장관리 세부현황'!$V:$V,'처리 현황'!AP$3)</f>
        <v>0</v>
      </c>
      <c r="AQ15" s="110">
        <f>COUNTIFS('2023년 신조차 고장관리 세부현황'!$D:$D,"2022",'2023년 신조차 고장관리 세부현황'!$E:$E,'처리 현황'!$B15,'2023년 신조차 고장관리 세부현황'!$V:$V,'처리 현황'!AQ$3)</f>
        <v>0</v>
      </c>
      <c r="AR15" s="190">
        <f t="shared" si="2"/>
        <v>0</v>
      </c>
      <c r="AS15" s="119">
        <f>COUNTIFS('2023년 신조차 고장관리 세부현황'!$D:$D,"2022",'2023년 신조차 고장관리 세부현황'!$E:$E,'처리 현황'!$B15,'2023년 신조차 고장관리 세부현황'!$J:$J,'처리 현황'!AS$3)</f>
        <v>0</v>
      </c>
      <c r="AT15" s="104">
        <f>COUNTIFS('2023년 신조차 고장관리 세부현황'!$D:$D,"2022",'2023년 신조차 고장관리 세부현황'!$E:$E,'처리 현황'!$B15,'2023년 신조차 고장관리 세부현황'!$J:$J,'처리 현황'!AT$3)</f>
        <v>0</v>
      </c>
      <c r="AU15" s="104">
        <f>COUNTIFS('2023년 신조차 고장관리 세부현황'!$D:$D,"2022",'2023년 신조차 고장관리 세부현황'!$E:$E,'처리 현황'!$B15,'2023년 신조차 고장관리 세부현황'!$J:$J,'처리 현황'!AU$3)</f>
        <v>0</v>
      </c>
      <c r="AV15" s="104">
        <f>COUNTIFS('2023년 신조차 고장관리 세부현황'!$D:$D,"2022",'2023년 신조차 고장관리 세부현황'!$E:$E,'처리 현황'!$B15,'2023년 신조차 고장관리 세부현황'!$J:$J,'처리 현황'!AV$3)</f>
        <v>0</v>
      </c>
      <c r="AW15" s="104">
        <f>COUNTIFS('2023년 신조차 고장관리 세부현황'!$D:$D,"2022",'2023년 신조차 고장관리 세부현황'!$E:$E,'처리 현황'!$B15,'2023년 신조차 고장관리 세부현황'!$J:$J,'처리 현황'!AW$3)</f>
        <v>0</v>
      </c>
      <c r="AX15" s="126">
        <f>COUNTIFS('2023년 신조차 고장관리 세부현황'!$D:$D,"2022",'2023년 신조차 고장관리 세부현황'!$E:$E,'처리 현황'!$B15,'2023년 신조차 고장관리 세부현황'!$L:$L,'처리 현황'!AX$3)</f>
        <v>0</v>
      </c>
      <c r="AY15" s="110">
        <f>COUNTIFS('2023년 신조차 고장관리 세부현황'!$D:$D,"2022",'2023년 신조차 고장관리 세부현황'!$E:$E,'처리 현황'!$B15,'2023년 신조차 고장관리 세부현황'!$L:$L,'처리 현황'!AY$3)</f>
        <v>0</v>
      </c>
      <c r="AZ15" s="110">
        <f>COUNTIFS('2023년 신조차 고장관리 세부현황'!$D:$D,"2022",'2023년 신조차 고장관리 세부현황'!$E:$E,'처리 현황'!$B15,'2023년 신조차 고장관리 세부현황'!$L:$L,'처리 현황'!AZ$3)</f>
        <v>0</v>
      </c>
      <c r="BA15" s="110">
        <f>COUNTIFS('2023년 신조차 고장관리 세부현황'!$D:$D,"2022",'2023년 신조차 고장관리 세부현황'!$E:$E,'처리 현황'!$B15,'2023년 신조차 고장관리 세부현황'!$L:$L,'처리 현황'!BA$3)</f>
        <v>0</v>
      </c>
      <c r="BB15" s="110">
        <f>COUNTIFS('2023년 신조차 고장관리 세부현황'!$D:$D,"2022",'2023년 신조차 고장관리 세부현황'!$E:$E,'처리 현황'!$B15,'2023년 신조차 고장관리 세부현황'!$L:$L,'처리 현황'!BB$3)</f>
        <v>0</v>
      </c>
      <c r="BC15" s="110">
        <f>COUNTIFS('2023년 신조차 고장관리 세부현황'!$D:$D,"2022",'2023년 신조차 고장관리 세부현황'!$E:$E,'처리 현황'!$B15,'2023년 신조차 고장관리 세부현황'!$L:$L,'처리 현황'!BC$3)</f>
        <v>0</v>
      </c>
      <c r="BD15" s="110">
        <f t="shared" si="3"/>
        <v>0</v>
      </c>
      <c r="BE15" s="126">
        <f>COUNTIFS('2023년 신조차 고장관리 세부현황'!$D:$D,"2022",'2023년 신조차 고장관리 세부현황'!$E:$E,'처리 현황'!$B15,'2023년 신조차 고장관리 세부현황'!$K:$K,'처리 현황'!BE$3)</f>
        <v>0</v>
      </c>
      <c r="BF15" s="134">
        <f>COUNTIFS('2023년 신조차 고장관리 세부현황'!$D:$D,"2022",'2023년 신조차 고장관리 세부현황'!$E:$E,'처리 현황'!$B15,'2023년 신조차 고장관리 세부현황'!$K:$K,BF$2,'2023년 신조차 고장관리 세부현황'!$S:$S,"단품불량")</f>
        <v>0</v>
      </c>
      <c r="BG15" s="134">
        <f>COUNTIFS('2023년 신조차 고장관리 세부현황'!$D:$D,"2022",'2023년 신조차 고장관리 세부현황'!$E:$E,'처리 현황'!$B15,'2023년 신조차 고장관리 세부현황'!$K:$K,'처리 현황'!BG$3)</f>
        <v>0</v>
      </c>
      <c r="BH15" s="134">
        <f>COUNTIFS('2023년 신조차 고장관리 세부현황'!$D:$D,"2022",'2023년 신조차 고장관리 세부현황'!$E:$E,'처리 현황'!$B15,'2023년 신조차 고장관리 세부현황'!$K:$K,BH$2,'2023년 신조차 고장관리 세부현황'!$S:$S,"단품불량")</f>
        <v>0</v>
      </c>
      <c r="BI15" s="134">
        <f t="shared" si="4"/>
        <v>0</v>
      </c>
      <c r="BJ15">
        <f>COUNTIFS('2023년 신조차 고장관리 세부현황'!$D:$D,"2022",'2023년 신조차 고장관리 세부현황'!$E:$E,'처리 현황'!$B15,'2023년 신조차 고장관리 세부현황'!$BC:$BC,"완료",'2023년 신조차 고장관리 세부현황'!$CY:$CY,BJ$3)</f>
        <v>0</v>
      </c>
      <c r="BK15">
        <f>COUNTIFS('2023년 신조차 고장관리 세부현황'!$D:$D,"2022",'2023년 신조차 고장관리 세부현황'!$E:$E,'처리 현황'!$B15,'2023년 신조차 고장관리 세부현황'!$BC:$BC,"완료",'2023년 신조차 고장관리 세부현황'!$CY:$CY,BK$3)</f>
        <v>0</v>
      </c>
      <c r="BL15">
        <f>COUNTIFS('2023년 신조차 고장관리 세부현황'!$D:$D,"2022",'2023년 신조차 고장관리 세부현황'!$E:$E,'처리 현황'!$B15,'2023년 신조차 고장관리 세부현황'!$BC:$BC,"완료",'2023년 신조차 고장관리 세부현황'!$CY:$CY,BL$3)</f>
        <v>0</v>
      </c>
      <c r="BM15">
        <f>COUNTIFS('2023년 신조차 고장관리 세부현황'!$D:$D,"2022",'2023년 신조차 고장관리 세부현황'!$E:$E,'처리 현황'!$B15,'2023년 신조차 고장관리 세부현황'!$BC:$BC,"완료",'2023년 신조차 고장관리 세부현황'!$CY:$CY,BM$3)</f>
        <v>0</v>
      </c>
      <c r="BN15">
        <f>COUNTIFS('2023년 신조차 고장관리 세부현황'!$D:$D,"2022",'2023년 신조차 고장관리 세부현황'!$E:$E,'처리 현황'!$B15,'2023년 신조차 고장관리 세부현황'!$BC:$BC,"완료",'2023년 신조차 고장관리 세부현황'!$CY:$CY,BN$3)</f>
        <v>0</v>
      </c>
      <c r="BO15">
        <f>COUNTIFS('2023년 신조차 고장관리 세부현황'!$D:$D,"2022",'2023년 신조차 고장관리 세부현황'!$E:$E,'처리 현황'!$B15,'2023년 신조차 고장관리 세부현황'!$BC:$BC,"완료",'2023년 신조차 고장관리 세부현황'!$CY:$CY,BO$3)</f>
        <v>0</v>
      </c>
      <c r="BP15">
        <f>COUNTIFS('2023년 신조차 고장관리 세부현황'!$D:$D,"2022",'2023년 신조차 고장관리 세부현황'!$E:$E,'처리 현황'!$B15,'2023년 신조차 고장관리 세부현황'!$BC:$BC,"완료",'2023년 신조차 고장관리 세부현황'!$CY:$CY,BP$3)</f>
        <v>0</v>
      </c>
    </row>
    <row r="16" spans="1:86" x14ac:dyDescent="0.4">
      <c r="A16" s="380">
        <v>2023</v>
      </c>
      <c r="B16" s="97">
        <v>1</v>
      </c>
      <c r="C16" s="108" t="s">
        <v>206</v>
      </c>
      <c r="D16" s="97">
        <f>COUNTIFS('2023년 신조차 고장관리 세부현황'!$D:$D,"2023",'2023년 신조차 고장관리 세부현황'!$E:$E,'처리 현황'!$B16)</f>
        <v>3</v>
      </c>
      <c r="E16" s="97">
        <f>COUNTIFS('2023년 신조차 고장관리 세부현황'!$D:$D,"2023",'2023년 신조차 고장관리 세부현황'!$E:$E,'처리 현황'!$B16,'2023년 신조차 고장관리 세부현황'!$T:$T,'처리 현황'!E$3)</f>
        <v>0</v>
      </c>
      <c r="F16" s="97">
        <f>COUNTIFS('2023년 신조차 고장관리 세부현황'!$D:$D,"2023",'2023년 신조차 고장관리 세부현황'!$E:$E,'처리 현황'!$B16,'2023년 신조차 고장관리 세부현황'!$T:$T,'처리 현황'!F$3)</f>
        <v>3</v>
      </c>
      <c r="G16" s="97">
        <f>COUNTIFS('2023년 신조차 고장관리 세부현황'!$D:$D,"2023",'2023년 신조차 고장관리 세부현황'!$E:$E,'처리 현황'!$B16,'2023년 신조차 고장관리 세부현황'!$T:$T,'처리 현황'!G$3)</f>
        <v>0</v>
      </c>
      <c r="H16" s="97">
        <f>COUNTIFS('2023년 신조차 고장관리 세부현황'!$D:$D,"2023",'2023년 신조차 고장관리 세부현황'!$E:$E,'처리 현황'!$B16,'2023년 신조차 고장관리 세부현황'!$T:$T,'처리 현황'!H$3)</f>
        <v>0</v>
      </c>
      <c r="I16" s="97">
        <f>COUNTIFS('2023년 신조차 고장관리 세부현황'!$D:$D,"2023",'2023년 신조차 고장관리 세부현황'!$E:$E,'처리 현황'!$B16,'2023년 신조차 고장관리 세부현황'!$T:$T,'처리 현황'!I$3)</f>
        <v>0</v>
      </c>
      <c r="J16" s="120">
        <f>COUNTIFS('2023년 신조차 고장관리 세부현황'!$D:$D,"2023",'2023년 신조차 고장관리 세부현황'!$E:$E,'처리 현황'!$B16,'2023년 신조차 고장관리 세부현황'!$J:$J,'처리 현황'!J$3)</f>
        <v>1</v>
      </c>
      <c r="K16" s="117">
        <f>COUNTIFS('2023년 신조차 고장관리 세부현황'!$D:$D,"2023",'2023년 신조차 고장관리 세부현황'!$E:$E,'처리 현황'!$B16,'2023년 신조차 고장관리 세부현황'!$J:$J,'처리 현황'!K$3)</f>
        <v>1</v>
      </c>
      <c r="L16" s="117">
        <f>COUNTIFS('2023년 신조차 고장관리 세부현황'!$D:$D,"2023",'2023년 신조차 고장관리 세부현황'!$E:$E,'처리 현황'!$B16,'2023년 신조차 고장관리 세부현황'!$J:$J,'처리 현황'!L$3)</f>
        <v>0</v>
      </c>
      <c r="M16" s="117">
        <f>COUNTIFS('2023년 신조차 고장관리 세부현황'!$D:$D,"2023",'2023년 신조차 고장관리 세부현황'!$E:$E,'처리 현황'!$B16,'2023년 신조차 고장관리 세부현황'!$J:$J,'처리 현황'!M$3)</f>
        <v>1</v>
      </c>
      <c r="N16" s="117">
        <f>COUNTIFS('2023년 신조차 고장관리 세부현황'!$D:$D,"2023",'2023년 신조차 고장관리 세부현황'!$E:$E,'처리 현황'!$B16,'2023년 신조차 고장관리 세부현황'!$J:$J,'처리 현황'!N$3)</f>
        <v>0</v>
      </c>
      <c r="O16" s="119">
        <f>COUNTIFS('2023년 신조차 고장관리 세부현황'!$D:$D,"2023",'2023년 신조차 고장관리 세부현황'!$E:$E,'처리 현황'!$B16,'2023년 신조차 고장관리 세부현황'!$L:$L,'처리 현황'!O$3)</f>
        <v>0</v>
      </c>
      <c r="P16" s="106">
        <f>COUNTIFS('2023년 신조차 고장관리 세부현황'!$D:$D,"2023",'2023년 신조차 고장관리 세부현황'!$E:$E,'처리 현황'!$B16,'2023년 신조차 고장관리 세부현황'!$L:$L,'처리 현황'!P$3)</f>
        <v>0</v>
      </c>
      <c r="Q16" s="106">
        <f>COUNTIFS('2023년 신조차 고장관리 세부현황'!$D:$D,"2023",'2023년 신조차 고장관리 세부현황'!$E:$E,'처리 현황'!$B16,'2023년 신조차 고장관리 세부현황'!$L:$L,'처리 현황'!Q$3)</f>
        <v>0</v>
      </c>
      <c r="R16" s="106">
        <f>COUNTIFS('2023년 신조차 고장관리 세부현황'!$D:$D,"2023",'2023년 신조차 고장관리 세부현황'!$E:$E,'처리 현황'!$B16,'2023년 신조차 고장관리 세부현황'!$L:$L,'처리 현황'!R$3)</f>
        <v>0</v>
      </c>
      <c r="S16" s="106">
        <f>COUNTIFS('2023년 신조차 고장관리 세부현황'!$D:$D,"2023",'2023년 신조차 고장관리 세부현황'!$E:$E,'처리 현황'!$B16,'2023년 신조차 고장관리 세부현황'!$L:$L,'처리 현황'!S$3)</f>
        <v>1</v>
      </c>
      <c r="T16" s="106">
        <f>COUNTIFS('2023년 신조차 고장관리 세부현황'!$D:$D,"2023",'2023년 신조차 고장관리 세부현황'!$E:$E,'처리 현황'!$B16,'2023년 신조차 고장관리 세부현황'!$L:$L,'처리 현황'!T$3)</f>
        <v>2</v>
      </c>
      <c r="U16" s="125">
        <f t="shared" si="0"/>
        <v>0</v>
      </c>
      <c r="V16" s="106">
        <f>COUNTIFS('2023년 신조차 고장관리 세부현황'!$D:$D,"2023",'2023년 신조차 고장관리 세부현황'!$E:$E,'처리 현황'!$B16,'2023년 신조차 고장관리 세부현황'!$K:$K,'처리 현황'!V$3)</f>
        <v>0</v>
      </c>
      <c r="W16" s="133">
        <f>COUNTIFS('2023년 신조차 고장관리 세부현황'!$D:$D,"2023",'2023년 신조차 고장관리 세부현황'!$E:$E,'처리 현황'!$B16,'2023년 신조차 고장관리 세부현황'!$K:$K,W$2,'2023년 신조차 고장관리 세부현황'!$S:$S,"단품불량")</f>
        <v>0</v>
      </c>
      <c r="X16" s="106">
        <f>COUNTIFS('2023년 신조차 고장관리 세부현황'!$D:$D,"2023",'2023년 신조차 고장관리 세부현황'!$E:$E,'처리 현황'!$B16,'2023년 신조차 고장관리 세부현황'!$K:$K,'처리 현황'!X$3)</f>
        <v>3</v>
      </c>
      <c r="Y16" s="133">
        <f>COUNTIFS('2023년 신조차 고장관리 세부현황'!$D:$D,"2023",'2023년 신조차 고장관리 세부현황'!$E:$E,'처리 현황'!$B16,'2023년 신조차 고장관리 세부현황'!$K:$K,Y$2,'2023년 신조차 고장관리 세부현황'!$S:$S,"단품불량")</f>
        <v>0</v>
      </c>
      <c r="Z16" s="106">
        <f t="shared" si="1"/>
        <v>0</v>
      </c>
      <c r="AD16">
        <v>1</v>
      </c>
      <c r="AE16">
        <v>0</v>
      </c>
      <c r="AH16" s="380">
        <v>2023</v>
      </c>
      <c r="AI16" s="97">
        <v>1</v>
      </c>
      <c r="AJ16" s="108" t="s">
        <v>237</v>
      </c>
      <c r="AK16" s="109">
        <v>0</v>
      </c>
      <c r="AL16" s="97">
        <f>COUNTIFS('2023년 신조차 고장관리 세부현황'!$D:$D,"2023",'2023년 신조차 고장관리 세부현황'!$E:$E,'처리 현황'!$B16)</f>
        <v>3</v>
      </c>
      <c r="AM16" s="97">
        <f>COUNTIFS('2023년 신조차 고장관리 세부현황'!$D:$D,"2023",'2023년 신조차 고장관리 세부현황'!$E:$E,'처리 현황'!$B16,'2023년 신조차 고장관리 세부현황'!$V:$V,'처리 현황'!AM$3)</f>
        <v>3</v>
      </c>
      <c r="AN16" s="97">
        <f>COUNTIFS('2023년 신조차 고장관리 세부현황'!$D:$D,"2023",'2023년 신조차 고장관리 세부현황'!$E:$E,'처리 현황'!$B16,'2023년 신조차 고장관리 세부현황'!$V:$V,'처리 현황'!AN$3)</f>
        <v>0</v>
      </c>
      <c r="AO16" s="97">
        <f>COUNTIFS('2023년 신조차 고장관리 세부현황'!$D:$D,"2023",'2023년 신조차 고장관리 세부현황'!$E:$E,'처리 현황'!$B16,'2023년 신조차 고장관리 세부현황'!$V:$V,'처리 현황'!AO$3)</f>
        <v>0</v>
      </c>
      <c r="AP16" s="97">
        <f>COUNTIFS('2023년 신조차 고장관리 세부현황'!$D:$D,"2023",'2023년 신조차 고장관리 세부현황'!$E:$E,'처리 현황'!$B16,'2023년 신조차 고장관리 세부현황'!$V:$V,'처리 현황'!AP$3)</f>
        <v>0</v>
      </c>
      <c r="AQ16" s="97">
        <f>COUNTIFS('2023년 신조차 고장관리 세부현황'!$D:$D,"2023",'2023년 신조차 고장관리 세부현황'!$E:$E,'처리 현황'!$B16,'2023년 신조차 고장관리 세부현황'!$V:$V,'처리 현황'!AQ$3)</f>
        <v>0</v>
      </c>
      <c r="AR16" s="190">
        <f t="shared" si="2"/>
        <v>0</v>
      </c>
      <c r="AS16" s="120">
        <f>COUNTIFS('2023년 신조차 고장관리 세부현황'!$D:$D,"2023",'2023년 신조차 고장관리 세부현황'!$E:$E,'처리 현황'!$B16,'2023년 신조차 고장관리 세부현황'!$J:$J,'처리 현황'!AS$3)</f>
        <v>1</v>
      </c>
      <c r="AT16" s="117">
        <f>COUNTIFS('2023년 신조차 고장관리 세부현황'!$D:$D,"2023",'2023년 신조차 고장관리 세부현황'!$E:$E,'처리 현황'!$B16,'2023년 신조차 고장관리 세부현황'!$J:$J,'처리 현황'!AT$3)</f>
        <v>1</v>
      </c>
      <c r="AU16" s="117">
        <f>COUNTIFS('2023년 신조차 고장관리 세부현황'!$D:$D,"2023",'2023년 신조차 고장관리 세부현황'!$E:$E,'처리 현황'!$B16,'2023년 신조차 고장관리 세부현황'!$J:$J,'처리 현황'!AU$3)</f>
        <v>0</v>
      </c>
      <c r="AV16" s="117">
        <f>COUNTIFS('2023년 신조차 고장관리 세부현황'!$D:$D,"2023",'2023년 신조차 고장관리 세부현황'!$E:$E,'처리 현황'!$B16,'2023년 신조차 고장관리 세부현황'!$J:$J,'처리 현황'!AV$3)</f>
        <v>1</v>
      </c>
      <c r="AW16" s="117">
        <f>COUNTIFS('2023년 신조차 고장관리 세부현황'!$D:$D,"2023",'2023년 신조차 고장관리 세부현황'!$E:$E,'처리 현황'!$B16,'2023년 신조차 고장관리 세부현황'!$J:$J,'처리 현황'!AW$3)</f>
        <v>0</v>
      </c>
      <c r="AX16" s="119">
        <f>COUNTIFS('2023년 신조차 고장관리 세부현황'!$D:$D,"2023",'2023년 신조차 고장관리 세부현황'!$E:$E,'처리 현황'!$B16,'2023년 신조차 고장관리 세부현황'!$L:$L,'처리 현황'!AX$3)</f>
        <v>0</v>
      </c>
      <c r="AY16" s="106">
        <f>COUNTIFS('2023년 신조차 고장관리 세부현황'!$D:$D,"2023",'2023년 신조차 고장관리 세부현황'!$E:$E,'처리 현황'!$B16,'2023년 신조차 고장관리 세부현황'!$L:$L,'처리 현황'!AY$3)</f>
        <v>0</v>
      </c>
      <c r="AZ16" s="106">
        <f>COUNTIFS('2023년 신조차 고장관리 세부현황'!$D:$D,"2023",'2023년 신조차 고장관리 세부현황'!$E:$E,'처리 현황'!$B16,'2023년 신조차 고장관리 세부현황'!$L:$L,'처리 현황'!AZ$3)</f>
        <v>0</v>
      </c>
      <c r="BA16" s="106">
        <f>COUNTIFS('2023년 신조차 고장관리 세부현황'!$D:$D,"2023",'2023년 신조차 고장관리 세부현황'!$E:$E,'처리 현황'!$B16,'2023년 신조차 고장관리 세부현황'!$L:$L,'처리 현황'!BA$3)</f>
        <v>0</v>
      </c>
      <c r="BB16" s="106">
        <f>COUNTIFS('2023년 신조차 고장관리 세부현황'!$D:$D,"2023",'2023년 신조차 고장관리 세부현황'!$E:$E,'처리 현황'!$B16,'2023년 신조차 고장관리 세부현황'!$L:$L,'처리 현황'!BB$3)</f>
        <v>1</v>
      </c>
      <c r="BC16" s="106">
        <f>COUNTIFS('2023년 신조차 고장관리 세부현황'!$D:$D,"2023",'2023년 신조차 고장관리 세부현황'!$E:$E,'처리 현황'!$B16,'2023년 신조차 고장관리 세부현황'!$L:$L,'처리 현황'!BC$3)</f>
        <v>2</v>
      </c>
      <c r="BD16" s="106">
        <f t="shared" si="3"/>
        <v>0</v>
      </c>
      <c r="BE16" s="119">
        <f>COUNTIFS('2023년 신조차 고장관리 세부현황'!$D:$D,"2023",'2023년 신조차 고장관리 세부현황'!$E:$E,'처리 현황'!$B16,'2023년 신조차 고장관리 세부현황'!$K:$K,'처리 현황'!BE$3)</f>
        <v>0</v>
      </c>
      <c r="BF16" s="133">
        <f>COUNTIFS('2023년 신조차 고장관리 세부현황'!$D:$D,"2023",'2023년 신조차 고장관리 세부현황'!$E:$E,'처리 현황'!$B16,'2023년 신조차 고장관리 세부현황'!$K:$K,BF$2,'2023년 신조차 고장관리 세부현황'!$S:$S,"단품불량")</f>
        <v>0</v>
      </c>
      <c r="BG16" s="106">
        <f>COUNTIFS('2023년 신조차 고장관리 세부현황'!$D:$D,"2023",'2023년 신조차 고장관리 세부현황'!$E:$E,'처리 현황'!$B16,'2023년 신조차 고장관리 세부현황'!$K:$K,'처리 현황'!BG$3)</f>
        <v>3</v>
      </c>
      <c r="BH16" s="133">
        <f>COUNTIFS('2023년 신조차 고장관리 세부현황'!$D:$D,"2023",'2023년 신조차 고장관리 세부현황'!$E:$E,'처리 현황'!$B16,'2023년 신조차 고장관리 세부현황'!$K:$K,BH$2,'2023년 신조차 고장관리 세부현황'!$S:$S,"단품불량")</f>
        <v>0</v>
      </c>
      <c r="BI16" s="106">
        <f t="shared" si="4"/>
        <v>0</v>
      </c>
      <c r="BJ16" s="230">
        <f ca="1">COUNTIFS('2023년 신조차 고장관리 세부현황'!$D:$D,"2023",'2023년 신조차 고장관리 세부현황'!$E:$E,'처리 현황'!$B16,'2023년 신조차 고장관리 세부현황'!$BC:$BC,"완료",'2023년 신조차 고장관리 세부현황'!$CY:$CY,BJ$3)</f>
        <v>0</v>
      </c>
      <c r="BK16" s="230">
        <f ca="1">COUNTIFS('2023년 신조차 고장관리 세부현황'!$D:$D,"2023",'2023년 신조차 고장관리 세부현황'!$E:$E,'처리 현황'!$B16,'2023년 신조차 고장관리 세부현황'!$BC:$BC,"완료",'2023년 신조차 고장관리 세부현황'!$CY:$CY,BK$3)</f>
        <v>0</v>
      </c>
      <c r="BL16" s="230">
        <f ca="1">COUNTIFS('2023년 신조차 고장관리 세부현황'!$D:$D,"2023",'2023년 신조차 고장관리 세부현황'!$E:$E,'처리 현황'!$B16,'2023년 신조차 고장관리 세부현황'!$BC:$BC,"완료",'2023년 신조차 고장관리 세부현황'!$CY:$CY,BL$3)</f>
        <v>0</v>
      </c>
      <c r="BM16" s="230">
        <f ca="1">COUNTIFS('2023년 신조차 고장관리 세부현황'!$D:$D,"2023",'2023년 신조차 고장관리 세부현황'!$E:$E,'처리 현황'!$B16,'2023년 신조차 고장관리 세부현황'!$BC:$BC,"완료",'2023년 신조차 고장관리 세부현황'!$CY:$CY,BM$3)</f>
        <v>0</v>
      </c>
      <c r="BN16" s="230">
        <f ca="1">COUNTIFS('2023년 신조차 고장관리 세부현황'!$D:$D,"2023",'2023년 신조차 고장관리 세부현황'!$E:$E,'처리 현황'!$B16,'2023년 신조차 고장관리 세부현황'!$BC:$BC,"완료",'2023년 신조차 고장관리 세부현황'!$CY:$CY,BN$3)</f>
        <v>0</v>
      </c>
      <c r="BO16" s="230">
        <f ca="1">COUNTIFS('2023년 신조차 고장관리 세부현황'!$D:$D,"2023",'2023년 신조차 고장관리 세부현황'!$E:$E,'처리 현황'!$B16,'2023년 신조차 고장관리 세부현황'!$BC:$BC,"완료",'2023년 신조차 고장관리 세부현황'!$CY:$CY,BO$3)</f>
        <v>0</v>
      </c>
      <c r="BP16">
        <f ca="1">COUNTIFS('2023년 신조차 고장관리 세부현황'!$D:$D,"2023",'2023년 신조차 고장관리 세부현황'!$E:$E,'처리 현황'!$B16,'2023년 신조차 고장관리 세부현황'!$BC:$BC,"완료",'2023년 신조차 고장관리 세부현황'!$CY:$CY,BP$3)</f>
        <v>0</v>
      </c>
    </row>
    <row r="17" spans="1:68" x14ac:dyDescent="0.4">
      <c r="A17" s="380"/>
      <c r="B17" s="97">
        <v>2</v>
      </c>
      <c r="C17" s="108" t="s">
        <v>196</v>
      </c>
      <c r="D17" s="97">
        <f>COUNTIFS('2023년 신조차 고장관리 세부현황'!$D:$D,"2023",'2023년 신조차 고장관리 세부현황'!$E:$E,'처리 현황'!$B17)</f>
        <v>6</v>
      </c>
      <c r="E17" s="97">
        <f>COUNTIFS('2023년 신조차 고장관리 세부현황'!$D:$D,"2023",'2023년 신조차 고장관리 세부현황'!$E:$E,'처리 현황'!$B17,'2023년 신조차 고장관리 세부현황'!$T:$T,'처리 현황'!E$3)</f>
        <v>1</v>
      </c>
      <c r="F17" s="97">
        <f>COUNTIFS('2023년 신조차 고장관리 세부현황'!$D:$D,"2023",'2023년 신조차 고장관리 세부현황'!$E:$E,'처리 현황'!$B17,'2023년 신조차 고장관리 세부현황'!$T:$T,'처리 현황'!F$3)</f>
        <v>4</v>
      </c>
      <c r="G17" s="97">
        <f>COUNTIFS('2023년 신조차 고장관리 세부현황'!$D:$D,"2023",'2023년 신조차 고장관리 세부현황'!$E:$E,'처리 현황'!$B17,'2023년 신조차 고장관리 세부현황'!$T:$T,'처리 현황'!G$3)</f>
        <v>0</v>
      </c>
      <c r="H17" s="97">
        <f>COUNTIFS('2023년 신조차 고장관리 세부현황'!$D:$D,"2023",'2023년 신조차 고장관리 세부현황'!$E:$E,'처리 현황'!$B17,'2023년 신조차 고장관리 세부현황'!$T:$T,'처리 현황'!H$3)</f>
        <v>1</v>
      </c>
      <c r="I17" s="97">
        <f>COUNTIFS('2023년 신조차 고장관리 세부현황'!$D:$D,"2023",'2023년 신조차 고장관리 세부현황'!$E:$E,'처리 현황'!$B17,'2023년 신조차 고장관리 세부현황'!$T:$T,'처리 현황'!I$3)</f>
        <v>0</v>
      </c>
      <c r="J17" s="119">
        <f>COUNTIFS('2023년 신조차 고장관리 세부현황'!$D:$D,"2023",'2023년 신조차 고장관리 세부현황'!$E:$E,'처리 현황'!$B17,'2023년 신조차 고장관리 세부현황'!$J:$J,'처리 현황'!J$3)</f>
        <v>2</v>
      </c>
      <c r="K17" s="104">
        <f>COUNTIFS('2023년 신조차 고장관리 세부현황'!$D:$D,"2023",'2023년 신조차 고장관리 세부현황'!$E:$E,'처리 현황'!$B17,'2023년 신조차 고장관리 세부현황'!$J:$J,'처리 현황'!K$3)</f>
        <v>4</v>
      </c>
      <c r="L17" s="104">
        <f>COUNTIFS('2023년 신조차 고장관리 세부현황'!$D:$D,"2023",'2023년 신조차 고장관리 세부현황'!$E:$E,'처리 현황'!$B17,'2023년 신조차 고장관리 세부현황'!$J:$J,'처리 현황'!L$3)</f>
        <v>0</v>
      </c>
      <c r="M17" s="104">
        <f>COUNTIFS('2023년 신조차 고장관리 세부현황'!$D:$D,"2023",'2023년 신조차 고장관리 세부현황'!$E:$E,'처리 현황'!$B17,'2023년 신조차 고장관리 세부현황'!$J:$J,'처리 현황'!M$3)</f>
        <v>0</v>
      </c>
      <c r="N17" s="104">
        <f>COUNTIFS('2023년 신조차 고장관리 세부현황'!$D:$D,"2023",'2023년 신조차 고장관리 세부현황'!$E:$E,'처리 현황'!$B17,'2023년 신조차 고장관리 세부현황'!$J:$J,'처리 현황'!N$3)</f>
        <v>0</v>
      </c>
      <c r="O17" s="119">
        <f>COUNTIFS('2023년 신조차 고장관리 세부현황'!$D:$D,"2023",'2023년 신조차 고장관리 세부현황'!$E:$E,'처리 현황'!$B17,'2023년 신조차 고장관리 세부현황'!$L:$L,'처리 현황'!O$3)</f>
        <v>0</v>
      </c>
      <c r="P17" s="106">
        <f>COUNTIFS('2023년 신조차 고장관리 세부현황'!$D:$D,"2023",'2023년 신조차 고장관리 세부현황'!$E:$E,'처리 현황'!$B17,'2023년 신조차 고장관리 세부현황'!$L:$L,'처리 현황'!P$3)</f>
        <v>0</v>
      </c>
      <c r="Q17" s="106">
        <f>COUNTIFS('2023년 신조차 고장관리 세부현황'!$D:$D,"2023",'2023년 신조차 고장관리 세부현황'!$E:$E,'처리 현황'!$B17,'2023년 신조차 고장관리 세부현황'!$L:$L,'처리 현황'!Q$3)</f>
        <v>1</v>
      </c>
      <c r="R17" s="106">
        <f>COUNTIFS('2023년 신조차 고장관리 세부현황'!$D:$D,"2023",'2023년 신조차 고장관리 세부현황'!$E:$E,'처리 현황'!$B17,'2023년 신조차 고장관리 세부현황'!$L:$L,'처리 현황'!R$3)</f>
        <v>3</v>
      </c>
      <c r="S17" s="106">
        <f>COUNTIFS('2023년 신조차 고장관리 세부현황'!$D:$D,"2023",'2023년 신조차 고장관리 세부현황'!$E:$E,'처리 현황'!$B17,'2023년 신조차 고장관리 세부현황'!$L:$L,'처리 현황'!S$3)</f>
        <v>0</v>
      </c>
      <c r="T17" s="106">
        <f>COUNTIFS('2023년 신조차 고장관리 세부현황'!$D:$D,"2023",'2023년 신조차 고장관리 세부현황'!$E:$E,'처리 현황'!$B17,'2023년 신조차 고장관리 세부현황'!$L:$L,'처리 현황'!T$3)</f>
        <v>2</v>
      </c>
      <c r="U17" s="125">
        <f t="shared" si="0"/>
        <v>0</v>
      </c>
      <c r="V17" s="106">
        <f>COUNTIFS('2023년 신조차 고장관리 세부현황'!$D:$D,"2023",'2023년 신조차 고장관리 세부현황'!$E:$E,'처리 현황'!$B17,'2023년 신조차 고장관리 세부현황'!$K:$K,'처리 현황'!V$3)</f>
        <v>1</v>
      </c>
      <c r="W17" s="133">
        <f>COUNTIFS('2023년 신조차 고장관리 세부현황'!$D:$D,"2023",'2023년 신조차 고장관리 세부현황'!$E:$E,'처리 현황'!$B17,'2023년 신조차 고장관리 세부현황'!$K:$K,W$2,'2023년 신조차 고장관리 세부현황'!$S:$S,"단품불량")</f>
        <v>0</v>
      </c>
      <c r="X17" s="106">
        <f>COUNTIFS('2023년 신조차 고장관리 세부현황'!$D:$D,"2023",'2023년 신조차 고장관리 세부현황'!$E:$E,'처리 현황'!$B17,'2023년 신조차 고장관리 세부현황'!$K:$K,'처리 현황'!X$3)</f>
        <v>5</v>
      </c>
      <c r="Y17" s="133">
        <f>COUNTIFS('2023년 신조차 고장관리 세부현황'!$D:$D,"2023",'2023년 신조차 고장관리 세부현황'!$E:$E,'처리 현황'!$B17,'2023년 신조차 고장관리 세부현황'!$K:$K,Y$2,'2023년 신조차 고장관리 세부현황'!$S:$S,"단품불량")</f>
        <v>0</v>
      </c>
      <c r="Z17" s="106">
        <f t="shared" si="1"/>
        <v>0</v>
      </c>
      <c r="AD17">
        <v>2</v>
      </c>
      <c r="AE17">
        <v>0</v>
      </c>
      <c r="AH17" s="380"/>
      <c r="AI17" s="97">
        <v>2</v>
      </c>
      <c r="AJ17" s="108" t="s">
        <v>196</v>
      </c>
      <c r="AK17" s="109">
        <v>0</v>
      </c>
      <c r="AL17" s="97">
        <f>COUNTIFS('2023년 신조차 고장관리 세부현황'!$D:$D,"2023",'2023년 신조차 고장관리 세부현황'!$E:$E,'처리 현황'!$B17)</f>
        <v>6</v>
      </c>
      <c r="AM17" s="97">
        <f>COUNTIFS('2023년 신조차 고장관리 세부현황'!$D:$D,"2023",'2023년 신조차 고장관리 세부현황'!$E:$E,'처리 현황'!$B17,'2023년 신조차 고장관리 세부현황'!$V:$V,'처리 현황'!AM$3)</f>
        <v>6</v>
      </c>
      <c r="AN17" s="97">
        <f>COUNTIFS('2023년 신조차 고장관리 세부현황'!$D:$D,"2023",'2023년 신조차 고장관리 세부현황'!$E:$E,'처리 현황'!$B17,'2023년 신조차 고장관리 세부현황'!$V:$V,'처리 현황'!AN$3)</f>
        <v>0</v>
      </c>
      <c r="AO17" s="97">
        <f>COUNTIFS('2023년 신조차 고장관리 세부현황'!$D:$D,"2023",'2023년 신조차 고장관리 세부현황'!$E:$E,'처리 현황'!$B17,'2023년 신조차 고장관리 세부현황'!$V:$V,'처리 현황'!AO$3)</f>
        <v>0</v>
      </c>
      <c r="AP17" s="97">
        <f>COUNTIFS('2023년 신조차 고장관리 세부현황'!$D:$D,"2023",'2023년 신조차 고장관리 세부현황'!$E:$E,'처리 현황'!$B17,'2023년 신조차 고장관리 세부현황'!$V:$V,'처리 현황'!AP$3)</f>
        <v>0</v>
      </c>
      <c r="AQ17" s="97">
        <f>COUNTIFS('2023년 신조차 고장관리 세부현황'!$D:$D,"2023",'2023년 신조차 고장관리 세부현황'!$E:$E,'처리 현황'!$B17,'2023년 신조차 고장관리 세부현황'!$V:$V,'처리 현황'!AQ$3)</f>
        <v>0</v>
      </c>
      <c r="AR17" s="190">
        <f t="shared" si="2"/>
        <v>0</v>
      </c>
      <c r="AS17" s="119">
        <f>COUNTIFS('2023년 신조차 고장관리 세부현황'!$D:$D,"2023",'2023년 신조차 고장관리 세부현황'!$E:$E,'처리 현황'!$B17,'2023년 신조차 고장관리 세부현황'!$J:$J,'처리 현황'!AS$3)</f>
        <v>2</v>
      </c>
      <c r="AT17" s="104">
        <f>COUNTIFS('2023년 신조차 고장관리 세부현황'!$D:$D,"2023",'2023년 신조차 고장관리 세부현황'!$E:$E,'처리 현황'!$B17,'2023년 신조차 고장관리 세부현황'!$J:$J,'처리 현황'!AT$3)</f>
        <v>4</v>
      </c>
      <c r="AU17" s="104">
        <f>COUNTIFS('2023년 신조차 고장관리 세부현황'!$D:$D,"2023",'2023년 신조차 고장관리 세부현황'!$E:$E,'처리 현황'!$B17,'2023년 신조차 고장관리 세부현황'!$J:$J,'처리 현황'!AU$3)</f>
        <v>0</v>
      </c>
      <c r="AV17" s="104">
        <f>COUNTIFS('2023년 신조차 고장관리 세부현황'!$D:$D,"2023",'2023년 신조차 고장관리 세부현황'!$E:$E,'처리 현황'!$B17,'2023년 신조차 고장관리 세부현황'!$J:$J,'처리 현황'!AV$3)</f>
        <v>0</v>
      </c>
      <c r="AW17" s="104">
        <f>COUNTIFS('2023년 신조차 고장관리 세부현황'!$D:$D,"2023",'2023년 신조차 고장관리 세부현황'!$E:$E,'처리 현황'!$B17,'2023년 신조차 고장관리 세부현황'!$J:$J,'처리 현황'!AW$3)</f>
        <v>0</v>
      </c>
      <c r="AX17" s="119">
        <f>COUNTIFS('2023년 신조차 고장관리 세부현황'!$D:$D,"2023",'2023년 신조차 고장관리 세부현황'!$E:$E,'처리 현황'!$B17,'2023년 신조차 고장관리 세부현황'!$L:$L,'처리 현황'!AX$3)</f>
        <v>0</v>
      </c>
      <c r="AY17" s="106">
        <f>COUNTIFS('2023년 신조차 고장관리 세부현황'!$D:$D,"2023",'2023년 신조차 고장관리 세부현황'!$E:$E,'처리 현황'!$B17,'2023년 신조차 고장관리 세부현황'!$L:$L,'처리 현황'!AY$3)</f>
        <v>0</v>
      </c>
      <c r="AZ17" s="106">
        <f>COUNTIFS('2023년 신조차 고장관리 세부현황'!$D:$D,"2023",'2023년 신조차 고장관리 세부현황'!$E:$E,'처리 현황'!$B17,'2023년 신조차 고장관리 세부현황'!$L:$L,'처리 현황'!AZ$3)</f>
        <v>1</v>
      </c>
      <c r="BA17" s="106">
        <f>COUNTIFS('2023년 신조차 고장관리 세부현황'!$D:$D,"2023",'2023년 신조차 고장관리 세부현황'!$E:$E,'처리 현황'!$B17,'2023년 신조차 고장관리 세부현황'!$L:$L,'처리 현황'!BA$3)</f>
        <v>3</v>
      </c>
      <c r="BB17" s="106">
        <f>COUNTIFS('2023년 신조차 고장관리 세부현황'!$D:$D,"2023",'2023년 신조차 고장관리 세부현황'!$E:$E,'처리 현황'!$B17,'2023년 신조차 고장관리 세부현황'!$L:$L,'처리 현황'!BB$3)</f>
        <v>0</v>
      </c>
      <c r="BC17" s="106">
        <f>COUNTIFS('2023년 신조차 고장관리 세부현황'!$D:$D,"2023",'2023년 신조차 고장관리 세부현황'!$E:$E,'처리 현황'!$B17,'2023년 신조차 고장관리 세부현황'!$L:$L,'처리 현황'!BC$3)</f>
        <v>2</v>
      </c>
      <c r="BD17" s="106">
        <f t="shared" si="3"/>
        <v>0</v>
      </c>
      <c r="BE17" s="119">
        <f>COUNTIFS('2023년 신조차 고장관리 세부현황'!$D:$D,"2023",'2023년 신조차 고장관리 세부현황'!$E:$E,'처리 현황'!$B17,'2023년 신조차 고장관리 세부현황'!$K:$K,'처리 현황'!BE$3)</f>
        <v>1</v>
      </c>
      <c r="BF17" s="133">
        <f>COUNTIFS('2023년 신조차 고장관리 세부현황'!$D:$D,"2023",'2023년 신조차 고장관리 세부현황'!$E:$E,'처리 현황'!$B17,'2023년 신조차 고장관리 세부현황'!$K:$K,BF$2,'2023년 신조차 고장관리 세부현황'!$S:$S,"단품불량")</f>
        <v>0</v>
      </c>
      <c r="BG17" s="106">
        <f>COUNTIFS('2023년 신조차 고장관리 세부현황'!$D:$D,"2023",'2023년 신조차 고장관리 세부현황'!$E:$E,'처리 현황'!$B17,'2023년 신조차 고장관리 세부현황'!$K:$K,'처리 현황'!BG$3)</f>
        <v>5</v>
      </c>
      <c r="BH17" s="133">
        <f>COUNTIFS('2023년 신조차 고장관리 세부현황'!$D:$D,"2023",'2023년 신조차 고장관리 세부현황'!$E:$E,'처리 현황'!$B17,'2023년 신조차 고장관리 세부현황'!$K:$K,BH$2,'2023년 신조차 고장관리 세부현황'!$S:$S,"단품불량")</f>
        <v>0</v>
      </c>
      <c r="BI17" s="106">
        <f t="shared" si="4"/>
        <v>0</v>
      </c>
      <c r="BJ17">
        <f ca="1">COUNTIFS('2023년 신조차 고장관리 세부현황'!$D:$D,"2023",'2023년 신조차 고장관리 세부현황'!$E:$E,'처리 현황'!$B17,'2023년 신조차 고장관리 세부현황'!$BC:$BC,"완료",'2023년 신조차 고장관리 세부현황'!$CY:$CY,BJ$3)</f>
        <v>0</v>
      </c>
      <c r="BK17">
        <f ca="1">COUNTIFS('2023년 신조차 고장관리 세부현황'!$D:$D,"2023",'2023년 신조차 고장관리 세부현황'!$E:$E,'처리 현황'!$B17,'2023년 신조차 고장관리 세부현황'!$BC:$BC,"완료",'2023년 신조차 고장관리 세부현황'!$CY:$CY,BK$3)</f>
        <v>0</v>
      </c>
      <c r="BL17">
        <f ca="1">COUNTIFS('2023년 신조차 고장관리 세부현황'!$D:$D,"2023",'2023년 신조차 고장관리 세부현황'!$E:$E,'처리 현황'!$B17,'2023년 신조차 고장관리 세부현황'!$BC:$BC,"완료",'2023년 신조차 고장관리 세부현황'!$CY:$CY,BL$3)</f>
        <v>0</v>
      </c>
      <c r="BM17">
        <f ca="1">COUNTIFS('2023년 신조차 고장관리 세부현황'!$D:$D,"2023",'2023년 신조차 고장관리 세부현황'!$E:$E,'처리 현황'!$B17,'2023년 신조차 고장관리 세부현황'!$BC:$BC,"완료",'2023년 신조차 고장관리 세부현황'!$CY:$CY,BM$3)</f>
        <v>0</v>
      </c>
      <c r="BN17">
        <f ca="1">COUNTIFS('2023년 신조차 고장관리 세부현황'!$D:$D,"2023",'2023년 신조차 고장관리 세부현황'!$E:$E,'처리 현황'!$B17,'2023년 신조차 고장관리 세부현황'!$BC:$BC,"완료",'2023년 신조차 고장관리 세부현황'!$CY:$CY,BN$3)</f>
        <v>0</v>
      </c>
      <c r="BO17">
        <f ca="1">COUNTIFS('2023년 신조차 고장관리 세부현황'!$D:$D,"2023",'2023년 신조차 고장관리 세부현황'!$E:$E,'처리 현황'!$B17,'2023년 신조차 고장관리 세부현황'!$BC:$BC,"완료",'2023년 신조차 고장관리 세부현황'!$CY:$CY,BO$3)</f>
        <v>0</v>
      </c>
      <c r="BP17">
        <f ca="1">COUNTIFS('2023년 신조차 고장관리 세부현황'!$D:$D,"2023",'2023년 신조차 고장관리 세부현황'!$E:$E,'처리 현황'!$B17,'2023년 신조차 고장관리 세부현황'!$BC:$BC,"완료",'2023년 신조차 고장관리 세부현황'!$CY:$CY,BP$3)</f>
        <v>0</v>
      </c>
    </row>
    <row r="18" spans="1:68" x14ac:dyDescent="0.4">
      <c r="A18" s="380"/>
      <c r="B18" s="97">
        <v>3</v>
      </c>
      <c r="C18" s="108" t="s">
        <v>197</v>
      </c>
      <c r="D18" s="97">
        <f>COUNTIFS('2023년 신조차 고장관리 세부현황'!$D:$D,"2023",'2023년 신조차 고장관리 세부현황'!$E:$E,'처리 현황'!$B18)</f>
        <v>6</v>
      </c>
      <c r="E18" s="97">
        <f>COUNTIFS('2023년 신조차 고장관리 세부현황'!$D:$D,"2023",'2023년 신조차 고장관리 세부현황'!$E:$E,'처리 현황'!$B18,'2023년 신조차 고장관리 세부현황'!$T:$T,'처리 현황'!E$3)</f>
        <v>1</v>
      </c>
      <c r="F18" s="97">
        <f>COUNTIFS('2023년 신조차 고장관리 세부현황'!$D:$D,"2023",'2023년 신조차 고장관리 세부현황'!$E:$E,'처리 현황'!$B18,'2023년 신조차 고장관리 세부현황'!$T:$T,'처리 현황'!F$3)</f>
        <v>5</v>
      </c>
      <c r="G18" s="97">
        <f>COUNTIFS('2023년 신조차 고장관리 세부현황'!$D:$D,"2023",'2023년 신조차 고장관리 세부현황'!$E:$E,'처리 현황'!$B18,'2023년 신조차 고장관리 세부현황'!$T:$T,'처리 현황'!G$3)</f>
        <v>0</v>
      </c>
      <c r="H18" s="97">
        <f>COUNTIFS('2023년 신조차 고장관리 세부현황'!$D:$D,"2023",'2023년 신조차 고장관리 세부현황'!$E:$E,'처리 현황'!$B18,'2023년 신조차 고장관리 세부현황'!$T:$T,'처리 현황'!H$3)</f>
        <v>0</v>
      </c>
      <c r="I18" s="97">
        <f>COUNTIFS('2023년 신조차 고장관리 세부현황'!$D:$D,"2023",'2023년 신조차 고장관리 세부현황'!$E:$E,'처리 현황'!$B18,'2023년 신조차 고장관리 세부현황'!$T:$T,'처리 현황'!I$3)</f>
        <v>0</v>
      </c>
      <c r="J18" s="119">
        <f>COUNTIFS('2023년 신조차 고장관리 세부현황'!$D:$D,"2023",'2023년 신조차 고장관리 세부현황'!$E:$E,'처리 현황'!$B18,'2023년 신조차 고장관리 세부현황'!$J:$J,'처리 현황'!J$3)</f>
        <v>3</v>
      </c>
      <c r="K18" s="104">
        <f>COUNTIFS('2023년 신조차 고장관리 세부현황'!$D:$D,"2023",'2023년 신조차 고장관리 세부현황'!$E:$E,'처리 현황'!$B18,'2023년 신조차 고장관리 세부현황'!$J:$J,'처리 현황'!K$3)</f>
        <v>2</v>
      </c>
      <c r="L18" s="104">
        <f>COUNTIFS('2023년 신조차 고장관리 세부현황'!$D:$D,"2023",'2023년 신조차 고장관리 세부현황'!$E:$E,'처리 현황'!$B18,'2023년 신조차 고장관리 세부현황'!$J:$J,'처리 현황'!L$3)</f>
        <v>1</v>
      </c>
      <c r="M18" s="104">
        <f>COUNTIFS('2023년 신조차 고장관리 세부현황'!$D:$D,"2023",'2023년 신조차 고장관리 세부현황'!$E:$E,'처리 현황'!$B18,'2023년 신조차 고장관리 세부현황'!$J:$J,'처리 현황'!M$3)</f>
        <v>0</v>
      </c>
      <c r="N18" s="104">
        <f>COUNTIFS('2023년 신조차 고장관리 세부현황'!$D:$D,"2023",'2023년 신조차 고장관리 세부현황'!$E:$E,'처리 현황'!$B18,'2023년 신조차 고장관리 세부현황'!$J:$J,'처리 현황'!N$3)</f>
        <v>0</v>
      </c>
      <c r="O18" s="119">
        <f>COUNTIFS('2023년 신조차 고장관리 세부현황'!$D:$D,"2023",'2023년 신조차 고장관리 세부현황'!$E:$E,'처리 현황'!$B18,'2023년 신조차 고장관리 세부현황'!$L:$L,'처리 현황'!O$3)</f>
        <v>0</v>
      </c>
      <c r="P18" s="106">
        <f>COUNTIFS('2023년 신조차 고장관리 세부현황'!$D:$D,"2023",'2023년 신조차 고장관리 세부현황'!$E:$E,'처리 현황'!$B18,'2023년 신조차 고장관리 세부현황'!$L:$L,'처리 현황'!P$3)</f>
        <v>0</v>
      </c>
      <c r="Q18" s="106">
        <f>COUNTIFS('2023년 신조차 고장관리 세부현황'!$D:$D,"2023",'2023년 신조차 고장관리 세부현황'!$E:$E,'처리 현황'!$B18,'2023년 신조차 고장관리 세부현황'!$L:$L,'처리 현황'!Q$3)</f>
        <v>0</v>
      </c>
      <c r="R18" s="106">
        <f>COUNTIFS('2023년 신조차 고장관리 세부현황'!$D:$D,"2023",'2023년 신조차 고장관리 세부현황'!$E:$E,'처리 현황'!$B18,'2023년 신조차 고장관리 세부현황'!$L:$L,'처리 현황'!R$3)</f>
        <v>2</v>
      </c>
      <c r="S18" s="106">
        <f>COUNTIFS('2023년 신조차 고장관리 세부현황'!$D:$D,"2023",'2023년 신조차 고장관리 세부현황'!$E:$E,'처리 현황'!$B18,'2023년 신조차 고장관리 세부현황'!$L:$L,'처리 현황'!S$3)</f>
        <v>2</v>
      </c>
      <c r="T18" s="106">
        <f>COUNTIFS('2023년 신조차 고장관리 세부현황'!$D:$D,"2023",'2023년 신조차 고장관리 세부현황'!$E:$E,'처리 현황'!$B18,'2023년 신조차 고장관리 세부현황'!$L:$L,'처리 현황'!T$3)</f>
        <v>2</v>
      </c>
      <c r="U18" s="125">
        <f t="shared" si="0"/>
        <v>0</v>
      </c>
      <c r="V18" s="106">
        <f>COUNTIFS('2023년 신조차 고장관리 세부현황'!$D:$D,"2023",'2023년 신조차 고장관리 세부현황'!$E:$E,'처리 현황'!$B18,'2023년 신조차 고장관리 세부현황'!$K:$K,'처리 현황'!V$3)</f>
        <v>0</v>
      </c>
      <c r="W18" s="133">
        <f>COUNTIFS('2023년 신조차 고장관리 세부현황'!$D:$D,"2023",'2023년 신조차 고장관리 세부현황'!$E:$E,'처리 현황'!$B18,'2023년 신조차 고장관리 세부현황'!$K:$K,W$2,'2023년 신조차 고장관리 세부현황'!$S:$S,"단품불량")</f>
        <v>0</v>
      </c>
      <c r="X18" s="106">
        <f>COUNTIFS('2023년 신조차 고장관리 세부현황'!$D:$D,"2023",'2023년 신조차 고장관리 세부현황'!$E:$E,'처리 현황'!$B18,'2023년 신조차 고장관리 세부현황'!$K:$K,'처리 현황'!X$3)</f>
        <v>6</v>
      </c>
      <c r="Y18" s="133">
        <f>COUNTIFS('2023년 신조차 고장관리 세부현황'!$D:$D,"2023",'2023년 신조차 고장관리 세부현황'!$E:$E,'처리 현황'!$B18,'2023년 신조차 고장관리 세부현황'!$K:$K,Y$2,'2023년 신조차 고장관리 세부현황'!$S:$S,"단품불량")</f>
        <v>0</v>
      </c>
      <c r="Z18" s="106">
        <f t="shared" si="1"/>
        <v>0</v>
      </c>
      <c r="AD18">
        <v>3</v>
      </c>
      <c r="AE18">
        <v>0</v>
      </c>
      <c r="AH18" s="380"/>
      <c r="AI18" s="97">
        <v>3</v>
      </c>
      <c r="AJ18" s="108" t="s">
        <v>197</v>
      </c>
      <c r="AK18" s="109">
        <v>0</v>
      </c>
      <c r="AL18" s="97">
        <f>COUNTIFS('2023년 신조차 고장관리 세부현황'!$D:$D,"2023",'2023년 신조차 고장관리 세부현황'!$E:$E,'처리 현황'!$B18)</f>
        <v>6</v>
      </c>
      <c r="AM18" s="97">
        <f>COUNTIFS('2023년 신조차 고장관리 세부현황'!$D:$D,"2023",'2023년 신조차 고장관리 세부현황'!$E:$E,'처리 현황'!$B18,'2023년 신조차 고장관리 세부현황'!$V:$V,'처리 현황'!AM$3)</f>
        <v>6</v>
      </c>
      <c r="AN18" s="97">
        <f>COUNTIFS('2023년 신조차 고장관리 세부현황'!$D:$D,"2023",'2023년 신조차 고장관리 세부현황'!$E:$E,'처리 현황'!$B18,'2023년 신조차 고장관리 세부현황'!$V:$V,'처리 현황'!AN$3)</f>
        <v>0</v>
      </c>
      <c r="AO18" s="97">
        <f>COUNTIFS('2023년 신조차 고장관리 세부현황'!$D:$D,"2023",'2023년 신조차 고장관리 세부현황'!$E:$E,'처리 현황'!$B18,'2023년 신조차 고장관리 세부현황'!$V:$V,'처리 현황'!AO$3)</f>
        <v>0</v>
      </c>
      <c r="AP18" s="97">
        <f>COUNTIFS('2023년 신조차 고장관리 세부현황'!$D:$D,"2023",'2023년 신조차 고장관리 세부현황'!$E:$E,'처리 현황'!$B18,'2023년 신조차 고장관리 세부현황'!$V:$V,'처리 현황'!AP$3)</f>
        <v>0</v>
      </c>
      <c r="AQ18" s="97">
        <f>COUNTIFS('2023년 신조차 고장관리 세부현황'!$D:$D,"2023",'2023년 신조차 고장관리 세부현황'!$E:$E,'처리 현황'!$B18,'2023년 신조차 고장관리 세부현황'!$V:$V,'처리 현황'!AQ$3)</f>
        <v>0</v>
      </c>
      <c r="AR18" s="190">
        <f t="shared" si="2"/>
        <v>0</v>
      </c>
      <c r="AS18" s="119">
        <f>COUNTIFS('2023년 신조차 고장관리 세부현황'!$D:$D,"2023",'2023년 신조차 고장관리 세부현황'!$E:$E,'처리 현황'!$B18,'2023년 신조차 고장관리 세부현황'!$J:$J,'처리 현황'!AS$3)</f>
        <v>3</v>
      </c>
      <c r="AT18" s="104">
        <f>COUNTIFS('2023년 신조차 고장관리 세부현황'!$D:$D,"2023",'2023년 신조차 고장관리 세부현황'!$E:$E,'처리 현황'!$B18,'2023년 신조차 고장관리 세부현황'!$J:$J,'처리 현황'!AT$3)</f>
        <v>2</v>
      </c>
      <c r="AU18" s="104">
        <f>COUNTIFS('2023년 신조차 고장관리 세부현황'!$D:$D,"2023",'2023년 신조차 고장관리 세부현황'!$E:$E,'처리 현황'!$B18,'2023년 신조차 고장관리 세부현황'!$J:$J,'처리 현황'!AU$3)</f>
        <v>1</v>
      </c>
      <c r="AV18" s="104">
        <f>COUNTIFS('2023년 신조차 고장관리 세부현황'!$D:$D,"2023",'2023년 신조차 고장관리 세부현황'!$E:$E,'처리 현황'!$B18,'2023년 신조차 고장관리 세부현황'!$J:$J,'처리 현황'!AV$3)</f>
        <v>0</v>
      </c>
      <c r="AW18" s="104">
        <f>COUNTIFS('2023년 신조차 고장관리 세부현황'!$D:$D,"2023",'2023년 신조차 고장관리 세부현황'!$E:$E,'처리 현황'!$B18,'2023년 신조차 고장관리 세부현황'!$J:$J,'처리 현황'!AW$3)</f>
        <v>0</v>
      </c>
      <c r="AX18" s="119">
        <f>COUNTIFS('2023년 신조차 고장관리 세부현황'!$D:$D,"2023",'2023년 신조차 고장관리 세부현황'!$E:$E,'처리 현황'!$B18,'2023년 신조차 고장관리 세부현황'!$L:$L,'처리 현황'!AX$3)</f>
        <v>0</v>
      </c>
      <c r="AY18" s="106">
        <f>COUNTIFS('2023년 신조차 고장관리 세부현황'!$D:$D,"2023",'2023년 신조차 고장관리 세부현황'!$E:$E,'처리 현황'!$B18,'2023년 신조차 고장관리 세부현황'!$L:$L,'처리 현황'!AY$3)</f>
        <v>0</v>
      </c>
      <c r="AZ18" s="106">
        <f>COUNTIFS('2023년 신조차 고장관리 세부현황'!$D:$D,"2023",'2023년 신조차 고장관리 세부현황'!$E:$E,'처리 현황'!$B18,'2023년 신조차 고장관리 세부현황'!$L:$L,'처리 현황'!AZ$3)</f>
        <v>0</v>
      </c>
      <c r="BA18" s="106">
        <f>COUNTIFS('2023년 신조차 고장관리 세부현황'!$D:$D,"2023",'2023년 신조차 고장관리 세부현황'!$E:$E,'처리 현황'!$B18,'2023년 신조차 고장관리 세부현황'!$L:$L,'처리 현황'!BA$3)</f>
        <v>2</v>
      </c>
      <c r="BB18" s="106">
        <f>COUNTIFS('2023년 신조차 고장관리 세부현황'!$D:$D,"2023",'2023년 신조차 고장관리 세부현황'!$E:$E,'처리 현황'!$B18,'2023년 신조차 고장관리 세부현황'!$L:$L,'처리 현황'!BB$3)</f>
        <v>2</v>
      </c>
      <c r="BC18" s="106">
        <f>COUNTIFS('2023년 신조차 고장관리 세부현황'!$D:$D,"2023",'2023년 신조차 고장관리 세부현황'!$E:$E,'처리 현황'!$B18,'2023년 신조차 고장관리 세부현황'!$L:$L,'처리 현황'!BC$3)</f>
        <v>2</v>
      </c>
      <c r="BD18" s="106">
        <f t="shared" si="3"/>
        <v>0</v>
      </c>
      <c r="BE18" s="119">
        <f>COUNTIFS('2023년 신조차 고장관리 세부현황'!$D:$D,"2023",'2023년 신조차 고장관리 세부현황'!$E:$E,'처리 현황'!$B18,'2023년 신조차 고장관리 세부현황'!$K:$K,'처리 현황'!BE$3)</f>
        <v>0</v>
      </c>
      <c r="BF18" s="133">
        <f>COUNTIFS('2023년 신조차 고장관리 세부현황'!$D:$D,"2023",'2023년 신조차 고장관리 세부현황'!$E:$E,'처리 현황'!$B18,'2023년 신조차 고장관리 세부현황'!$K:$K,BF$2,'2023년 신조차 고장관리 세부현황'!$S:$S,"단품불량")</f>
        <v>0</v>
      </c>
      <c r="BG18" s="106">
        <f>COUNTIFS('2023년 신조차 고장관리 세부현황'!$D:$D,"2023",'2023년 신조차 고장관리 세부현황'!$E:$E,'처리 현황'!$B18,'2023년 신조차 고장관리 세부현황'!$K:$K,'처리 현황'!BG$3)</f>
        <v>6</v>
      </c>
      <c r="BH18" s="133">
        <f>COUNTIFS('2023년 신조차 고장관리 세부현황'!$D:$D,"2023",'2023년 신조차 고장관리 세부현황'!$E:$E,'처리 현황'!$B18,'2023년 신조차 고장관리 세부현황'!$K:$K,BH$2,'2023년 신조차 고장관리 세부현황'!$S:$S,"단품불량")</f>
        <v>0</v>
      </c>
      <c r="BI18" s="106">
        <f t="shared" si="4"/>
        <v>0</v>
      </c>
      <c r="BJ18">
        <f ca="1">COUNTIFS('2023년 신조차 고장관리 세부현황'!$D:$D,"2023",'2023년 신조차 고장관리 세부현황'!$E:$E,'처리 현황'!$B18,'2023년 신조차 고장관리 세부현황'!$BC:$BC,"완료",'2023년 신조차 고장관리 세부현황'!$CY:$CY,BJ$3)</f>
        <v>0</v>
      </c>
      <c r="BK18">
        <f ca="1">COUNTIFS('2023년 신조차 고장관리 세부현황'!$D:$D,"2023",'2023년 신조차 고장관리 세부현황'!$E:$E,'처리 현황'!$B18,'2023년 신조차 고장관리 세부현황'!$BC:$BC,"완료",'2023년 신조차 고장관리 세부현황'!$CY:$CY,BK$3)</f>
        <v>0</v>
      </c>
      <c r="BL18">
        <f ca="1">COUNTIFS('2023년 신조차 고장관리 세부현황'!$D:$D,"2023",'2023년 신조차 고장관리 세부현황'!$E:$E,'처리 현황'!$B18,'2023년 신조차 고장관리 세부현황'!$BC:$BC,"완료",'2023년 신조차 고장관리 세부현황'!$CY:$CY,BL$3)</f>
        <v>0</v>
      </c>
      <c r="BM18">
        <f ca="1">COUNTIFS('2023년 신조차 고장관리 세부현황'!$D:$D,"2023",'2023년 신조차 고장관리 세부현황'!$E:$E,'처리 현황'!$B18,'2023년 신조차 고장관리 세부현황'!$BC:$BC,"완료",'2023년 신조차 고장관리 세부현황'!$CY:$CY,BM$3)</f>
        <v>0</v>
      </c>
      <c r="BN18">
        <f ca="1">COUNTIFS('2023년 신조차 고장관리 세부현황'!$D:$D,"2023",'2023년 신조차 고장관리 세부현황'!$E:$E,'처리 현황'!$B18,'2023년 신조차 고장관리 세부현황'!$BC:$BC,"완료",'2023년 신조차 고장관리 세부현황'!$CY:$CY,BN$3)</f>
        <v>0</v>
      </c>
      <c r="BO18">
        <f ca="1">COUNTIFS('2023년 신조차 고장관리 세부현황'!$D:$D,"2023",'2023년 신조차 고장관리 세부현황'!$E:$E,'처리 현황'!$B18,'2023년 신조차 고장관리 세부현황'!$BC:$BC,"완료",'2023년 신조차 고장관리 세부현황'!$CY:$CY,BO$3)</f>
        <v>0</v>
      </c>
      <c r="BP18">
        <f ca="1">COUNTIFS('2023년 신조차 고장관리 세부현황'!$D:$D,"2023",'2023년 신조차 고장관리 세부현황'!$E:$E,'처리 현황'!$B18,'2023년 신조차 고장관리 세부현황'!$BC:$BC,"완료",'2023년 신조차 고장관리 세부현황'!$CY:$CY,BP$3)</f>
        <v>0</v>
      </c>
    </row>
    <row r="19" spans="1:68" x14ac:dyDescent="0.4">
      <c r="A19" s="380"/>
      <c r="B19" s="97">
        <v>4</v>
      </c>
      <c r="C19" s="108" t="s">
        <v>198</v>
      </c>
      <c r="D19" s="97">
        <f>COUNTIFS('2023년 신조차 고장관리 세부현황'!$D:$D,"2023",'2023년 신조차 고장관리 세부현황'!$E:$E,'처리 현황'!$B19)</f>
        <v>9</v>
      </c>
      <c r="E19" s="97">
        <f>COUNTIFS('2023년 신조차 고장관리 세부현황'!$D:$D,"2023",'2023년 신조차 고장관리 세부현황'!$E:$E,'처리 현황'!$B19,'2023년 신조차 고장관리 세부현황'!$T:$T,'처리 현황'!E$3)</f>
        <v>6</v>
      </c>
      <c r="F19" s="97">
        <f>COUNTIFS('2023년 신조차 고장관리 세부현황'!$D:$D,"2023",'2023년 신조차 고장관리 세부현황'!$E:$E,'처리 현황'!$B19,'2023년 신조차 고장관리 세부현황'!$T:$T,'처리 현황'!F$3)</f>
        <v>3</v>
      </c>
      <c r="G19" s="97">
        <f>COUNTIFS('2023년 신조차 고장관리 세부현황'!$D:$D,"2023",'2023년 신조차 고장관리 세부현황'!$E:$E,'처리 현황'!$B19,'2023년 신조차 고장관리 세부현황'!$T:$T,'처리 현황'!G$3)</f>
        <v>0</v>
      </c>
      <c r="H19" s="97">
        <f>COUNTIFS('2023년 신조차 고장관리 세부현황'!$D:$D,"2023",'2023년 신조차 고장관리 세부현황'!$E:$E,'처리 현황'!$B19,'2023년 신조차 고장관리 세부현황'!$T:$T,'처리 현황'!H$3)</f>
        <v>0</v>
      </c>
      <c r="I19" s="97">
        <f>COUNTIFS('2023년 신조차 고장관리 세부현황'!$D:$D,"2023",'2023년 신조차 고장관리 세부현황'!$E:$E,'처리 현황'!$B19,'2023년 신조차 고장관리 세부현황'!$T:$T,'처리 현황'!I$3)</f>
        <v>0</v>
      </c>
      <c r="J19" s="119">
        <f>COUNTIFS('2023년 신조차 고장관리 세부현황'!$D:$D,"2023",'2023년 신조차 고장관리 세부현황'!$E:$E,'처리 현황'!$B19,'2023년 신조차 고장관리 세부현황'!$J:$J,'처리 현황'!J$3)</f>
        <v>3</v>
      </c>
      <c r="K19" s="104">
        <f>COUNTIFS('2023년 신조차 고장관리 세부현황'!$D:$D,"2023",'2023년 신조차 고장관리 세부현황'!$E:$E,'처리 현황'!$B19,'2023년 신조차 고장관리 세부현황'!$J:$J,'처리 현황'!K$3)</f>
        <v>5</v>
      </c>
      <c r="L19" s="104">
        <f>COUNTIFS('2023년 신조차 고장관리 세부현황'!$D:$D,"2023",'2023년 신조차 고장관리 세부현황'!$E:$E,'처리 현황'!$B19,'2023년 신조차 고장관리 세부현황'!$J:$J,'처리 현황'!L$3)</f>
        <v>1</v>
      </c>
      <c r="M19" s="104">
        <f>COUNTIFS('2023년 신조차 고장관리 세부현황'!$D:$D,"2023",'2023년 신조차 고장관리 세부현황'!$E:$E,'처리 현황'!$B19,'2023년 신조차 고장관리 세부현황'!$J:$J,'처리 현황'!M$3)</f>
        <v>0</v>
      </c>
      <c r="N19" s="104">
        <f>COUNTIFS('2023년 신조차 고장관리 세부현황'!$D:$D,"2023",'2023년 신조차 고장관리 세부현황'!$E:$E,'처리 현황'!$B19,'2023년 신조차 고장관리 세부현황'!$J:$J,'처리 현황'!N$3)</f>
        <v>0</v>
      </c>
      <c r="O19" s="119">
        <f>COUNTIFS('2023년 신조차 고장관리 세부현황'!$D:$D,"2023",'2023년 신조차 고장관리 세부현황'!$E:$E,'처리 현황'!$B19,'2023년 신조차 고장관리 세부현황'!$L:$L,'처리 현황'!O$3)</f>
        <v>0</v>
      </c>
      <c r="P19" s="106">
        <f>COUNTIFS('2023년 신조차 고장관리 세부현황'!$D:$D,"2023",'2023년 신조차 고장관리 세부현황'!$E:$E,'처리 현황'!$B19,'2023년 신조차 고장관리 세부현황'!$L:$L,'처리 현황'!P$3)</f>
        <v>0</v>
      </c>
      <c r="Q19" s="106">
        <f>COUNTIFS('2023년 신조차 고장관리 세부현황'!$D:$D,"2023",'2023년 신조차 고장관리 세부현황'!$E:$E,'처리 현황'!$B19,'2023년 신조차 고장관리 세부현황'!$L:$L,'처리 현황'!Q$3)</f>
        <v>2</v>
      </c>
      <c r="R19" s="106">
        <f>COUNTIFS('2023년 신조차 고장관리 세부현황'!$D:$D,"2023",'2023년 신조차 고장관리 세부현황'!$E:$E,'처리 현황'!$B19,'2023년 신조차 고장관리 세부현황'!$L:$L,'처리 현황'!R$3)</f>
        <v>3</v>
      </c>
      <c r="S19" s="106">
        <f>COUNTIFS('2023년 신조차 고장관리 세부현황'!$D:$D,"2023",'2023년 신조차 고장관리 세부현황'!$E:$E,'처리 현황'!$B19,'2023년 신조차 고장관리 세부현황'!$L:$L,'처리 현황'!S$3)</f>
        <v>3</v>
      </c>
      <c r="T19" s="106">
        <f>COUNTIFS('2023년 신조차 고장관리 세부현황'!$D:$D,"2023",'2023년 신조차 고장관리 세부현황'!$E:$E,'처리 현황'!$B19,'2023년 신조차 고장관리 세부현황'!$L:$L,'처리 현황'!T$3)</f>
        <v>1</v>
      </c>
      <c r="U19" s="125">
        <f t="shared" si="0"/>
        <v>0</v>
      </c>
      <c r="V19" s="106">
        <f>COUNTIFS('2023년 신조차 고장관리 세부현황'!$D:$D,"2023",'2023년 신조차 고장관리 세부현황'!$E:$E,'처리 현황'!$B19,'2023년 신조차 고장관리 세부현황'!$K:$K,'처리 현황'!V$3)</f>
        <v>2</v>
      </c>
      <c r="W19" s="133">
        <f>COUNTIFS('2023년 신조차 고장관리 세부현황'!$D:$D,"2023",'2023년 신조차 고장관리 세부현황'!$E:$E,'처리 현황'!$B19,'2023년 신조차 고장관리 세부현황'!$K:$K,W$2,'2023년 신조차 고장관리 세부현황'!$S:$S,"단품불량")</f>
        <v>0</v>
      </c>
      <c r="X19" s="106">
        <f>COUNTIFS('2023년 신조차 고장관리 세부현황'!$D:$D,"2023",'2023년 신조차 고장관리 세부현황'!$E:$E,'처리 현황'!$B19,'2023년 신조차 고장관리 세부현황'!$K:$K,'처리 현황'!X$3)</f>
        <v>7</v>
      </c>
      <c r="Y19" s="133">
        <f>COUNTIFS('2023년 신조차 고장관리 세부현황'!$D:$D,"2023",'2023년 신조차 고장관리 세부현황'!$E:$E,'처리 현황'!$B19,'2023년 신조차 고장관리 세부현황'!$K:$K,Y$2,'2023년 신조차 고장관리 세부현황'!$S:$S,"단품불량")</f>
        <v>0</v>
      </c>
      <c r="Z19" s="106">
        <f t="shared" si="1"/>
        <v>0</v>
      </c>
      <c r="AH19" s="380"/>
      <c r="AI19" s="97">
        <v>4</v>
      </c>
      <c r="AJ19" s="108" t="s">
        <v>198</v>
      </c>
      <c r="AK19" s="108"/>
      <c r="AL19" s="97">
        <f>COUNTIFS('2023년 신조차 고장관리 세부현황'!$D:$D,"2023",'2023년 신조차 고장관리 세부현황'!$E:$E,'처리 현황'!$B19)</f>
        <v>9</v>
      </c>
      <c r="AM19" s="97">
        <f>COUNTIFS('2023년 신조차 고장관리 세부현황'!$D:$D,"2023",'2023년 신조차 고장관리 세부현황'!$E:$E,'처리 현황'!$B19,'2023년 신조차 고장관리 세부현황'!$V:$V,'처리 현황'!AM$3)</f>
        <v>9</v>
      </c>
      <c r="AN19" s="97">
        <f>COUNTIFS('2023년 신조차 고장관리 세부현황'!$D:$D,"2023",'2023년 신조차 고장관리 세부현황'!$E:$E,'처리 현황'!$B19,'2023년 신조차 고장관리 세부현황'!$V:$V,'처리 현황'!AN$3)</f>
        <v>0</v>
      </c>
      <c r="AO19" s="97">
        <f>COUNTIFS('2023년 신조차 고장관리 세부현황'!$D:$D,"2023",'2023년 신조차 고장관리 세부현황'!$E:$E,'처리 현황'!$B19,'2023년 신조차 고장관리 세부현황'!$V:$V,'처리 현황'!AO$3)</f>
        <v>0</v>
      </c>
      <c r="AP19" s="97">
        <f>COUNTIFS('2023년 신조차 고장관리 세부현황'!$D:$D,"2023",'2023년 신조차 고장관리 세부현황'!$E:$E,'처리 현황'!$B19,'2023년 신조차 고장관리 세부현황'!$V:$V,'처리 현황'!AP$3)</f>
        <v>0</v>
      </c>
      <c r="AQ19" s="97">
        <f>COUNTIFS('2023년 신조차 고장관리 세부현황'!$D:$D,"2023",'2023년 신조차 고장관리 세부현황'!$E:$E,'처리 현황'!$B19,'2023년 신조차 고장관리 세부현황'!$V:$V,'처리 현황'!AQ$3)</f>
        <v>0</v>
      </c>
      <c r="AR19" s="190">
        <f t="shared" si="2"/>
        <v>0</v>
      </c>
      <c r="AS19" s="119">
        <f>COUNTIFS('2023년 신조차 고장관리 세부현황'!$D:$D,"2023",'2023년 신조차 고장관리 세부현황'!$E:$E,'처리 현황'!$B19,'2023년 신조차 고장관리 세부현황'!$J:$J,'처리 현황'!AS$3)</f>
        <v>3</v>
      </c>
      <c r="AT19" s="104">
        <f>COUNTIFS('2023년 신조차 고장관리 세부현황'!$D:$D,"2023",'2023년 신조차 고장관리 세부현황'!$E:$E,'처리 현황'!$B19,'2023년 신조차 고장관리 세부현황'!$J:$J,'처리 현황'!AT$3)</f>
        <v>5</v>
      </c>
      <c r="AU19" s="104">
        <f>COUNTIFS('2023년 신조차 고장관리 세부현황'!$D:$D,"2023",'2023년 신조차 고장관리 세부현황'!$E:$E,'처리 현황'!$B19,'2023년 신조차 고장관리 세부현황'!$J:$J,'처리 현황'!AU$3)</f>
        <v>1</v>
      </c>
      <c r="AV19" s="104">
        <f>COUNTIFS('2023년 신조차 고장관리 세부현황'!$D:$D,"2023",'2023년 신조차 고장관리 세부현황'!$E:$E,'처리 현황'!$B19,'2023년 신조차 고장관리 세부현황'!$J:$J,'처리 현황'!AV$3)</f>
        <v>0</v>
      </c>
      <c r="AW19" s="104">
        <f>COUNTIFS('2023년 신조차 고장관리 세부현황'!$D:$D,"2023",'2023년 신조차 고장관리 세부현황'!$E:$E,'처리 현황'!$B19,'2023년 신조차 고장관리 세부현황'!$J:$J,'처리 현황'!AW$3)</f>
        <v>0</v>
      </c>
      <c r="AX19" s="119">
        <f>COUNTIFS('2023년 신조차 고장관리 세부현황'!$D:$D,"2023",'2023년 신조차 고장관리 세부현황'!$E:$E,'처리 현황'!$B19,'2023년 신조차 고장관리 세부현황'!$L:$L,'처리 현황'!AX$3)</f>
        <v>0</v>
      </c>
      <c r="AY19" s="106">
        <f>COUNTIFS('2023년 신조차 고장관리 세부현황'!$D:$D,"2023",'2023년 신조차 고장관리 세부현황'!$E:$E,'처리 현황'!$B19,'2023년 신조차 고장관리 세부현황'!$L:$L,'처리 현황'!AY$3)</f>
        <v>0</v>
      </c>
      <c r="AZ19" s="106">
        <f>COUNTIFS('2023년 신조차 고장관리 세부현황'!$D:$D,"2023",'2023년 신조차 고장관리 세부현황'!$E:$E,'처리 현황'!$B19,'2023년 신조차 고장관리 세부현황'!$L:$L,'처리 현황'!AZ$3)</f>
        <v>2</v>
      </c>
      <c r="BA19" s="106">
        <f>COUNTIFS('2023년 신조차 고장관리 세부현황'!$D:$D,"2023",'2023년 신조차 고장관리 세부현황'!$E:$E,'처리 현황'!$B19,'2023년 신조차 고장관리 세부현황'!$L:$L,'처리 현황'!BA$3)</f>
        <v>3</v>
      </c>
      <c r="BB19" s="106">
        <f>COUNTIFS('2023년 신조차 고장관리 세부현황'!$D:$D,"2023",'2023년 신조차 고장관리 세부현황'!$E:$E,'처리 현황'!$B19,'2023년 신조차 고장관리 세부현황'!$L:$L,'처리 현황'!BB$3)</f>
        <v>3</v>
      </c>
      <c r="BC19" s="106">
        <f>COUNTIFS('2023년 신조차 고장관리 세부현황'!$D:$D,"2023",'2023년 신조차 고장관리 세부현황'!$E:$E,'처리 현황'!$B19,'2023년 신조차 고장관리 세부현황'!$L:$L,'처리 현황'!BC$3)</f>
        <v>1</v>
      </c>
      <c r="BD19" s="106">
        <f t="shared" si="3"/>
        <v>0</v>
      </c>
      <c r="BE19" s="119">
        <f>COUNTIFS('2023년 신조차 고장관리 세부현황'!$D:$D,"2023",'2023년 신조차 고장관리 세부현황'!$E:$E,'처리 현황'!$B19,'2023년 신조차 고장관리 세부현황'!$K:$K,'처리 현황'!BE$3)</f>
        <v>2</v>
      </c>
      <c r="BF19" s="133">
        <f>COUNTIFS('2023년 신조차 고장관리 세부현황'!$D:$D,"2023",'2023년 신조차 고장관리 세부현황'!$E:$E,'처리 현황'!$B19,'2023년 신조차 고장관리 세부현황'!$K:$K,BF$2,'2023년 신조차 고장관리 세부현황'!$S:$S,"단품불량")</f>
        <v>0</v>
      </c>
      <c r="BG19" s="106">
        <f>COUNTIFS('2023년 신조차 고장관리 세부현황'!$D:$D,"2023",'2023년 신조차 고장관리 세부현황'!$E:$E,'처리 현황'!$B19,'2023년 신조차 고장관리 세부현황'!$K:$K,'처리 현황'!BG$3)</f>
        <v>7</v>
      </c>
      <c r="BH19" s="133">
        <f>COUNTIFS('2023년 신조차 고장관리 세부현황'!$D:$D,"2023",'2023년 신조차 고장관리 세부현황'!$E:$E,'처리 현황'!$B19,'2023년 신조차 고장관리 세부현황'!$K:$K,BH$2,'2023년 신조차 고장관리 세부현황'!$S:$S,"단품불량")</f>
        <v>0</v>
      </c>
      <c r="BI19" s="106">
        <f t="shared" si="4"/>
        <v>0</v>
      </c>
      <c r="BJ19">
        <f ca="1">COUNTIFS('2023년 신조차 고장관리 세부현황'!$D:$D,"2023",'2023년 신조차 고장관리 세부현황'!$E:$E,'처리 현황'!$B19,'2023년 신조차 고장관리 세부현황'!$BC:$BC,"완료",'2023년 신조차 고장관리 세부현황'!$CY:$CY,BJ$3)</f>
        <v>0</v>
      </c>
      <c r="BK19">
        <f ca="1">COUNTIFS('2023년 신조차 고장관리 세부현황'!$D:$D,"2023",'2023년 신조차 고장관리 세부현황'!$E:$E,'처리 현황'!$B19,'2023년 신조차 고장관리 세부현황'!$BC:$BC,"완료",'2023년 신조차 고장관리 세부현황'!$CY:$CY,BK$3)</f>
        <v>0</v>
      </c>
      <c r="BL19">
        <f ca="1">COUNTIFS('2023년 신조차 고장관리 세부현황'!$D:$D,"2023",'2023년 신조차 고장관리 세부현황'!$E:$E,'처리 현황'!$B19,'2023년 신조차 고장관리 세부현황'!$BC:$BC,"완료",'2023년 신조차 고장관리 세부현황'!$CY:$CY,BL$3)</f>
        <v>0</v>
      </c>
      <c r="BM19">
        <f ca="1">COUNTIFS('2023년 신조차 고장관리 세부현황'!$D:$D,"2023",'2023년 신조차 고장관리 세부현황'!$E:$E,'처리 현황'!$B19,'2023년 신조차 고장관리 세부현황'!$BC:$BC,"완료",'2023년 신조차 고장관리 세부현황'!$CY:$CY,BM$3)</f>
        <v>0</v>
      </c>
      <c r="BN19">
        <f ca="1">COUNTIFS('2023년 신조차 고장관리 세부현황'!$D:$D,"2023",'2023년 신조차 고장관리 세부현황'!$E:$E,'처리 현황'!$B19,'2023년 신조차 고장관리 세부현황'!$BC:$BC,"완료",'2023년 신조차 고장관리 세부현황'!$CY:$CY,BN$3)</f>
        <v>0</v>
      </c>
      <c r="BO19">
        <f ca="1">COUNTIFS('2023년 신조차 고장관리 세부현황'!$D:$D,"2023",'2023년 신조차 고장관리 세부현황'!$E:$E,'처리 현황'!$B19,'2023년 신조차 고장관리 세부현황'!$BC:$BC,"완료",'2023년 신조차 고장관리 세부현황'!$CY:$CY,BO$3)</f>
        <v>0</v>
      </c>
      <c r="BP19">
        <f ca="1">COUNTIFS('2023년 신조차 고장관리 세부현황'!$D:$D,"2023",'2023년 신조차 고장관리 세부현황'!$E:$E,'처리 현황'!$B19,'2023년 신조차 고장관리 세부현황'!$BC:$BC,"완료",'2023년 신조차 고장관리 세부현황'!$CY:$CY,BP$3)</f>
        <v>0</v>
      </c>
    </row>
    <row r="20" spans="1:68" x14ac:dyDescent="0.4">
      <c r="A20" s="380"/>
      <c r="B20" s="97">
        <v>5</v>
      </c>
      <c r="C20" s="108" t="s">
        <v>199</v>
      </c>
      <c r="D20" s="97">
        <f>COUNTIFS('2023년 신조차 고장관리 세부현황'!$D:$D,"2023",'2023년 신조차 고장관리 세부현황'!$E:$E,'처리 현황'!$B20)</f>
        <v>3</v>
      </c>
      <c r="E20" s="97">
        <f>COUNTIFS('2023년 신조차 고장관리 세부현황'!$D:$D,"2023",'2023년 신조차 고장관리 세부현황'!$E:$E,'처리 현황'!$B20,'2023년 신조차 고장관리 세부현황'!$T:$T,'처리 현황'!E$3)</f>
        <v>2</v>
      </c>
      <c r="F20" s="97">
        <f>COUNTIFS('2023년 신조차 고장관리 세부현황'!$D:$D,"2023",'2023년 신조차 고장관리 세부현황'!$E:$E,'처리 현황'!$B20,'2023년 신조차 고장관리 세부현황'!$T:$T,'처리 현황'!F$3)</f>
        <v>1</v>
      </c>
      <c r="G20" s="97">
        <f>COUNTIFS('2023년 신조차 고장관리 세부현황'!$D:$D,"2023",'2023년 신조차 고장관리 세부현황'!$E:$E,'처리 현황'!$B20,'2023년 신조차 고장관리 세부현황'!$T:$T,'처리 현황'!G$3)</f>
        <v>0</v>
      </c>
      <c r="H20" s="97">
        <f>COUNTIFS('2023년 신조차 고장관리 세부현황'!$D:$D,"2023",'2023년 신조차 고장관리 세부현황'!$E:$E,'처리 현황'!$B20,'2023년 신조차 고장관리 세부현황'!$T:$T,'처리 현황'!H$3)</f>
        <v>0</v>
      </c>
      <c r="I20" s="97">
        <f>COUNTIFS('2023년 신조차 고장관리 세부현황'!$D:$D,"2023",'2023년 신조차 고장관리 세부현황'!$E:$E,'처리 현황'!$B20,'2023년 신조차 고장관리 세부현황'!$T:$T,'처리 현황'!I$3)</f>
        <v>0</v>
      </c>
      <c r="J20" s="119">
        <f>COUNTIFS('2023년 신조차 고장관리 세부현황'!$D:$D,"2023",'2023년 신조차 고장관리 세부현황'!$E:$E,'처리 현황'!$B20,'2023년 신조차 고장관리 세부현황'!$J:$J,'처리 현황'!J$3)</f>
        <v>1</v>
      </c>
      <c r="K20" s="104">
        <f>COUNTIFS('2023년 신조차 고장관리 세부현황'!$D:$D,"2023",'2023년 신조차 고장관리 세부현황'!$E:$E,'처리 현황'!$B20,'2023년 신조차 고장관리 세부현황'!$J:$J,'처리 현황'!K$3)</f>
        <v>2</v>
      </c>
      <c r="L20" s="104">
        <f>COUNTIFS('2023년 신조차 고장관리 세부현황'!$D:$D,"2023",'2023년 신조차 고장관리 세부현황'!$E:$E,'처리 현황'!$B20,'2023년 신조차 고장관리 세부현황'!$J:$J,'처리 현황'!L$3)</f>
        <v>0</v>
      </c>
      <c r="M20" s="104">
        <f>COUNTIFS('2023년 신조차 고장관리 세부현황'!$D:$D,"2023",'2023년 신조차 고장관리 세부현황'!$E:$E,'처리 현황'!$B20,'2023년 신조차 고장관리 세부현황'!$J:$J,'처리 현황'!M$3)</f>
        <v>0</v>
      </c>
      <c r="N20" s="104">
        <f>COUNTIFS('2023년 신조차 고장관리 세부현황'!$D:$D,"2023",'2023년 신조차 고장관리 세부현황'!$E:$E,'처리 현황'!$B20,'2023년 신조차 고장관리 세부현황'!$J:$J,'처리 현황'!N$3)</f>
        <v>0</v>
      </c>
      <c r="O20" s="119">
        <f>COUNTIFS('2023년 신조차 고장관리 세부현황'!$D:$D,"2023",'2023년 신조차 고장관리 세부현황'!$E:$E,'처리 현황'!$B20,'2023년 신조차 고장관리 세부현황'!$L:$L,'처리 현황'!O$3)</f>
        <v>0</v>
      </c>
      <c r="P20" s="106">
        <f>COUNTIFS('2023년 신조차 고장관리 세부현황'!$D:$D,"2023",'2023년 신조차 고장관리 세부현황'!$E:$E,'처리 현황'!$B20,'2023년 신조차 고장관리 세부현황'!$L:$L,'처리 현황'!P$3)</f>
        <v>0</v>
      </c>
      <c r="Q20" s="106">
        <f>COUNTIFS('2023년 신조차 고장관리 세부현황'!$D:$D,"2023",'2023년 신조차 고장관리 세부현황'!$E:$E,'처리 현황'!$B20,'2023년 신조차 고장관리 세부현황'!$L:$L,'처리 현황'!Q$3)</f>
        <v>0</v>
      </c>
      <c r="R20" s="106">
        <f>COUNTIFS('2023년 신조차 고장관리 세부현황'!$D:$D,"2023",'2023년 신조차 고장관리 세부현황'!$E:$E,'처리 현황'!$B20,'2023년 신조차 고장관리 세부현황'!$L:$L,'처리 현황'!R$3)</f>
        <v>1</v>
      </c>
      <c r="S20" s="106">
        <f>COUNTIFS('2023년 신조차 고장관리 세부현황'!$D:$D,"2023",'2023년 신조차 고장관리 세부현황'!$E:$E,'처리 현황'!$B20,'2023년 신조차 고장관리 세부현황'!$L:$L,'처리 현황'!S$3)</f>
        <v>1</v>
      </c>
      <c r="T20" s="106">
        <f>COUNTIFS('2023년 신조차 고장관리 세부현황'!$D:$D,"2023",'2023년 신조차 고장관리 세부현황'!$E:$E,'처리 현황'!$B20,'2023년 신조차 고장관리 세부현황'!$L:$L,'처리 현황'!T$3)</f>
        <v>1</v>
      </c>
      <c r="U20" s="125">
        <f t="shared" si="0"/>
        <v>0</v>
      </c>
      <c r="V20" s="106">
        <f>COUNTIFS('2023년 신조차 고장관리 세부현황'!$D:$D,"2023",'2023년 신조차 고장관리 세부현황'!$E:$E,'처리 현황'!$B20,'2023년 신조차 고장관리 세부현황'!$K:$K,'처리 현황'!V$3)</f>
        <v>0</v>
      </c>
      <c r="W20" s="133">
        <f>COUNTIFS('2023년 신조차 고장관리 세부현황'!$D:$D,"2023",'2023년 신조차 고장관리 세부현황'!$E:$E,'처리 현황'!$B20,'2023년 신조차 고장관리 세부현황'!$K:$K,W$2,'2023년 신조차 고장관리 세부현황'!$S:$S,"단품불량")</f>
        <v>0</v>
      </c>
      <c r="X20" s="106">
        <f>COUNTIFS('2023년 신조차 고장관리 세부현황'!$D:$D,"2023",'2023년 신조차 고장관리 세부현황'!$E:$E,'처리 현황'!$B20,'2023년 신조차 고장관리 세부현황'!$K:$K,'처리 현황'!X$3)</f>
        <v>3</v>
      </c>
      <c r="Y20" s="133">
        <f>COUNTIFS('2023년 신조차 고장관리 세부현황'!$D:$D,"2023",'2023년 신조차 고장관리 세부현황'!$E:$E,'처리 현황'!$B20,'2023년 신조차 고장관리 세부현황'!$K:$K,Y$2,'2023년 신조차 고장관리 세부현황'!$S:$S,"단품불량")</f>
        <v>0</v>
      </c>
      <c r="Z20" s="106">
        <f t="shared" si="1"/>
        <v>0</v>
      </c>
      <c r="AH20" s="380"/>
      <c r="AI20" s="97">
        <v>5</v>
      </c>
      <c r="AJ20" s="108" t="s">
        <v>199</v>
      </c>
      <c r="AK20" s="108"/>
      <c r="AL20" s="97">
        <f>COUNTIFS('2023년 신조차 고장관리 세부현황'!$D:$D,"2023",'2023년 신조차 고장관리 세부현황'!$E:$E,'처리 현황'!$B20)</f>
        <v>3</v>
      </c>
      <c r="AM20" s="97">
        <f>COUNTIFS('2023년 신조차 고장관리 세부현황'!$D:$D,"2023",'2023년 신조차 고장관리 세부현황'!$E:$E,'처리 현황'!$B20,'2023년 신조차 고장관리 세부현황'!$V:$V,'처리 현황'!AM$3)</f>
        <v>3</v>
      </c>
      <c r="AN20" s="97">
        <f>COUNTIFS('2023년 신조차 고장관리 세부현황'!$D:$D,"2023",'2023년 신조차 고장관리 세부현황'!$E:$E,'처리 현황'!$B20,'2023년 신조차 고장관리 세부현황'!$V:$V,'처리 현황'!AN$3)</f>
        <v>0</v>
      </c>
      <c r="AO20" s="97">
        <f>COUNTIFS('2023년 신조차 고장관리 세부현황'!$D:$D,"2023",'2023년 신조차 고장관리 세부현황'!$E:$E,'처리 현황'!$B20,'2023년 신조차 고장관리 세부현황'!$V:$V,'처리 현황'!AO$3)</f>
        <v>0</v>
      </c>
      <c r="AP20" s="97">
        <f>COUNTIFS('2023년 신조차 고장관리 세부현황'!$D:$D,"2023",'2023년 신조차 고장관리 세부현황'!$E:$E,'처리 현황'!$B20,'2023년 신조차 고장관리 세부현황'!$V:$V,'처리 현황'!AP$3)</f>
        <v>0</v>
      </c>
      <c r="AQ20" s="97">
        <f>COUNTIFS('2023년 신조차 고장관리 세부현황'!$D:$D,"2023",'2023년 신조차 고장관리 세부현황'!$E:$E,'처리 현황'!$B20,'2023년 신조차 고장관리 세부현황'!$V:$V,'처리 현황'!AQ$3)</f>
        <v>0</v>
      </c>
      <c r="AR20" s="190">
        <f t="shared" si="2"/>
        <v>0</v>
      </c>
      <c r="AS20" s="119">
        <f>COUNTIFS('2023년 신조차 고장관리 세부현황'!$D:$D,"2023",'2023년 신조차 고장관리 세부현황'!$E:$E,'처리 현황'!$B20,'2023년 신조차 고장관리 세부현황'!$J:$J,'처리 현황'!AS$3)</f>
        <v>1</v>
      </c>
      <c r="AT20" s="104">
        <f>COUNTIFS('2023년 신조차 고장관리 세부현황'!$D:$D,"2023",'2023년 신조차 고장관리 세부현황'!$E:$E,'처리 현황'!$B20,'2023년 신조차 고장관리 세부현황'!$J:$J,'처리 현황'!AT$3)</f>
        <v>2</v>
      </c>
      <c r="AU20" s="104">
        <f>COUNTIFS('2023년 신조차 고장관리 세부현황'!$D:$D,"2023",'2023년 신조차 고장관리 세부현황'!$E:$E,'처리 현황'!$B20,'2023년 신조차 고장관리 세부현황'!$J:$J,'처리 현황'!AU$3)</f>
        <v>0</v>
      </c>
      <c r="AV20" s="104">
        <f>COUNTIFS('2023년 신조차 고장관리 세부현황'!$D:$D,"2023",'2023년 신조차 고장관리 세부현황'!$E:$E,'처리 현황'!$B20,'2023년 신조차 고장관리 세부현황'!$J:$J,'처리 현황'!AV$3)</f>
        <v>0</v>
      </c>
      <c r="AW20" s="104">
        <f>COUNTIFS('2023년 신조차 고장관리 세부현황'!$D:$D,"2023",'2023년 신조차 고장관리 세부현황'!$E:$E,'처리 현황'!$B20,'2023년 신조차 고장관리 세부현황'!$J:$J,'처리 현황'!AW$3)</f>
        <v>0</v>
      </c>
      <c r="AX20" s="119">
        <f>COUNTIFS('2023년 신조차 고장관리 세부현황'!$D:$D,"2023",'2023년 신조차 고장관리 세부현황'!$E:$E,'처리 현황'!$B20,'2023년 신조차 고장관리 세부현황'!$L:$L,'처리 현황'!AX$3)</f>
        <v>0</v>
      </c>
      <c r="AY20" s="106">
        <f>COUNTIFS('2023년 신조차 고장관리 세부현황'!$D:$D,"2023",'2023년 신조차 고장관리 세부현황'!$E:$E,'처리 현황'!$B20,'2023년 신조차 고장관리 세부현황'!$L:$L,'처리 현황'!AY$3)</f>
        <v>0</v>
      </c>
      <c r="AZ20" s="106">
        <f>COUNTIFS('2023년 신조차 고장관리 세부현황'!$D:$D,"2023",'2023년 신조차 고장관리 세부현황'!$E:$E,'처리 현황'!$B20,'2023년 신조차 고장관리 세부현황'!$L:$L,'처리 현황'!AZ$3)</f>
        <v>0</v>
      </c>
      <c r="BA20" s="106">
        <f>COUNTIFS('2023년 신조차 고장관리 세부현황'!$D:$D,"2023",'2023년 신조차 고장관리 세부현황'!$E:$E,'처리 현황'!$B20,'2023년 신조차 고장관리 세부현황'!$L:$L,'처리 현황'!BA$3)</f>
        <v>1</v>
      </c>
      <c r="BB20" s="106">
        <f>COUNTIFS('2023년 신조차 고장관리 세부현황'!$D:$D,"2023",'2023년 신조차 고장관리 세부현황'!$E:$E,'처리 현황'!$B20,'2023년 신조차 고장관리 세부현황'!$L:$L,'처리 현황'!BB$3)</f>
        <v>1</v>
      </c>
      <c r="BC20" s="106">
        <f>COUNTIFS('2023년 신조차 고장관리 세부현황'!$D:$D,"2023",'2023년 신조차 고장관리 세부현황'!$E:$E,'처리 현황'!$B20,'2023년 신조차 고장관리 세부현황'!$L:$L,'처리 현황'!BC$3)</f>
        <v>1</v>
      </c>
      <c r="BD20" s="106">
        <f t="shared" si="3"/>
        <v>0</v>
      </c>
      <c r="BE20" s="119">
        <f>COUNTIFS('2023년 신조차 고장관리 세부현황'!$D:$D,"2023",'2023년 신조차 고장관리 세부현황'!$E:$E,'처리 현황'!$B20,'2023년 신조차 고장관리 세부현황'!$K:$K,'처리 현황'!BE$3)</f>
        <v>0</v>
      </c>
      <c r="BF20" s="133">
        <f>COUNTIFS('2023년 신조차 고장관리 세부현황'!$D:$D,"2023",'2023년 신조차 고장관리 세부현황'!$E:$E,'처리 현황'!$B20,'2023년 신조차 고장관리 세부현황'!$K:$K,BF$2,'2023년 신조차 고장관리 세부현황'!$S:$S,"단품불량")</f>
        <v>0</v>
      </c>
      <c r="BG20" s="106">
        <f>COUNTIFS('2023년 신조차 고장관리 세부현황'!$D:$D,"2023",'2023년 신조차 고장관리 세부현황'!$E:$E,'처리 현황'!$B20,'2023년 신조차 고장관리 세부현황'!$K:$K,'처리 현황'!BG$3)</f>
        <v>3</v>
      </c>
      <c r="BH20" s="133">
        <f>COUNTIFS('2023년 신조차 고장관리 세부현황'!$D:$D,"2023",'2023년 신조차 고장관리 세부현황'!$E:$E,'처리 현황'!$B20,'2023년 신조차 고장관리 세부현황'!$K:$K,BH$2,'2023년 신조차 고장관리 세부현황'!$S:$S,"단품불량")</f>
        <v>0</v>
      </c>
      <c r="BI20" s="106">
        <f t="shared" si="4"/>
        <v>0</v>
      </c>
      <c r="BJ20">
        <f ca="1">COUNTIFS('2023년 신조차 고장관리 세부현황'!$D:$D,"2023",'2023년 신조차 고장관리 세부현황'!$E:$E,'처리 현황'!$B20,'2023년 신조차 고장관리 세부현황'!$BC:$BC,"완료",'2023년 신조차 고장관리 세부현황'!$CY:$CY,BJ$3)</f>
        <v>0</v>
      </c>
      <c r="BK20">
        <f ca="1">COUNTIFS('2023년 신조차 고장관리 세부현황'!$D:$D,"2023",'2023년 신조차 고장관리 세부현황'!$E:$E,'처리 현황'!$B20,'2023년 신조차 고장관리 세부현황'!$BC:$BC,"완료",'2023년 신조차 고장관리 세부현황'!$CY:$CY,BK$3)</f>
        <v>0</v>
      </c>
      <c r="BL20">
        <f ca="1">COUNTIFS('2023년 신조차 고장관리 세부현황'!$D:$D,"2023",'2023년 신조차 고장관리 세부현황'!$E:$E,'처리 현황'!$B20,'2023년 신조차 고장관리 세부현황'!$BC:$BC,"완료",'2023년 신조차 고장관리 세부현황'!$CY:$CY,BL$3)</f>
        <v>0</v>
      </c>
      <c r="BM20">
        <f ca="1">COUNTIFS('2023년 신조차 고장관리 세부현황'!$D:$D,"2023",'2023년 신조차 고장관리 세부현황'!$E:$E,'처리 현황'!$B20,'2023년 신조차 고장관리 세부현황'!$BC:$BC,"완료",'2023년 신조차 고장관리 세부현황'!$CY:$CY,BM$3)</f>
        <v>0</v>
      </c>
      <c r="BN20">
        <f ca="1">COUNTIFS('2023년 신조차 고장관리 세부현황'!$D:$D,"2023",'2023년 신조차 고장관리 세부현황'!$E:$E,'처리 현황'!$B20,'2023년 신조차 고장관리 세부현황'!$BC:$BC,"완료",'2023년 신조차 고장관리 세부현황'!$CY:$CY,BN$3)</f>
        <v>0</v>
      </c>
      <c r="BO20">
        <f ca="1">COUNTIFS('2023년 신조차 고장관리 세부현황'!$D:$D,"2023",'2023년 신조차 고장관리 세부현황'!$E:$E,'처리 현황'!$B20,'2023년 신조차 고장관리 세부현황'!$BC:$BC,"완료",'2023년 신조차 고장관리 세부현황'!$CY:$CY,BO$3)</f>
        <v>0</v>
      </c>
      <c r="BP20">
        <f ca="1">COUNTIFS('2023년 신조차 고장관리 세부현황'!$D:$D,"2023",'2023년 신조차 고장관리 세부현황'!$E:$E,'처리 현황'!$B20,'2023년 신조차 고장관리 세부현황'!$BC:$BC,"완료",'2023년 신조차 고장관리 세부현황'!$CY:$CY,BP$3)</f>
        <v>0</v>
      </c>
    </row>
    <row r="21" spans="1:68" x14ac:dyDescent="0.4">
      <c r="A21" s="380"/>
      <c r="B21" s="97">
        <v>6</v>
      </c>
      <c r="C21" s="108" t="s">
        <v>207</v>
      </c>
      <c r="D21" s="97">
        <f>COUNTIFS('2023년 신조차 고장관리 세부현황'!$D:$D,"2023",'2023년 신조차 고장관리 세부현황'!$E:$E,'처리 현황'!$B21)</f>
        <v>4</v>
      </c>
      <c r="E21" s="97">
        <f>COUNTIFS('2023년 신조차 고장관리 세부현황'!$D:$D,"2023",'2023년 신조차 고장관리 세부현황'!$E:$E,'처리 현황'!$B21,'2023년 신조차 고장관리 세부현황'!$T:$T,'처리 현황'!E$3)</f>
        <v>4</v>
      </c>
      <c r="F21" s="97">
        <f>COUNTIFS('2023년 신조차 고장관리 세부현황'!$D:$D,"2023",'2023년 신조차 고장관리 세부현황'!$E:$E,'처리 현황'!$B21,'2023년 신조차 고장관리 세부현황'!$T:$T,'처리 현황'!F$3)</f>
        <v>0</v>
      </c>
      <c r="G21" s="97">
        <f>COUNTIFS('2023년 신조차 고장관리 세부현황'!$D:$D,"2023",'2023년 신조차 고장관리 세부현황'!$E:$E,'처리 현황'!$B21,'2023년 신조차 고장관리 세부현황'!$T:$T,'처리 현황'!G$3)</f>
        <v>0</v>
      </c>
      <c r="H21" s="97">
        <f>COUNTIFS('2023년 신조차 고장관리 세부현황'!$D:$D,"2023",'2023년 신조차 고장관리 세부현황'!$E:$E,'처리 현황'!$B21,'2023년 신조차 고장관리 세부현황'!$T:$T,'처리 현황'!H$3)</f>
        <v>0</v>
      </c>
      <c r="I21" s="97">
        <f>COUNTIFS('2023년 신조차 고장관리 세부현황'!$D:$D,"2023",'2023년 신조차 고장관리 세부현황'!$E:$E,'처리 현황'!$B21,'2023년 신조차 고장관리 세부현황'!$T:$T,'처리 현황'!I$3)</f>
        <v>0</v>
      </c>
      <c r="J21" s="119">
        <f>COUNTIFS('2023년 신조차 고장관리 세부현황'!$D:$D,"2023",'2023년 신조차 고장관리 세부현황'!$E:$E,'처리 현황'!$B21,'2023년 신조차 고장관리 세부현황'!$J:$J,'처리 현황'!J$3)</f>
        <v>3</v>
      </c>
      <c r="K21" s="104">
        <f>COUNTIFS('2023년 신조차 고장관리 세부현황'!$D:$D,"2023",'2023년 신조차 고장관리 세부현황'!$E:$E,'처리 현황'!$B21,'2023년 신조차 고장관리 세부현황'!$J:$J,'처리 현황'!K$3)</f>
        <v>1</v>
      </c>
      <c r="L21" s="104">
        <f>COUNTIFS('2023년 신조차 고장관리 세부현황'!$D:$D,"2023",'2023년 신조차 고장관리 세부현황'!$E:$E,'처리 현황'!$B21,'2023년 신조차 고장관리 세부현황'!$J:$J,'처리 현황'!L$3)</f>
        <v>0</v>
      </c>
      <c r="M21" s="104">
        <f>COUNTIFS('2023년 신조차 고장관리 세부현황'!$D:$D,"2023",'2023년 신조차 고장관리 세부현황'!$E:$E,'처리 현황'!$B21,'2023년 신조차 고장관리 세부현황'!$J:$J,'처리 현황'!M$3)</f>
        <v>0</v>
      </c>
      <c r="N21" s="104">
        <f>COUNTIFS('2023년 신조차 고장관리 세부현황'!$D:$D,"2023",'2023년 신조차 고장관리 세부현황'!$E:$E,'처리 현황'!$B21,'2023년 신조차 고장관리 세부현황'!$J:$J,'처리 현황'!N$3)</f>
        <v>0</v>
      </c>
      <c r="O21" s="119">
        <f>COUNTIFS('2023년 신조차 고장관리 세부현황'!$D:$D,"2023",'2023년 신조차 고장관리 세부현황'!$E:$E,'처리 현황'!$B21,'2023년 신조차 고장관리 세부현황'!$L:$L,'처리 현황'!O$3)</f>
        <v>0</v>
      </c>
      <c r="P21" s="106">
        <f>COUNTIFS('2023년 신조차 고장관리 세부현황'!$D:$D,"2023",'2023년 신조차 고장관리 세부현황'!$E:$E,'처리 현황'!$B21,'2023년 신조차 고장관리 세부현황'!$L:$L,'처리 현황'!P$3)</f>
        <v>0</v>
      </c>
      <c r="Q21" s="106">
        <f>COUNTIFS('2023년 신조차 고장관리 세부현황'!$D:$D,"2023",'2023년 신조차 고장관리 세부현황'!$E:$E,'처리 현황'!$B21,'2023년 신조차 고장관리 세부현황'!$L:$L,'처리 현황'!Q$3)</f>
        <v>0</v>
      </c>
      <c r="R21" s="106">
        <f>COUNTIFS('2023년 신조차 고장관리 세부현황'!$D:$D,"2023",'2023년 신조차 고장관리 세부현황'!$E:$E,'처리 현황'!$B21,'2023년 신조차 고장관리 세부현황'!$L:$L,'처리 현황'!R$3)</f>
        <v>1</v>
      </c>
      <c r="S21" s="106">
        <f>COUNTIFS('2023년 신조차 고장관리 세부현황'!$D:$D,"2023",'2023년 신조차 고장관리 세부현황'!$E:$E,'처리 현황'!$B21,'2023년 신조차 고장관리 세부현황'!$L:$L,'처리 현황'!S$3)</f>
        <v>3</v>
      </c>
      <c r="T21" s="106">
        <f>COUNTIFS('2023년 신조차 고장관리 세부현황'!$D:$D,"2023",'2023년 신조차 고장관리 세부현황'!$E:$E,'처리 현황'!$B21,'2023년 신조차 고장관리 세부현황'!$L:$L,'처리 현황'!T$3)</f>
        <v>0</v>
      </c>
      <c r="U21" s="125">
        <f t="shared" si="0"/>
        <v>0</v>
      </c>
      <c r="V21" s="106">
        <f>COUNTIFS('2023년 신조차 고장관리 세부현황'!$D:$D,"2023",'2023년 신조차 고장관리 세부현황'!$E:$E,'처리 현황'!$B21,'2023년 신조차 고장관리 세부현황'!$K:$K,'처리 현황'!V$3)</f>
        <v>0</v>
      </c>
      <c r="W21" s="133">
        <f>COUNTIFS('2023년 신조차 고장관리 세부현황'!$D:$D,"2023",'2023년 신조차 고장관리 세부현황'!$E:$E,'처리 현황'!$B21,'2023년 신조차 고장관리 세부현황'!$K:$K,W$2,'2023년 신조차 고장관리 세부현황'!$S:$S,"단품불량")</f>
        <v>0</v>
      </c>
      <c r="X21" s="106">
        <f>COUNTIFS('2023년 신조차 고장관리 세부현황'!$D:$D,"2023",'2023년 신조차 고장관리 세부현황'!$E:$E,'처리 현황'!$B21,'2023년 신조차 고장관리 세부현황'!$K:$K,'처리 현황'!X$3)</f>
        <v>4</v>
      </c>
      <c r="Y21" s="133">
        <f>COUNTIFS('2023년 신조차 고장관리 세부현황'!$D:$D,"2023",'2023년 신조차 고장관리 세부현황'!$E:$E,'처리 현황'!$B21,'2023년 신조차 고장관리 세부현황'!$K:$K,Y$2,'2023년 신조차 고장관리 세부현황'!$S:$S,"단품불량")</f>
        <v>0</v>
      </c>
      <c r="Z21" s="106">
        <f t="shared" si="1"/>
        <v>0</v>
      </c>
      <c r="AH21" s="380"/>
      <c r="AI21" s="97">
        <v>6</v>
      </c>
      <c r="AJ21" s="108" t="s">
        <v>207</v>
      </c>
      <c r="AK21" s="108"/>
      <c r="AL21" s="97">
        <f>COUNTIFS('2023년 신조차 고장관리 세부현황'!$D:$D,"2023",'2023년 신조차 고장관리 세부현황'!$E:$E,'처리 현황'!$B21)</f>
        <v>4</v>
      </c>
      <c r="AM21" s="97">
        <f>COUNTIFS('2023년 신조차 고장관리 세부현황'!$D:$D,"2023",'2023년 신조차 고장관리 세부현황'!$E:$E,'처리 현황'!$B21,'2023년 신조차 고장관리 세부현황'!$V:$V,'처리 현황'!AM$3)</f>
        <v>4</v>
      </c>
      <c r="AN21" s="97">
        <f>COUNTIFS('2023년 신조차 고장관리 세부현황'!$D:$D,"2023",'2023년 신조차 고장관리 세부현황'!$E:$E,'처리 현황'!$B21,'2023년 신조차 고장관리 세부현황'!$V:$V,'처리 현황'!AN$3)</f>
        <v>0</v>
      </c>
      <c r="AO21" s="97">
        <f>COUNTIFS('2023년 신조차 고장관리 세부현황'!$D:$D,"2023",'2023년 신조차 고장관리 세부현황'!$E:$E,'처리 현황'!$B21,'2023년 신조차 고장관리 세부현황'!$V:$V,'처리 현황'!AO$3)</f>
        <v>0</v>
      </c>
      <c r="AP21" s="97">
        <f>COUNTIFS('2023년 신조차 고장관리 세부현황'!$D:$D,"2023",'2023년 신조차 고장관리 세부현황'!$E:$E,'처리 현황'!$B21,'2023년 신조차 고장관리 세부현황'!$V:$V,'처리 현황'!AP$3)</f>
        <v>0</v>
      </c>
      <c r="AQ21" s="97">
        <f>COUNTIFS('2023년 신조차 고장관리 세부현황'!$D:$D,"2023",'2023년 신조차 고장관리 세부현황'!$E:$E,'처리 현황'!$B21,'2023년 신조차 고장관리 세부현황'!$V:$V,'처리 현황'!AQ$3)</f>
        <v>0</v>
      </c>
      <c r="AR21" s="190">
        <f t="shared" si="2"/>
        <v>0</v>
      </c>
      <c r="AS21" s="119">
        <f>COUNTIFS('2023년 신조차 고장관리 세부현황'!$D:$D,"2023",'2023년 신조차 고장관리 세부현황'!$E:$E,'처리 현황'!$B21,'2023년 신조차 고장관리 세부현황'!$J:$J,'처리 현황'!AS$3)</f>
        <v>3</v>
      </c>
      <c r="AT21" s="104">
        <f>COUNTIFS('2023년 신조차 고장관리 세부현황'!$D:$D,"2023",'2023년 신조차 고장관리 세부현황'!$E:$E,'처리 현황'!$B21,'2023년 신조차 고장관리 세부현황'!$J:$J,'처리 현황'!AT$3)</f>
        <v>1</v>
      </c>
      <c r="AU21" s="104">
        <f>COUNTIFS('2023년 신조차 고장관리 세부현황'!$D:$D,"2023",'2023년 신조차 고장관리 세부현황'!$E:$E,'처리 현황'!$B21,'2023년 신조차 고장관리 세부현황'!$J:$J,'처리 현황'!AU$3)</f>
        <v>0</v>
      </c>
      <c r="AV21" s="104">
        <f>COUNTIFS('2023년 신조차 고장관리 세부현황'!$D:$D,"2023",'2023년 신조차 고장관리 세부현황'!$E:$E,'처리 현황'!$B21,'2023년 신조차 고장관리 세부현황'!$J:$J,'처리 현황'!AV$3)</f>
        <v>0</v>
      </c>
      <c r="AW21" s="104">
        <f>COUNTIFS('2023년 신조차 고장관리 세부현황'!$D:$D,"2023",'2023년 신조차 고장관리 세부현황'!$E:$E,'처리 현황'!$B21,'2023년 신조차 고장관리 세부현황'!$J:$J,'처리 현황'!AW$3)</f>
        <v>0</v>
      </c>
      <c r="AX21" s="119">
        <f>COUNTIFS('2023년 신조차 고장관리 세부현황'!$D:$D,"2023",'2023년 신조차 고장관리 세부현황'!$E:$E,'처리 현황'!$B21,'2023년 신조차 고장관리 세부현황'!$L:$L,'처리 현황'!AX$3)</f>
        <v>0</v>
      </c>
      <c r="AY21" s="106">
        <f>COUNTIFS('2023년 신조차 고장관리 세부현황'!$D:$D,"2023",'2023년 신조차 고장관리 세부현황'!$E:$E,'처리 현황'!$B21,'2023년 신조차 고장관리 세부현황'!$L:$L,'처리 현황'!AY$3)</f>
        <v>0</v>
      </c>
      <c r="AZ21" s="106">
        <f>COUNTIFS('2023년 신조차 고장관리 세부현황'!$D:$D,"2023",'2023년 신조차 고장관리 세부현황'!$E:$E,'처리 현황'!$B21,'2023년 신조차 고장관리 세부현황'!$L:$L,'처리 현황'!AZ$3)</f>
        <v>0</v>
      </c>
      <c r="BA21" s="106">
        <f>COUNTIFS('2023년 신조차 고장관리 세부현황'!$D:$D,"2023",'2023년 신조차 고장관리 세부현황'!$E:$E,'처리 현황'!$B21,'2023년 신조차 고장관리 세부현황'!$L:$L,'처리 현황'!BA$3)</f>
        <v>1</v>
      </c>
      <c r="BB21" s="106">
        <f>COUNTIFS('2023년 신조차 고장관리 세부현황'!$D:$D,"2023",'2023년 신조차 고장관리 세부현황'!$E:$E,'처리 현황'!$B21,'2023년 신조차 고장관리 세부현황'!$L:$L,'처리 현황'!BB$3)</f>
        <v>3</v>
      </c>
      <c r="BC21" s="106">
        <f>COUNTIFS('2023년 신조차 고장관리 세부현황'!$D:$D,"2023",'2023년 신조차 고장관리 세부현황'!$E:$E,'처리 현황'!$B21,'2023년 신조차 고장관리 세부현황'!$L:$L,'처리 현황'!BC$3)</f>
        <v>0</v>
      </c>
      <c r="BD21" s="106">
        <f t="shared" si="3"/>
        <v>0</v>
      </c>
      <c r="BE21" s="119">
        <f>COUNTIFS('2023년 신조차 고장관리 세부현황'!$D:$D,"2023",'2023년 신조차 고장관리 세부현황'!$E:$E,'처리 현황'!$B21,'2023년 신조차 고장관리 세부현황'!$K:$K,'처리 현황'!BE$3)</f>
        <v>0</v>
      </c>
      <c r="BF21" s="133">
        <f>COUNTIFS('2023년 신조차 고장관리 세부현황'!$D:$D,"2023",'2023년 신조차 고장관리 세부현황'!$E:$E,'처리 현황'!$B21,'2023년 신조차 고장관리 세부현황'!$K:$K,BF$2,'2023년 신조차 고장관리 세부현황'!$S:$S,"단품불량")</f>
        <v>0</v>
      </c>
      <c r="BG21" s="106">
        <f>COUNTIFS('2023년 신조차 고장관리 세부현황'!$D:$D,"2023",'2023년 신조차 고장관리 세부현황'!$E:$E,'처리 현황'!$B21,'2023년 신조차 고장관리 세부현황'!$K:$K,'처리 현황'!BG$3)</f>
        <v>4</v>
      </c>
      <c r="BH21" s="133">
        <f>COUNTIFS('2023년 신조차 고장관리 세부현황'!$D:$D,"2023",'2023년 신조차 고장관리 세부현황'!$E:$E,'처리 현황'!$B21,'2023년 신조차 고장관리 세부현황'!$K:$K,BH$2,'2023년 신조차 고장관리 세부현황'!$S:$S,"단품불량")</f>
        <v>0</v>
      </c>
      <c r="BI21" s="106">
        <f t="shared" si="4"/>
        <v>0</v>
      </c>
      <c r="BJ21">
        <f ca="1">COUNTIFS('2023년 신조차 고장관리 세부현황'!$D:$D,"2023",'2023년 신조차 고장관리 세부현황'!$E:$E,'처리 현황'!$B21,'2023년 신조차 고장관리 세부현황'!$BC:$BC,"완료",'2023년 신조차 고장관리 세부현황'!$CY:$CY,BJ$3)</f>
        <v>0</v>
      </c>
      <c r="BK21">
        <f ca="1">COUNTIFS('2023년 신조차 고장관리 세부현황'!$D:$D,"2023",'2023년 신조차 고장관리 세부현황'!$E:$E,'처리 현황'!$B21,'2023년 신조차 고장관리 세부현황'!$BC:$BC,"완료",'2023년 신조차 고장관리 세부현황'!$CY:$CY,BK$3)</f>
        <v>0</v>
      </c>
      <c r="BL21">
        <f ca="1">COUNTIFS('2023년 신조차 고장관리 세부현황'!$D:$D,"2023",'2023년 신조차 고장관리 세부현황'!$E:$E,'처리 현황'!$B21,'2023년 신조차 고장관리 세부현황'!$BC:$BC,"완료",'2023년 신조차 고장관리 세부현황'!$CY:$CY,BL$3)</f>
        <v>0</v>
      </c>
      <c r="BM21">
        <f ca="1">COUNTIFS('2023년 신조차 고장관리 세부현황'!$D:$D,"2023",'2023년 신조차 고장관리 세부현황'!$E:$E,'처리 현황'!$B21,'2023년 신조차 고장관리 세부현황'!$BC:$BC,"완료",'2023년 신조차 고장관리 세부현황'!$CY:$CY,BM$3)</f>
        <v>0</v>
      </c>
      <c r="BN21">
        <f ca="1">COUNTIFS('2023년 신조차 고장관리 세부현황'!$D:$D,"2023",'2023년 신조차 고장관리 세부현황'!$E:$E,'처리 현황'!$B21,'2023년 신조차 고장관리 세부현황'!$BC:$BC,"완료",'2023년 신조차 고장관리 세부현황'!$CY:$CY,BN$3)</f>
        <v>0</v>
      </c>
      <c r="BO21">
        <f ca="1">COUNTIFS('2023년 신조차 고장관리 세부현황'!$D:$D,"2023",'2023년 신조차 고장관리 세부현황'!$E:$E,'처리 현황'!$B21,'2023년 신조차 고장관리 세부현황'!$BC:$BC,"완료",'2023년 신조차 고장관리 세부현황'!$CY:$CY,BO$3)</f>
        <v>0</v>
      </c>
      <c r="BP21">
        <f ca="1">COUNTIFS('2023년 신조차 고장관리 세부현황'!$D:$D,"2023",'2023년 신조차 고장관리 세부현황'!$E:$E,'처리 현황'!$B21,'2023년 신조차 고장관리 세부현황'!$BC:$BC,"완료",'2023년 신조차 고장관리 세부현황'!$CY:$CY,BP$3)</f>
        <v>0</v>
      </c>
    </row>
    <row r="22" spans="1:68" x14ac:dyDescent="0.4">
      <c r="A22" s="380"/>
      <c r="B22" s="97">
        <v>7</v>
      </c>
      <c r="C22" s="108" t="s">
        <v>200</v>
      </c>
      <c r="D22" s="97">
        <f>COUNTIFS('2023년 신조차 고장관리 세부현황'!$D:$D,"2023",'2023년 신조차 고장관리 세부현황'!$E:$E,'처리 현황'!$B22)</f>
        <v>7</v>
      </c>
      <c r="E22" s="97">
        <f>COUNTIFS('2023년 신조차 고장관리 세부현황'!$D:$D,"2023",'2023년 신조차 고장관리 세부현황'!$E:$E,'처리 현황'!$B22,'2023년 신조차 고장관리 세부현황'!$T:$T,'처리 현황'!E$3)</f>
        <v>5</v>
      </c>
      <c r="F22" s="97">
        <f>COUNTIFS('2023년 신조차 고장관리 세부현황'!$D:$D,"2023",'2023년 신조차 고장관리 세부현황'!$E:$E,'처리 현황'!$B22,'2023년 신조차 고장관리 세부현황'!$T:$T,'처리 현황'!F$3)</f>
        <v>2</v>
      </c>
      <c r="G22" s="97">
        <f>COUNTIFS('2023년 신조차 고장관리 세부현황'!$D:$D,"2023",'2023년 신조차 고장관리 세부현황'!$E:$E,'처리 현황'!$B22,'2023년 신조차 고장관리 세부현황'!$T:$T,'처리 현황'!G$3)</f>
        <v>0</v>
      </c>
      <c r="H22" s="97">
        <f>COUNTIFS('2023년 신조차 고장관리 세부현황'!$D:$D,"2023",'2023년 신조차 고장관리 세부현황'!$E:$E,'처리 현황'!$B22,'2023년 신조차 고장관리 세부현황'!$T:$T,'처리 현황'!H$3)</f>
        <v>0</v>
      </c>
      <c r="I22" s="97">
        <f>COUNTIFS('2023년 신조차 고장관리 세부현황'!$D:$D,"2023",'2023년 신조차 고장관리 세부현황'!$E:$E,'처리 현황'!$B22,'2023년 신조차 고장관리 세부현황'!$T:$T,'처리 현황'!I$3)</f>
        <v>0</v>
      </c>
      <c r="J22" s="119">
        <f>COUNTIFS('2023년 신조차 고장관리 세부현황'!$D:$D,"2023",'2023년 신조차 고장관리 세부현황'!$E:$E,'처리 현황'!$B22,'2023년 신조차 고장관리 세부현황'!$J:$J,'처리 현황'!J$3)</f>
        <v>0</v>
      </c>
      <c r="K22" s="104">
        <f>COUNTIFS('2023년 신조차 고장관리 세부현황'!$D:$D,"2023",'2023년 신조차 고장관리 세부현황'!$E:$E,'처리 현황'!$B22,'2023년 신조차 고장관리 세부현황'!$J:$J,'처리 현황'!K$3)</f>
        <v>7</v>
      </c>
      <c r="L22" s="104">
        <f>COUNTIFS('2023년 신조차 고장관리 세부현황'!$D:$D,"2023",'2023년 신조차 고장관리 세부현황'!$E:$E,'처리 현황'!$B22,'2023년 신조차 고장관리 세부현황'!$J:$J,'처리 현황'!L$3)</f>
        <v>0</v>
      </c>
      <c r="M22" s="104">
        <f>COUNTIFS('2023년 신조차 고장관리 세부현황'!$D:$D,"2023",'2023년 신조차 고장관리 세부현황'!$E:$E,'처리 현황'!$B22,'2023년 신조차 고장관리 세부현황'!$J:$J,'처리 현황'!M$3)</f>
        <v>0</v>
      </c>
      <c r="N22" s="104">
        <f>COUNTIFS('2023년 신조차 고장관리 세부현황'!$D:$D,"2023",'2023년 신조차 고장관리 세부현황'!$E:$E,'처리 현황'!$B22,'2023년 신조차 고장관리 세부현황'!$J:$J,'처리 현황'!N$3)</f>
        <v>0</v>
      </c>
      <c r="O22" s="119">
        <f>COUNTIFS('2023년 신조차 고장관리 세부현황'!$D:$D,"2023",'2023년 신조차 고장관리 세부현황'!$E:$E,'처리 현황'!$B22,'2023년 신조차 고장관리 세부현황'!$L:$L,'처리 현황'!O$3)</f>
        <v>0</v>
      </c>
      <c r="P22" s="106">
        <f>COUNTIFS('2023년 신조차 고장관리 세부현황'!$D:$D,"2023",'2023년 신조차 고장관리 세부현황'!$E:$E,'처리 현황'!$B22,'2023년 신조차 고장관리 세부현황'!$L:$L,'처리 현황'!P$3)</f>
        <v>0</v>
      </c>
      <c r="Q22" s="106">
        <f>COUNTIFS('2023년 신조차 고장관리 세부현황'!$D:$D,"2023",'2023년 신조차 고장관리 세부현황'!$E:$E,'처리 현황'!$B22,'2023년 신조차 고장관리 세부현황'!$L:$L,'처리 현황'!Q$3)</f>
        <v>0</v>
      </c>
      <c r="R22" s="106">
        <f>COUNTIFS('2023년 신조차 고장관리 세부현황'!$D:$D,"2023",'2023년 신조차 고장관리 세부현황'!$E:$E,'처리 현황'!$B22,'2023년 신조차 고장관리 세부현황'!$L:$L,'처리 현황'!R$3)</f>
        <v>1</v>
      </c>
      <c r="S22" s="106">
        <f>COUNTIFS('2023년 신조차 고장관리 세부현황'!$D:$D,"2023",'2023년 신조차 고장관리 세부현황'!$E:$E,'처리 현황'!$B22,'2023년 신조차 고장관리 세부현황'!$L:$L,'처리 현황'!S$3)</f>
        <v>6</v>
      </c>
      <c r="T22" s="106">
        <f>COUNTIFS('2023년 신조차 고장관리 세부현황'!$D:$D,"2023",'2023년 신조차 고장관리 세부현황'!$E:$E,'처리 현황'!$B22,'2023년 신조차 고장관리 세부현황'!$L:$L,'처리 현황'!T$3)</f>
        <v>0</v>
      </c>
      <c r="U22" s="125">
        <f t="shared" si="0"/>
        <v>0</v>
      </c>
      <c r="V22" s="106">
        <f>COUNTIFS('2023년 신조차 고장관리 세부현황'!$D:$D,"2023",'2023년 신조차 고장관리 세부현황'!$E:$E,'처리 현황'!$B22,'2023년 신조차 고장관리 세부현황'!$K:$K,'처리 현황'!V$3)</f>
        <v>0</v>
      </c>
      <c r="W22" s="133">
        <f>COUNTIFS('2023년 신조차 고장관리 세부현황'!$D:$D,"2023",'2023년 신조차 고장관리 세부현황'!$E:$E,'처리 현황'!$B22,'2023년 신조차 고장관리 세부현황'!$K:$K,W$2,'2023년 신조차 고장관리 세부현황'!$S:$S,"단품불량")</f>
        <v>0</v>
      </c>
      <c r="X22" s="106">
        <f>COUNTIFS('2023년 신조차 고장관리 세부현황'!$D:$D,"2023",'2023년 신조차 고장관리 세부현황'!$E:$E,'처리 현황'!$B22,'2023년 신조차 고장관리 세부현황'!$K:$K,'처리 현황'!X$3)</f>
        <v>7</v>
      </c>
      <c r="Y22" s="133">
        <f>COUNTIFS('2023년 신조차 고장관리 세부현황'!$D:$D,"2023",'2023년 신조차 고장관리 세부현황'!$E:$E,'처리 현황'!$B22,'2023년 신조차 고장관리 세부현황'!$K:$K,Y$2,'2023년 신조차 고장관리 세부현황'!$S:$S,"단품불량")</f>
        <v>0</v>
      </c>
      <c r="Z22" s="106">
        <f t="shared" si="1"/>
        <v>0</v>
      </c>
      <c r="AH22" s="380"/>
      <c r="AI22" s="97">
        <v>7</v>
      </c>
      <c r="AJ22" s="108" t="s">
        <v>200</v>
      </c>
      <c r="AK22" s="108"/>
      <c r="AL22" s="97">
        <f>COUNTIFS('2023년 신조차 고장관리 세부현황'!$D:$D,"2023",'2023년 신조차 고장관리 세부현황'!$E:$E,'처리 현황'!$B22)</f>
        <v>7</v>
      </c>
      <c r="AM22" s="97">
        <f>COUNTIFS('2023년 신조차 고장관리 세부현황'!$D:$D,"2023",'2023년 신조차 고장관리 세부현황'!$E:$E,'처리 현황'!$B22,'2023년 신조차 고장관리 세부현황'!$V:$V,'처리 현황'!AM$3)</f>
        <v>7</v>
      </c>
      <c r="AN22" s="97">
        <f>COUNTIFS('2023년 신조차 고장관리 세부현황'!$D:$D,"2023",'2023년 신조차 고장관리 세부현황'!$E:$E,'처리 현황'!$B22,'2023년 신조차 고장관리 세부현황'!$V:$V,'처리 현황'!AN$3)</f>
        <v>0</v>
      </c>
      <c r="AO22" s="97">
        <f>COUNTIFS('2023년 신조차 고장관리 세부현황'!$D:$D,"2023",'2023년 신조차 고장관리 세부현황'!$E:$E,'처리 현황'!$B22,'2023년 신조차 고장관리 세부현황'!$V:$V,'처리 현황'!AO$3)</f>
        <v>0</v>
      </c>
      <c r="AP22" s="97">
        <f>COUNTIFS('2023년 신조차 고장관리 세부현황'!$D:$D,"2023",'2023년 신조차 고장관리 세부현황'!$E:$E,'처리 현황'!$B22,'2023년 신조차 고장관리 세부현황'!$V:$V,'처리 현황'!AP$3)</f>
        <v>0</v>
      </c>
      <c r="AQ22" s="97">
        <f>COUNTIFS('2023년 신조차 고장관리 세부현황'!$D:$D,"2023",'2023년 신조차 고장관리 세부현황'!$E:$E,'처리 현황'!$B22,'2023년 신조차 고장관리 세부현황'!$V:$V,'처리 현황'!AQ$3)</f>
        <v>0</v>
      </c>
      <c r="AR22" s="190">
        <f t="shared" si="2"/>
        <v>0</v>
      </c>
      <c r="AS22" s="119">
        <f>COUNTIFS('2023년 신조차 고장관리 세부현황'!$D:$D,"2023",'2023년 신조차 고장관리 세부현황'!$E:$E,'처리 현황'!$B22,'2023년 신조차 고장관리 세부현황'!$J:$J,'처리 현황'!AS$3)</f>
        <v>0</v>
      </c>
      <c r="AT22" s="104">
        <f>COUNTIFS('2023년 신조차 고장관리 세부현황'!$D:$D,"2023",'2023년 신조차 고장관리 세부현황'!$E:$E,'처리 현황'!$B22,'2023년 신조차 고장관리 세부현황'!$J:$J,'처리 현황'!AT$3)</f>
        <v>7</v>
      </c>
      <c r="AU22" s="104">
        <f>COUNTIFS('2023년 신조차 고장관리 세부현황'!$D:$D,"2023",'2023년 신조차 고장관리 세부현황'!$E:$E,'처리 현황'!$B22,'2023년 신조차 고장관리 세부현황'!$J:$J,'처리 현황'!AU$3)</f>
        <v>0</v>
      </c>
      <c r="AV22" s="104">
        <f>COUNTIFS('2023년 신조차 고장관리 세부현황'!$D:$D,"2023",'2023년 신조차 고장관리 세부현황'!$E:$E,'처리 현황'!$B22,'2023년 신조차 고장관리 세부현황'!$J:$J,'처리 현황'!AV$3)</f>
        <v>0</v>
      </c>
      <c r="AW22" s="104">
        <f>COUNTIFS('2023년 신조차 고장관리 세부현황'!$D:$D,"2023",'2023년 신조차 고장관리 세부현황'!$E:$E,'처리 현황'!$B22,'2023년 신조차 고장관리 세부현황'!$J:$J,'처리 현황'!AW$3)</f>
        <v>0</v>
      </c>
      <c r="AX22" s="119">
        <f>COUNTIFS('2023년 신조차 고장관리 세부현황'!$D:$D,"2023",'2023년 신조차 고장관리 세부현황'!$E:$E,'처리 현황'!$B22,'2023년 신조차 고장관리 세부현황'!$L:$L,'처리 현황'!AX$3)</f>
        <v>0</v>
      </c>
      <c r="AY22" s="106">
        <f>COUNTIFS('2023년 신조차 고장관리 세부현황'!$D:$D,"2023",'2023년 신조차 고장관리 세부현황'!$E:$E,'처리 현황'!$B22,'2023년 신조차 고장관리 세부현황'!$L:$L,'처리 현황'!AY$3)</f>
        <v>0</v>
      </c>
      <c r="AZ22" s="106">
        <f>COUNTIFS('2023년 신조차 고장관리 세부현황'!$D:$D,"2023",'2023년 신조차 고장관리 세부현황'!$E:$E,'처리 현황'!$B22,'2023년 신조차 고장관리 세부현황'!$L:$L,'처리 현황'!AZ$3)</f>
        <v>0</v>
      </c>
      <c r="BA22" s="106">
        <f>COUNTIFS('2023년 신조차 고장관리 세부현황'!$D:$D,"2023",'2023년 신조차 고장관리 세부현황'!$E:$E,'처리 현황'!$B22,'2023년 신조차 고장관리 세부현황'!$L:$L,'처리 현황'!BA$3)</f>
        <v>1</v>
      </c>
      <c r="BB22" s="106">
        <f>COUNTIFS('2023년 신조차 고장관리 세부현황'!$D:$D,"2023",'2023년 신조차 고장관리 세부현황'!$E:$E,'처리 현황'!$B22,'2023년 신조차 고장관리 세부현황'!$L:$L,'처리 현황'!BB$3)</f>
        <v>6</v>
      </c>
      <c r="BC22" s="106">
        <f>COUNTIFS('2023년 신조차 고장관리 세부현황'!$D:$D,"2023",'2023년 신조차 고장관리 세부현황'!$E:$E,'처리 현황'!$B22,'2023년 신조차 고장관리 세부현황'!$L:$L,'처리 현황'!BC$3)</f>
        <v>0</v>
      </c>
      <c r="BD22" s="106">
        <f t="shared" si="3"/>
        <v>0</v>
      </c>
      <c r="BE22" s="119">
        <f>COUNTIFS('2023년 신조차 고장관리 세부현황'!$D:$D,"2023",'2023년 신조차 고장관리 세부현황'!$E:$E,'처리 현황'!$B22,'2023년 신조차 고장관리 세부현황'!$K:$K,'처리 현황'!BE$3)</f>
        <v>0</v>
      </c>
      <c r="BF22" s="133">
        <f>COUNTIFS('2023년 신조차 고장관리 세부현황'!$D:$D,"2023",'2023년 신조차 고장관리 세부현황'!$E:$E,'처리 현황'!$B22,'2023년 신조차 고장관리 세부현황'!$K:$K,BF$2,'2023년 신조차 고장관리 세부현황'!$S:$S,"단품불량")</f>
        <v>0</v>
      </c>
      <c r="BG22" s="106">
        <f>COUNTIFS('2023년 신조차 고장관리 세부현황'!$D:$D,"2023",'2023년 신조차 고장관리 세부현황'!$E:$E,'처리 현황'!$B22,'2023년 신조차 고장관리 세부현황'!$K:$K,'처리 현황'!BG$3)</f>
        <v>7</v>
      </c>
      <c r="BH22" s="133">
        <f>COUNTIFS('2023년 신조차 고장관리 세부현황'!$D:$D,"2023",'2023년 신조차 고장관리 세부현황'!$E:$E,'처리 현황'!$B22,'2023년 신조차 고장관리 세부현황'!$K:$K,BH$2,'2023년 신조차 고장관리 세부현황'!$S:$S,"단품불량")</f>
        <v>0</v>
      </c>
      <c r="BI22" s="106">
        <f t="shared" si="4"/>
        <v>0</v>
      </c>
      <c r="BJ22">
        <f ca="1">COUNTIFS('2023년 신조차 고장관리 세부현황'!$D:$D,"2023",'2023년 신조차 고장관리 세부현황'!$E:$E,'처리 현황'!$B22,'2023년 신조차 고장관리 세부현황'!$BC:$BC,"완료",'2023년 신조차 고장관리 세부현황'!$CY:$CY,BJ$3)</f>
        <v>0</v>
      </c>
      <c r="BK22">
        <f ca="1">COUNTIFS('2023년 신조차 고장관리 세부현황'!$D:$D,"2023",'2023년 신조차 고장관리 세부현황'!$E:$E,'처리 현황'!$B22,'2023년 신조차 고장관리 세부현황'!$BC:$BC,"완료",'2023년 신조차 고장관리 세부현황'!$CY:$CY,BK$3)</f>
        <v>0</v>
      </c>
      <c r="BL22">
        <f ca="1">COUNTIFS('2023년 신조차 고장관리 세부현황'!$D:$D,"2023",'2023년 신조차 고장관리 세부현황'!$E:$E,'처리 현황'!$B22,'2023년 신조차 고장관리 세부현황'!$BC:$BC,"완료",'2023년 신조차 고장관리 세부현황'!$CY:$CY,BL$3)</f>
        <v>0</v>
      </c>
      <c r="BM22">
        <f ca="1">COUNTIFS('2023년 신조차 고장관리 세부현황'!$D:$D,"2023",'2023년 신조차 고장관리 세부현황'!$E:$E,'처리 현황'!$B22,'2023년 신조차 고장관리 세부현황'!$BC:$BC,"완료",'2023년 신조차 고장관리 세부현황'!$CY:$CY,BM$3)</f>
        <v>0</v>
      </c>
      <c r="BN22">
        <f ca="1">COUNTIFS('2023년 신조차 고장관리 세부현황'!$D:$D,"2023",'2023년 신조차 고장관리 세부현황'!$E:$E,'처리 현황'!$B22,'2023년 신조차 고장관리 세부현황'!$BC:$BC,"완료",'2023년 신조차 고장관리 세부현황'!$CY:$CY,BN$3)</f>
        <v>0</v>
      </c>
      <c r="BO22">
        <f ca="1">COUNTIFS('2023년 신조차 고장관리 세부현황'!$D:$D,"2023",'2023년 신조차 고장관리 세부현황'!$E:$E,'처리 현황'!$B22,'2023년 신조차 고장관리 세부현황'!$BC:$BC,"완료",'2023년 신조차 고장관리 세부현황'!$CY:$CY,BO$3)</f>
        <v>0</v>
      </c>
      <c r="BP22">
        <f ca="1">COUNTIFS('2023년 신조차 고장관리 세부현황'!$D:$D,"2023",'2023년 신조차 고장관리 세부현황'!$E:$E,'처리 현황'!$B22,'2023년 신조차 고장관리 세부현황'!$BC:$BC,"완료",'2023년 신조차 고장관리 세부현황'!$CY:$CY,BP$3)</f>
        <v>0</v>
      </c>
    </row>
    <row r="23" spans="1:68" x14ac:dyDescent="0.4">
      <c r="A23" s="380"/>
      <c r="B23" s="97">
        <v>8</v>
      </c>
      <c r="C23" s="108" t="s">
        <v>201</v>
      </c>
      <c r="D23" s="97">
        <f>COUNTIFS('2023년 신조차 고장관리 세부현황'!$D:$D,"2023",'2023년 신조차 고장관리 세부현황'!$E:$E,'처리 현황'!$B23)</f>
        <v>4</v>
      </c>
      <c r="E23" s="97">
        <f>COUNTIFS('2023년 신조차 고장관리 세부현황'!$D:$D,"2023",'2023년 신조차 고장관리 세부현황'!$E:$E,'처리 현황'!$B23,'2023년 신조차 고장관리 세부현황'!$T:$T,'처리 현황'!E$3)</f>
        <v>4</v>
      </c>
      <c r="F23" s="97">
        <f>COUNTIFS('2023년 신조차 고장관리 세부현황'!$D:$D,"2023",'2023년 신조차 고장관리 세부현황'!$E:$E,'처리 현황'!$B23,'2023년 신조차 고장관리 세부현황'!$T:$T,'처리 현황'!F$3)</f>
        <v>0</v>
      </c>
      <c r="G23" s="97">
        <f>COUNTIFS('2023년 신조차 고장관리 세부현황'!$D:$D,"2023",'2023년 신조차 고장관리 세부현황'!$E:$E,'처리 현황'!$B23,'2023년 신조차 고장관리 세부현황'!$T:$T,'처리 현황'!G$3)</f>
        <v>0</v>
      </c>
      <c r="H23" s="97">
        <f>COUNTIFS('2023년 신조차 고장관리 세부현황'!$D:$D,"2023",'2023년 신조차 고장관리 세부현황'!$E:$E,'처리 현황'!$B23,'2023년 신조차 고장관리 세부현황'!$T:$T,'처리 현황'!H$3)</f>
        <v>0</v>
      </c>
      <c r="I23" s="97">
        <f>COUNTIFS('2023년 신조차 고장관리 세부현황'!$D:$D,"2023",'2023년 신조차 고장관리 세부현황'!$E:$E,'처리 현황'!$B23,'2023년 신조차 고장관리 세부현황'!$T:$T,'처리 현황'!I$3)</f>
        <v>0</v>
      </c>
      <c r="J23" s="119">
        <f>COUNTIFS('2023년 신조차 고장관리 세부현황'!$D:$D,"2023",'2023년 신조차 고장관리 세부현황'!$E:$E,'처리 현황'!$B23,'2023년 신조차 고장관리 세부현황'!$J:$J,'처리 현황'!J$3)</f>
        <v>0</v>
      </c>
      <c r="K23" s="104">
        <f>COUNTIFS('2023년 신조차 고장관리 세부현황'!$D:$D,"2023",'2023년 신조차 고장관리 세부현황'!$E:$E,'처리 현황'!$B23,'2023년 신조차 고장관리 세부현황'!$J:$J,'처리 현황'!K$3)</f>
        <v>4</v>
      </c>
      <c r="L23" s="104">
        <f>COUNTIFS('2023년 신조차 고장관리 세부현황'!$D:$D,"2023",'2023년 신조차 고장관리 세부현황'!$E:$E,'처리 현황'!$B23,'2023년 신조차 고장관리 세부현황'!$J:$J,'처리 현황'!L$3)</f>
        <v>0</v>
      </c>
      <c r="M23" s="104">
        <f>COUNTIFS('2023년 신조차 고장관리 세부현황'!$D:$D,"2023",'2023년 신조차 고장관리 세부현황'!$E:$E,'처리 현황'!$B23,'2023년 신조차 고장관리 세부현황'!$J:$J,'처리 현황'!M$3)</f>
        <v>0</v>
      </c>
      <c r="N23" s="104">
        <f>COUNTIFS('2023년 신조차 고장관리 세부현황'!$D:$D,"2023",'2023년 신조차 고장관리 세부현황'!$E:$E,'처리 현황'!$B23,'2023년 신조차 고장관리 세부현황'!$J:$J,'처리 현황'!N$3)</f>
        <v>0</v>
      </c>
      <c r="O23" s="119">
        <f>COUNTIFS('2023년 신조차 고장관리 세부현황'!$D:$D,"2023",'2023년 신조차 고장관리 세부현황'!$E:$E,'처리 현황'!$B23,'2023년 신조차 고장관리 세부현황'!$L:$L,'처리 현황'!O$3)</f>
        <v>0</v>
      </c>
      <c r="P23" s="106">
        <f>COUNTIFS('2023년 신조차 고장관리 세부현황'!$D:$D,"2023",'2023년 신조차 고장관리 세부현황'!$E:$E,'처리 현황'!$B23,'2023년 신조차 고장관리 세부현황'!$L:$L,'처리 현황'!P$3)</f>
        <v>0</v>
      </c>
      <c r="Q23" s="106">
        <f>COUNTIFS('2023년 신조차 고장관리 세부현황'!$D:$D,"2023",'2023년 신조차 고장관리 세부현황'!$E:$E,'처리 현황'!$B23,'2023년 신조차 고장관리 세부현황'!$L:$L,'처리 현황'!Q$3)</f>
        <v>0</v>
      </c>
      <c r="R23" s="106">
        <f>COUNTIFS('2023년 신조차 고장관리 세부현황'!$D:$D,"2023",'2023년 신조차 고장관리 세부현황'!$E:$E,'처리 현황'!$B23,'2023년 신조차 고장관리 세부현황'!$L:$L,'처리 현황'!R$3)</f>
        <v>0</v>
      </c>
      <c r="S23" s="106">
        <f>COUNTIFS('2023년 신조차 고장관리 세부현황'!$D:$D,"2023",'2023년 신조차 고장관리 세부현황'!$E:$E,'처리 현황'!$B23,'2023년 신조차 고장관리 세부현황'!$L:$L,'처리 현황'!S$3)</f>
        <v>4</v>
      </c>
      <c r="T23" s="106">
        <f>COUNTIFS('2023년 신조차 고장관리 세부현황'!$D:$D,"2023",'2023년 신조차 고장관리 세부현황'!$E:$E,'처리 현황'!$B23,'2023년 신조차 고장관리 세부현황'!$L:$L,'처리 현황'!T$3)</f>
        <v>0</v>
      </c>
      <c r="U23" s="125">
        <f t="shared" si="0"/>
        <v>0</v>
      </c>
      <c r="V23" s="106">
        <f>COUNTIFS('2023년 신조차 고장관리 세부현황'!$D:$D,"2023",'2023년 신조차 고장관리 세부현황'!$E:$E,'처리 현황'!$B23,'2023년 신조차 고장관리 세부현황'!$K:$K,'처리 현황'!V$3)</f>
        <v>0</v>
      </c>
      <c r="W23" s="133">
        <f>COUNTIFS('2023년 신조차 고장관리 세부현황'!$D:$D,"2023",'2023년 신조차 고장관리 세부현황'!$E:$E,'처리 현황'!$B23,'2023년 신조차 고장관리 세부현황'!$K:$K,W$2,'2023년 신조차 고장관리 세부현황'!$S:$S,"단품불량")</f>
        <v>0</v>
      </c>
      <c r="X23" s="106">
        <f>COUNTIFS('2023년 신조차 고장관리 세부현황'!$D:$D,"2023",'2023년 신조차 고장관리 세부현황'!$E:$E,'처리 현황'!$B23,'2023년 신조차 고장관리 세부현황'!$K:$K,'처리 현황'!X$3)</f>
        <v>4</v>
      </c>
      <c r="Y23" s="133">
        <f>COUNTIFS('2023년 신조차 고장관리 세부현황'!$D:$D,"2023",'2023년 신조차 고장관리 세부현황'!$E:$E,'처리 현황'!$B23,'2023년 신조차 고장관리 세부현황'!$K:$K,Y$2,'2023년 신조차 고장관리 세부현황'!$S:$S,"단품불량")</f>
        <v>0</v>
      </c>
      <c r="Z23" s="106">
        <f t="shared" si="1"/>
        <v>0</v>
      </c>
      <c r="AH23" s="380"/>
      <c r="AI23" s="97">
        <v>8</v>
      </c>
      <c r="AJ23" s="108" t="s">
        <v>201</v>
      </c>
      <c r="AK23" s="108"/>
      <c r="AL23" s="97">
        <f>COUNTIFS('2023년 신조차 고장관리 세부현황'!$D:$D,"2023",'2023년 신조차 고장관리 세부현황'!$E:$E,'처리 현황'!$B23)</f>
        <v>4</v>
      </c>
      <c r="AM23" s="97">
        <f>COUNTIFS('2023년 신조차 고장관리 세부현황'!$D:$D,"2023",'2023년 신조차 고장관리 세부현황'!$E:$E,'처리 현황'!$B23,'2023년 신조차 고장관리 세부현황'!$V:$V,'처리 현황'!AM$3)</f>
        <v>4</v>
      </c>
      <c r="AN23" s="97">
        <f>COUNTIFS('2023년 신조차 고장관리 세부현황'!$D:$D,"2023",'2023년 신조차 고장관리 세부현황'!$E:$E,'처리 현황'!$B23,'2023년 신조차 고장관리 세부현황'!$V:$V,'처리 현황'!AN$3)</f>
        <v>0</v>
      </c>
      <c r="AO23" s="97">
        <f>COUNTIFS('2023년 신조차 고장관리 세부현황'!$D:$D,"2023",'2023년 신조차 고장관리 세부현황'!$E:$E,'처리 현황'!$B23,'2023년 신조차 고장관리 세부현황'!$V:$V,'처리 현황'!AO$3)</f>
        <v>0</v>
      </c>
      <c r="AP23" s="97">
        <f>COUNTIFS('2023년 신조차 고장관리 세부현황'!$D:$D,"2023",'2023년 신조차 고장관리 세부현황'!$E:$E,'처리 현황'!$B23,'2023년 신조차 고장관리 세부현황'!$V:$V,'처리 현황'!AP$3)</f>
        <v>0</v>
      </c>
      <c r="AQ23" s="97">
        <f>COUNTIFS('2023년 신조차 고장관리 세부현황'!$D:$D,"2023",'2023년 신조차 고장관리 세부현황'!$E:$E,'처리 현황'!$B23,'2023년 신조차 고장관리 세부현황'!$V:$V,'처리 현황'!AQ$3)</f>
        <v>0</v>
      </c>
      <c r="AR23" s="190">
        <f t="shared" si="2"/>
        <v>0</v>
      </c>
      <c r="AS23" s="119">
        <f>COUNTIFS('2023년 신조차 고장관리 세부현황'!$D:$D,"2023",'2023년 신조차 고장관리 세부현황'!$E:$E,'처리 현황'!$B23,'2023년 신조차 고장관리 세부현황'!$J:$J,'처리 현황'!AS$3)</f>
        <v>0</v>
      </c>
      <c r="AT23" s="104">
        <f>COUNTIFS('2023년 신조차 고장관리 세부현황'!$D:$D,"2023",'2023년 신조차 고장관리 세부현황'!$E:$E,'처리 현황'!$B23,'2023년 신조차 고장관리 세부현황'!$J:$J,'처리 현황'!AT$3)</f>
        <v>4</v>
      </c>
      <c r="AU23" s="104">
        <f>COUNTIFS('2023년 신조차 고장관리 세부현황'!$D:$D,"2023",'2023년 신조차 고장관리 세부현황'!$E:$E,'처리 현황'!$B23,'2023년 신조차 고장관리 세부현황'!$J:$J,'처리 현황'!AU$3)</f>
        <v>0</v>
      </c>
      <c r="AV23" s="104">
        <f>COUNTIFS('2023년 신조차 고장관리 세부현황'!$D:$D,"2023",'2023년 신조차 고장관리 세부현황'!$E:$E,'처리 현황'!$B23,'2023년 신조차 고장관리 세부현황'!$J:$J,'처리 현황'!AV$3)</f>
        <v>0</v>
      </c>
      <c r="AW23" s="104">
        <f>COUNTIFS('2023년 신조차 고장관리 세부현황'!$D:$D,"2023",'2023년 신조차 고장관리 세부현황'!$E:$E,'처리 현황'!$B23,'2023년 신조차 고장관리 세부현황'!$J:$J,'처리 현황'!AW$3)</f>
        <v>0</v>
      </c>
      <c r="AX23" s="119">
        <f>COUNTIFS('2023년 신조차 고장관리 세부현황'!$D:$D,"2023",'2023년 신조차 고장관리 세부현황'!$E:$E,'처리 현황'!$B23,'2023년 신조차 고장관리 세부현황'!$L:$L,'처리 현황'!AX$3)</f>
        <v>0</v>
      </c>
      <c r="AY23" s="106">
        <f>COUNTIFS('2023년 신조차 고장관리 세부현황'!$D:$D,"2023",'2023년 신조차 고장관리 세부현황'!$E:$E,'처리 현황'!$B23,'2023년 신조차 고장관리 세부현황'!$L:$L,'처리 현황'!AY$3)</f>
        <v>0</v>
      </c>
      <c r="AZ23" s="106">
        <f>COUNTIFS('2023년 신조차 고장관리 세부현황'!$D:$D,"2023",'2023년 신조차 고장관리 세부현황'!$E:$E,'처리 현황'!$B23,'2023년 신조차 고장관리 세부현황'!$L:$L,'처리 현황'!AZ$3)</f>
        <v>0</v>
      </c>
      <c r="BA23" s="106">
        <f>COUNTIFS('2023년 신조차 고장관리 세부현황'!$D:$D,"2023",'2023년 신조차 고장관리 세부현황'!$E:$E,'처리 현황'!$B23,'2023년 신조차 고장관리 세부현황'!$L:$L,'처리 현황'!BA$3)</f>
        <v>0</v>
      </c>
      <c r="BB23" s="106">
        <f>COUNTIFS('2023년 신조차 고장관리 세부현황'!$D:$D,"2023",'2023년 신조차 고장관리 세부현황'!$E:$E,'처리 현황'!$B23,'2023년 신조차 고장관리 세부현황'!$L:$L,'처리 현황'!BB$3)</f>
        <v>4</v>
      </c>
      <c r="BC23" s="106">
        <f>COUNTIFS('2023년 신조차 고장관리 세부현황'!$D:$D,"2023",'2023년 신조차 고장관리 세부현황'!$E:$E,'처리 현황'!$B23,'2023년 신조차 고장관리 세부현황'!$L:$L,'처리 현황'!BC$3)</f>
        <v>0</v>
      </c>
      <c r="BD23" s="106">
        <f t="shared" si="3"/>
        <v>0</v>
      </c>
      <c r="BE23" s="119">
        <f>COUNTIFS('2023년 신조차 고장관리 세부현황'!$D:$D,"2023",'2023년 신조차 고장관리 세부현황'!$E:$E,'처리 현황'!$B23,'2023년 신조차 고장관리 세부현황'!$K:$K,'처리 현황'!BE$3)</f>
        <v>0</v>
      </c>
      <c r="BF23" s="133">
        <f>COUNTIFS('2023년 신조차 고장관리 세부현황'!$D:$D,"2023",'2023년 신조차 고장관리 세부현황'!$E:$E,'처리 현황'!$B23,'2023년 신조차 고장관리 세부현황'!$K:$K,BF$2,'2023년 신조차 고장관리 세부현황'!$S:$S,"단품불량")</f>
        <v>0</v>
      </c>
      <c r="BG23" s="106">
        <f>COUNTIFS('2023년 신조차 고장관리 세부현황'!$D:$D,"2023",'2023년 신조차 고장관리 세부현황'!$E:$E,'처리 현황'!$B23,'2023년 신조차 고장관리 세부현황'!$K:$K,'처리 현황'!BG$3)</f>
        <v>4</v>
      </c>
      <c r="BH23" s="133">
        <f>COUNTIFS('2023년 신조차 고장관리 세부현황'!$D:$D,"2023",'2023년 신조차 고장관리 세부현황'!$E:$E,'처리 현황'!$B23,'2023년 신조차 고장관리 세부현황'!$K:$K,BH$2,'2023년 신조차 고장관리 세부현황'!$S:$S,"단품불량")</f>
        <v>0</v>
      </c>
      <c r="BI23" s="106">
        <f t="shared" si="4"/>
        <v>0</v>
      </c>
      <c r="BJ23">
        <f ca="1">COUNTIFS('2023년 신조차 고장관리 세부현황'!$D:$D,"2023",'2023년 신조차 고장관리 세부현황'!$E:$E,'처리 현황'!$B23,'2023년 신조차 고장관리 세부현황'!$BC:$BC,"완료",'2023년 신조차 고장관리 세부현황'!$CY:$CY,BJ$3)</f>
        <v>0</v>
      </c>
      <c r="BK23">
        <f ca="1">COUNTIFS('2023년 신조차 고장관리 세부현황'!$D:$D,"2023",'2023년 신조차 고장관리 세부현황'!$E:$E,'처리 현황'!$B23,'2023년 신조차 고장관리 세부현황'!$BC:$BC,"완료",'2023년 신조차 고장관리 세부현황'!$CY:$CY,BK$3)</f>
        <v>0</v>
      </c>
      <c r="BL23">
        <f ca="1">COUNTIFS('2023년 신조차 고장관리 세부현황'!$D:$D,"2023",'2023년 신조차 고장관리 세부현황'!$E:$E,'처리 현황'!$B23,'2023년 신조차 고장관리 세부현황'!$BC:$BC,"완료",'2023년 신조차 고장관리 세부현황'!$CY:$CY,BL$3)</f>
        <v>0</v>
      </c>
      <c r="BM23">
        <f ca="1">COUNTIFS('2023년 신조차 고장관리 세부현황'!$D:$D,"2023",'2023년 신조차 고장관리 세부현황'!$E:$E,'처리 현황'!$B23,'2023년 신조차 고장관리 세부현황'!$BC:$BC,"완료",'2023년 신조차 고장관리 세부현황'!$CY:$CY,BM$3)</f>
        <v>0</v>
      </c>
      <c r="BN23">
        <f ca="1">COUNTIFS('2023년 신조차 고장관리 세부현황'!$D:$D,"2023",'2023년 신조차 고장관리 세부현황'!$E:$E,'처리 현황'!$B23,'2023년 신조차 고장관리 세부현황'!$BC:$BC,"완료",'2023년 신조차 고장관리 세부현황'!$CY:$CY,BN$3)</f>
        <v>0</v>
      </c>
      <c r="BO23">
        <f ca="1">COUNTIFS('2023년 신조차 고장관리 세부현황'!$D:$D,"2023",'2023년 신조차 고장관리 세부현황'!$E:$E,'처리 현황'!$B23,'2023년 신조차 고장관리 세부현황'!$BC:$BC,"완료",'2023년 신조차 고장관리 세부현황'!$CY:$CY,BO$3)</f>
        <v>0</v>
      </c>
      <c r="BP23">
        <f ca="1">COUNTIFS('2023년 신조차 고장관리 세부현황'!$D:$D,"2023",'2023년 신조차 고장관리 세부현황'!$E:$E,'처리 현황'!$B23,'2023년 신조차 고장관리 세부현황'!$BC:$BC,"완료",'2023년 신조차 고장관리 세부현황'!$CY:$CY,BP$3)</f>
        <v>0</v>
      </c>
    </row>
    <row r="24" spans="1:68" x14ac:dyDescent="0.4">
      <c r="A24" s="380"/>
      <c r="B24" s="97">
        <v>9</v>
      </c>
      <c r="C24" s="108" t="s">
        <v>202</v>
      </c>
      <c r="D24" s="97">
        <f>COUNTIFS('2023년 신조차 고장관리 세부현황'!$D:$D,"2023",'2023년 신조차 고장관리 세부현황'!$E:$E,'처리 현황'!$B24)</f>
        <v>0</v>
      </c>
      <c r="E24" s="97">
        <f>COUNTIFS('2023년 신조차 고장관리 세부현황'!$D:$D,"2023",'2023년 신조차 고장관리 세부현황'!$E:$E,'처리 현황'!$B24,'2023년 신조차 고장관리 세부현황'!$T:$T,'처리 현황'!E$3)</f>
        <v>0</v>
      </c>
      <c r="F24" s="97">
        <f>COUNTIFS('2023년 신조차 고장관리 세부현황'!$D:$D,"2023",'2023년 신조차 고장관리 세부현황'!$E:$E,'처리 현황'!$B24,'2023년 신조차 고장관리 세부현황'!$T:$T,'처리 현황'!F$3)</f>
        <v>0</v>
      </c>
      <c r="G24" s="97">
        <f>COUNTIFS('2023년 신조차 고장관리 세부현황'!$D:$D,"2023",'2023년 신조차 고장관리 세부현황'!$E:$E,'처리 현황'!$B24,'2023년 신조차 고장관리 세부현황'!$T:$T,'처리 현황'!G$3)</f>
        <v>0</v>
      </c>
      <c r="H24" s="97">
        <f>COUNTIFS('2023년 신조차 고장관리 세부현황'!$D:$D,"2023",'2023년 신조차 고장관리 세부현황'!$E:$E,'처리 현황'!$B24,'2023년 신조차 고장관리 세부현황'!$T:$T,'처리 현황'!H$3)</f>
        <v>0</v>
      </c>
      <c r="I24" s="97">
        <f>COUNTIFS('2023년 신조차 고장관리 세부현황'!$D:$D,"2023",'2023년 신조차 고장관리 세부현황'!$E:$E,'처리 현황'!$B24,'2023년 신조차 고장관리 세부현황'!$T:$T,'처리 현황'!I$3)</f>
        <v>0</v>
      </c>
      <c r="J24" s="119">
        <f>COUNTIFS('2023년 신조차 고장관리 세부현황'!$D:$D,"2023",'2023년 신조차 고장관리 세부현황'!$E:$E,'처리 현황'!$B24,'2023년 신조차 고장관리 세부현황'!$J:$J,'처리 현황'!J$3)</f>
        <v>0</v>
      </c>
      <c r="K24" s="104">
        <f>COUNTIFS('2023년 신조차 고장관리 세부현황'!$D:$D,"2023",'2023년 신조차 고장관리 세부현황'!$E:$E,'처리 현황'!$B24,'2023년 신조차 고장관리 세부현황'!$J:$J,'처리 현황'!K$3)</f>
        <v>0</v>
      </c>
      <c r="L24" s="104">
        <f>COUNTIFS('2023년 신조차 고장관리 세부현황'!$D:$D,"2023",'2023년 신조차 고장관리 세부현황'!$E:$E,'처리 현황'!$B24,'2023년 신조차 고장관리 세부현황'!$J:$J,'처리 현황'!L$3)</f>
        <v>0</v>
      </c>
      <c r="M24" s="104">
        <f>COUNTIFS('2023년 신조차 고장관리 세부현황'!$D:$D,"2023",'2023년 신조차 고장관리 세부현황'!$E:$E,'처리 현황'!$B24,'2023년 신조차 고장관리 세부현황'!$J:$J,'처리 현황'!M$3)</f>
        <v>0</v>
      </c>
      <c r="N24" s="104">
        <f>COUNTIFS('2023년 신조차 고장관리 세부현황'!$D:$D,"2023",'2023년 신조차 고장관리 세부현황'!$E:$E,'처리 현황'!$B24,'2023년 신조차 고장관리 세부현황'!$J:$J,'처리 현황'!N$3)</f>
        <v>0</v>
      </c>
      <c r="O24" s="119">
        <f>COUNTIFS('2023년 신조차 고장관리 세부현황'!$D:$D,"2023",'2023년 신조차 고장관리 세부현황'!$E:$E,'처리 현황'!$B24,'2023년 신조차 고장관리 세부현황'!$L:$L,'처리 현황'!O$3)</f>
        <v>0</v>
      </c>
      <c r="P24" s="106">
        <f>COUNTIFS('2023년 신조차 고장관리 세부현황'!$D:$D,"2023",'2023년 신조차 고장관리 세부현황'!$E:$E,'처리 현황'!$B24,'2023년 신조차 고장관리 세부현황'!$L:$L,'처리 현황'!P$3)</f>
        <v>0</v>
      </c>
      <c r="Q24" s="106">
        <f>COUNTIFS('2023년 신조차 고장관리 세부현황'!$D:$D,"2023",'2023년 신조차 고장관리 세부현황'!$E:$E,'처리 현황'!$B24,'2023년 신조차 고장관리 세부현황'!$L:$L,'처리 현황'!Q$3)</f>
        <v>0</v>
      </c>
      <c r="R24" s="106">
        <f>COUNTIFS('2023년 신조차 고장관리 세부현황'!$D:$D,"2023",'2023년 신조차 고장관리 세부현황'!$E:$E,'처리 현황'!$B24,'2023년 신조차 고장관리 세부현황'!$L:$L,'처리 현황'!R$3)</f>
        <v>0</v>
      </c>
      <c r="S24" s="106">
        <f>COUNTIFS('2023년 신조차 고장관리 세부현황'!$D:$D,"2023",'2023년 신조차 고장관리 세부현황'!$E:$E,'처리 현황'!$B24,'2023년 신조차 고장관리 세부현황'!$L:$L,'처리 현황'!S$3)</f>
        <v>0</v>
      </c>
      <c r="T24" s="106">
        <f>COUNTIFS('2023년 신조차 고장관리 세부현황'!$D:$D,"2023",'2023년 신조차 고장관리 세부현황'!$E:$E,'처리 현황'!$B24,'2023년 신조차 고장관리 세부현황'!$L:$L,'처리 현황'!T$3)</f>
        <v>0</v>
      </c>
      <c r="U24" s="125">
        <f t="shared" si="0"/>
        <v>0</v>
      </c>
      <c r="V24" s="106">
        <f>COUNTIFS('2023년 신조차 고장관리 세부현황'!$D:$D,"2023",'2023년 신조차 고장관리 세부현황'!$E:$E,'처리 현황'!$B24,'2023년 신조차 고장관리 세부현황'!$K:$K,'처리 현황'!V$3)</f>
        <v>0</v>
      </c>
      <c r="W24" s="133">
        <f>COUNTIFS('2023년 신조차 고장관리 세부현황'!$D:$D,"2023",'2023년 신조차 고장관리 세부현황'!$E:$E,'처리 현황'!$B24,'2023년 신조차 고장관리 세부현황'!$K:$K,W$2,'2023년 신조차 고장관리 세부현황'!$S:$S,"단품불량")</f>
        <v>0</v>
      </c>
      <c r="X24" s="106">
        <f>COUNTIFS('2023년 신조차 고장관리 세부현황'!$D:$D,"2023",'2023년 신조차 고장관리 세부현황'!$E:$E,'처리 현황'!$B24,'2023년 신조차 고장관리 세부현황'!$K:$K,'처리 현황'!X$3)</f>
        <v>0</v>
      </c>
      <c r="Y24" s="133">
        <f>COUNTIFS('2023년 신조차 고장관리 세부현황'!$D:$D,"2023",'2023년 신조차 고장관리 세부현황'!$E:$E,'처리 현황'!$B24,'2023년 신조차 고장관리 세부현황'!$K:$K,Y$2,'2023년 신조차 고장관리 세부현황'!$S:$S,"단품불량")</f>
        <v>0</v>
      </c>
      <c r="Z24" s="106">
        <f t="shared" si="1"/>
        <v>0</v>
      </c>
      <c r="AH24" s="380"/>
      <c r="AI24" s="97">
        <v>9</v>
      </c>
      <c r="AJ24" s="108" t="s">
        <v>202</v>
      </c>
      <c r="AK24" s="108"/>
      <c r="AL24" s="97">
        <f>COUNTIFS('2023년 신조차 고장관리 세부현황'!$D:$D,"2023",'2023년 신조차 고장관리 세부현황'!$E:$E,'처리 현황'!$B24)</f>
        <v>0</v>
      </c>
      <c r="AM24" s="97">
        <f>COUNTIFS('2023년 신조차 고장관리 세부현황'!$D:$D,"2023",'2023년 신조차 고장관리 세부현황'!$E:$E,'처리 현황'!$B24,'2023년 신조차 고장관리 세부현황'!$V:$V,'처리 현황'!AM$3)</f>
        <v>0</v>
      </c>
      <c r="AN24" s="97">
        <f>COUNTIFS('2023년 신조차 고장관리 세부현황'!$D:$D,"2023",'2023년 신조차 고장관리 세부현황'!$E:$E,'처리 현황'!$B24,'2023년 신조차 고장관리 세부현황'!$V:$V,'처리 현황'!AN$3)</f>
        <v>0</v>
      </c>
      <c r="AO24" s="97">
        <f>COUNTIFS('2023년 신조차 고장관리 세부현황'!$D:$D,"2023",'2023년 신조차 고장관리 세부현황'!$E:$E,'처리 현황'!$B24,'2023년 신조차 고장관리 세부현황'!$V:$V,'처리 현황'!AO$3)</f>
        <v>0</v>
      </c>
      <c r="AP24" s="97">
        <f>COUNTIFS('2023년 신조차 고장관리 세부현황'!$D:$D,"2023",'2023년 신조차 고장관리 세부현황'!$E:$E,'처리 현황'!$B24,'2023년 신조차 고장관리 세부현황'!$V:$V,'처리 현황'!AP$3)</f>
        <v>0</v>
      </c>
      <c r="AQ24" s="97">
        <f>COUNTIFS('2023년 신조차 고장관리 세부현황'!$D:$D,"2023",'2023년 신조차 고장관리 세부현황'!$E:$E,'처리 현황'!$B24,'2023년 신조차 고장관리 세부현황'!$V:$V,'처리 현황'!AQ$3)</f>
        <v>0</v>
      </c>
      <c r="AR24" s="190">
        <f t="shared" si="2"/>
        <v>0</v>
      </c>
      <c r="AS24" s="119">
        <f>COUNTIFS('2023년 신조차 고장관리 세부현황'!$D:$D,"2023",'2023년 신조차 고장관리 세부현황'!$E:$E,'처리 현황'!$B24,'2023년 신조차 고장관리 세부현황'!$J:$J,'처리 현황'!AS$3)</f>
        <v>0</v>
      </c>
      <c r="AT24" s="104">
        <f>COUNTIFS('2023년 신조차 고장관리 세부현황'!$D:$D,"2023",'2023년 신조차 고장관리 세부현황'!$E:$E,'처리 현황'!$B24,'2023년 신조차 고장관리 세부현황'!$J:$J,'처리 현황'!AT$3)</f>
        <v>0</v>
      </c>
      <c r="AU24" s="104">
        <f>COUNTIFS('2023년 신조차 고장관리 세부현황'!$D:$D,"2023",'2023년 신조차 고장관리 세부현황'!$E:$E,'처리 현황'!$B24,'2023년 신조차 고장관리 세부현황'!$J:$J,'처리 현황'!AU$3)</f>
        <v>0</v>
      </c>
      <c r="AV24" s="104">
        <f>COUNTIFS('2023년 신조차 고장관리 세부현황'!$D:$D,"2023",'2023년 신조차 고장관리 세부현황'!$E:$E,'처리 현황'!$B24,'2023년 신조차 고장관리 세부현황'!$J:$J,'처리 현황'!AV$3)</f>
        <v>0</v>
      </c>
      <c r="AW24" s="104">
        <f>COUNTIFS('2023년 신조차 고장관리 세부현황'!$D:$D,"2023",'2023년 신조차 고장관리 세부현황'!$E:$E,'처리 현황'!$B24,'2023년 신조차 고장관리 세부현황'!$J:$J,'처리 현황'!AW$3)</f>
        <v>0</v>
      </c>
      <c r="AX24" s="119">
        <f>COUNTIFS('2023년 신조차 고장관리 세부현황'!$D:$D,"2023",'2023년 신조차 고장관리 세부현황'!$E:$E,'처리 현황'!$B24,'2023년 신조차 고장관리 세부현황'!$L:$L,'처리 현황'!AX$3)</f>
        <v>0</v>
      </c>
      <c r="AY24" s="106">
        <f>COUNTIFS('2023년 신조차 고장관리 세부현황'!$D:$D,"2023",'2023년 신조차 고장관리 세부현황'!$E:$E,'처리 현황'!$B24,'2023년 신조차 고장관리 세부현황'!$L:$L,'처리 현황'!AY$3)</f>
        <v>0</v>
      </c>
      <c r="AZ24" s="106">
        <f>COUNTIFS('2023년 신조차 고장관리 세부현황'!$D:$D,"2023",'2023년 신조차 고장관리 세부현황'!$E:$E,'처리 현황'!$B24,'2023년 신조차 고장관리 세부현황'!$L:$L,'처리 현황'!AZ$3)</f>
        <v>0</v>
      </c>
      <c r="BA24" s="106">
        <f>COUNTIFS('2023년 신조차 고장관리 세부현황'!$D:$D,"2023",'2023년 신조차 고장관리 세부현황'!$E:$E,'처리 현황'!$B24,'2023년 신조차 고장관리 세부현황'!$L:$L,'처리 현황'!BA$3)</f>
        <v>0</v>
      </c>
      <c r="BB24" s="106">
        <f>COUNTIFS('2023년 신조차 고장관리 세부현황'!$D:$D,"2023",'2023년 신조차 고장관리 세부현황'!$E:$E,'처리 현황'!$B24,'2023년 신조차 고장관리 세부현황'!$L:$L,'처리 현황'!BB$3)</f>
        <v>0</v>
      </c>
      <c r="BC24" s="106">
        <f>COUNTIFS('2023년 신조차 고장관리 세부현황'!$D:$D,"2023",'2023년 신조차 고장관리 세부현황'!$E:$E,'처리 현황'!$B24,'2023년 신조차 고장관리 세부현황'!$L:$L,'처리 현황'!BC$3)</f>
        <v>0</v>
      </c>
      <c r="BD24" s="106">
        <f t="shared" si="3"/>
        <v>0</v>
      </c>
      <c r="BE24" s="119">
        <f>COUNTIFS('2023년 신조차 고장관리 세부현황'!$D:$D,"2023",'2023년 신조차 고장관리 세부현황'!$E:$E,'처리 현황'!$B24,'2023년 신조차 고장관리 세부현황'!$K:$K,'처리 현황'!BE$3)</f>
        <v>0</v>
      </c>
      <c r="BF24" s="133">
        <f>COUNTIFS('2023년 신조차 고장관리 세부현황'!$D:$D,"2023",'2023년 신조차 고장관리 세부현황'!$E:$E,'처리 현황'!$B24,'2023년 신조차 고장관리 세부현황'!$K:$K,BF$2,'2023년 신조차 고장관리 세부현황'!$S:$S,"단품불량")</f>
        <v>0</v>
      </c>
      <c r="BG24" s="106">
        <f>COUNTIFS('2023년 신조차 고장관리 세부현황'!$D:$D,"2023",'2023년 신조차 고장관리 세부현황'!$E:$E,'처리 현황'!$B24,'2023년 신조차 고장관리 세부현황'!$K:$K,'처리 현황'!BG$3)</f>
        <v>0</v>
      </c>
      <c r="BH24" s="133">
        <f>COUNTIFS('2023년 신조차 고장관리 세부현황'!$D:$D,"2023",'2023년 신조차 고장관리 세부현황'!$E:$E,'처리 현황'!$B24,'2023년 신조차 고장관리 세부현황'!$K:$K,BH$2,'2023년 신조차 고장관리 세부현황'!$S:$S,"단품불량")</f>
        <v>0</v>
      </c>
      <c r="BI24" s="106">
        <f t="shared" si="4"/>
        <v>0</v>
      </c>
      <c r="BJ24">
        <f>COUNTIFS('2023년 신조차 고장관리 세부현황'!$D:$D,"2023",'2023년 신조차 고장관리 세부현황'!$E:$E,'처리 현황'!$B24,'2023년 신조차 고장관리 세부현황'!$BC:$BC,"완료",'2023년 신조차 고장관리 세부현황'!$CY:$CY,BJ$3)</f>
        <v>0</v>
      </c>
      <c r="BK24">
        <f>COUNTIFS('2023년 신조차 고장관리 세부현황'!$D:$D,"2023",'2023년 신조차 고장관리 세부현황'!$E:$E,'처리 현황'!$B24,'2023년 신조차 고장관리 세부현황'!$BC:$BC,"완료",'2023년 신조차 고장관리 세부현황'!$CY:$CY,BK$3)</f>
        <v>0</v>
      </c>
      <c r="BL24">
        <f>COUNTIFS('2023년 신조차 고장관리 세부현황'!$D:$D,"2023",'2023년 신조차 고장관리 세부현황'!$E:$E,'처리 현황'!$B24,'2023년 신조차 고장관리 세부현황'!$BC:$BC,"완료",'2023년 신조차 고장관리 세부현황'!$CY:$CY,BL$3)</f>
        <v>0</v>
      </c>
      <c r="BM24">
        <f>COUNTIFS('2023년 신조차 고장관리 세부현황'!$D:$D,"2023",'2023년 신조차 고장관리 세부현황'!$E:$E,'처리 현황'!$B24,'2023년 신조차 고장관리 세부현황'!$BC:$BC,"완료",'2023년 신조차 고장관리 세부현황'!$CY:$CY,BM$3)</f>
        <v>0</v>
      </c>
      <c r="BN24">
        <f>COUNTIFS('2023년 신조차 고장관리 세부현황'!$D:$D,"2023",'2023년 신조차 고장관리 세부현황'!$E:$E,'처리 현황'!$B24,'2023년 신조차 고장관리 세부현황'!$BC:$BC,"완료",'2023년 신조차 고장관리 세부현황'!$CY:$CY,BN$3)</f>
        <v>0</v>
      </c>
      <c r="BO24">
        <f>COUNTIFS('2023년 신조차 고장관리 세부현황'!$D:$D,"2023",'2023년 신조차 고장관리 세부현황'!$E:$E,'처리 현황'!$B24,'2023년 신조차 고장관리 세부현황'!$BC:$BC,"완료",'2023년 신조차 고장관리 세부현황'!$CY:$CY,BO$3)</f>
        <v>0</v>
      </c>
      <c r="BP24">
        <f>COUNTIFS('2023년 신조차 고장관리 세부현황'!$D:$D,"2023",'2023년 신조차 고장관리 세부현황'!$E:$E,'처리 현황'!$B24,'2023년 신조차 고장관리 세부현황'!$BC:$BC,"완료",'2023년 신조차 고장관리 세부현황'!$CY:$CY,BP$3)</f>
        <v>0</v>
      </c>
    </row>
    <row r="25" spans="1:68" x14ac:dyDescent="0.4">
      <c r="A25" s="380"/>
      <c r="B25" s="97">
        <v>10</v>
      </c>
      <c r="C25" s="108" t="s">
        <v>203</v>
      </c>
      <c r="D25" s="97">
        <f>COUNTIFS('2023년 신조차 고장관리 세부현황'!$D:$D,"2023",'2023년 신조차 고장관리 세부현황'!$E:$E,'처리 현황'!$B25)</f>
        <v>0</v>
      </c>
      <c r="E25" s="97">
        <f>COUNTIFS('2023년 신조차 고장관리 세부현황'!$D:$D,"2023",'2023년 신조차 고장관리 세부현황'!$E:$E,'처리 현황'!$B25,'2023년 신조차 고장관리 세부현황'!$T:$T,'처리 현황'!E$3)</f>
        <v>0</v>
      </c>
      <c r="F25" s="97">
        <f>COUNTIFS('2023년 신조차 고장관리 세부현황'!$D:$D,"2023",'2023년 신조차 고장관리 세부현황'!$E:$E,'처리 현황'!$B25,'2023년 신조차 고장관리 세부현황'!$T:$T,'처리 현황'!F$3)</f>
        <v>0</v>
      </c>
      <c r="G25" s="97">
        <f>COUNTIFS('2023년 신조차 고장관리 세부현황'!$D:$D,"2023",'2023년 신조차 고장관리 세부현황'!$E:$E,'처리 현황'!$B25,'2023년 신조차 고장관리 세부현황'!$T:$T,'처리 현황'!G$3)</f>
        <v>0</v>
      </c>
      <c r="H25" s="97">
        <f>COUNTIFS('2023년 신조차 고장관리 세부현황'!$D:$D,"2023",'2023년 신조차 고장관리 세부현황'!$E:$E,'처리 현황'!$B25,'2023년 신조차 고장관리 세부현황'!$T:$T,'처리 현황'!H$3)</f>
        <v>0</v>
      </c>
      <c r="I25" s="97">
        <f>COUNTIFS('2023년 신조차 고장관리 세부현황'!$D:$D,"2023",'2023년 신조차 고장관리 세부현황'!$E:$E,'처리 현황'!$B25,'2023년 신조차 고장관리 세부현황'!$T:$T,'처리 현황'!I$3)</f>
        <v>0</v>
      </c>
      <c r="J25" s="119">
        <f>COUNTIFS('2023년 신조차 고장관리 세부현황'!$D:$D,"2023",'2023년 신조차 고장관리 세부현황'!$E:$E,'처리 현황'!$B25,'2023년 신조차 고장관리 세부현황'!$J:$J,'처리 현황'!J$3)</f>
        <v>0</v>
      </c>
      <c r="K25" s="104">
        <f>COUNTIFS('2023년 신조차 고장관리 세부현황'!$D:$D,"2023",'2023년 신조차 고장관리 세부현황'!$E:$E,'처리 현황'!$B25,'2023년 신조차 고장관리 세부현황'!$J:$J,'처리 현황'!K$3)</f>
        <v>0</v>
      </c>
      <c r="L25" s="104">
        <f>COUNTIFS('2023년 신조차 고장관리 세부현황'!$D:$D,"2023",'2023년 신조차 고장관리 세부현황'!$E:$E,'처리 현황'!$B25,'2023년 신조차 고장관리 세부현황'!$J:$J,'처리 현황'!L$3)</f>
        <v>0</v>
      </c>
      <c r="M25" s="104">
        <f>COUNTIFS('2023년 신조차 고장관리 세부현황'!$D:$D,"2023",'2023년 신조차 고장관리 세부현황'!$E:$E,'처리 현황'!$B25,'2023년 신조차 고장관리 세부현황'!$J:$J,'처리 현황'!M$3)</f>
        <v>0</v>
      </c>
      <c r="N25" s="104">
        <f>COUNTIFS('2023년 신조차 고장관리 세부현황'!$D:$D,"2023",'2023년 신조차 고장관리 세부현황'!$E:$E,'처리 현황'!$B25,'2023년 신조차 고장관리 세부현황'!$J:$J,'처리 현황'!N$3)</f>
        <v>0</v>
      </c>
      <c r="O25" s="119">
        <f>COUNTIFS('2023년 신조차 고장관리 세부현황'!$D:$D,"2023",'2023년 신조차 고장관리 세부현황'!$E:$E,'처리 현황'!$B25,'2023년 신조차 고장관리 세부현황'!$L:$L,'처리 현황'!O$3)</f>
        <v>0</v>
      </c>
      <c r="P25" s="106">
        <f>COUNTIFS('2023년 신조차 고장관리 세부현황'!$D:$D,"2023",'2023년 신조차 고장관리 세부현황'!$E:$E,'처리 현황'!$B25,'2023년 신조차 고장관리 세부현황'!$L:$L,'처리 현황'!P$3)</f>
        <v>0</v>
      </c>
      <c r="Q25" s="106">
        <f>COUNTIFS('2023년 신조차 고장관리 세부현황'!$D:$D,"2023",'2023년 신조차 고장관리 세부현황'!$E:$E,'처리 현황'!$B25,'2023년 신조차 고장관리 세부현황'!$L:$L,'처리 현황'!Q$3)</f>
        <v>0</v>
      </c>
      <c r="R25" s="106">
        <f>COUNTIFS('2023년 신조차 고장관리 세부현황'!$D:$D,"2023",'2023년 신조차 고장관리 세부현황'!$E:$E,'처리 현황'!$B25,'2023년 신조차 고장관리 세부현황'!$L:$L,'처리 현황'!R$3)</f>
        <v>0</v>
      </c>
      <c r="S25" s="106">
        <f>COUNTIFS('2023년 신조차 고장관리 세부현황'!$D:$D,"2023",'2023년 신조차 고장관리 세부현황'!$E:$E,'처리 현황'!$B25,'2023년 신조차 고장관리 세부현황'!$L:$L,'처리 현황'!S$3)</f>
        <v>0</v>
      </c>
      <c r="T25" s="106">
        <f>COUNTIFS('2023년 신조차 고장관리 세부현황'!$D:$D,"2023",'2023년 신조차 고장관리 세부현황'!$E:$E,'처리 현황'!$B25,'2023년 신조차 고장관리 세부현황'!$L:$L,'처리 현황'!T$3)</f>
        <v>0</v>
      </c>
      <c r="U25" s="125">
        <f t="shared" si="0"/>
        <v>0</v>
      </c>
      <c r="V25" s="106">
        <f>COUNTIFS('2023년 신조차 고장관리 세부현황'!$D:$D,"2023",'2023년 신조차 고장관리 세부현황'!$E:$E,'처리 현황'!$B25,'2023년 신조차 고장관리 세부현황'!$K:$K,'처리 현황'!V$3)</f>
        <v>0</v>
      </c>
      <c r="W25" s="133">
        <f>COUNTIFS('2023년 신조차 고장관리 세부현황'!$D:$D,"2023",'2023년 신조차 고장관리 세부현황'!$E:$E,'처리 현황'!$B25,'2023년 신조차 고장관리 세부현황'!$K:$K,W$2,'2023년 신조차 고장관리 세부현황'!$S:$S,"단품불량")</f>
        <v>0</v>
      </c>
      <c r="X25" s="106">
        <f>COUNTIFS('2023년 신조차 고장관리 세부현황'!$D:$D,"2023",'2023년 신조차 고장관리 세부현황'!$E:$E,'처리 현황'!$B25,'2023년 신조차 고장관리 세부현황'!$K:$K,'처리 현황'!X$3)</f>
        <v>0</v>
      </c>
      <c r="Y25" s="133">
        <f>COUNTIFS('2023년 신조차 고장관리 세부현황'!$D:$D,"2023",'2023년 신조차 고장관리 세부현황'!$E:$E,'처리 현황'!$B25,'2023년 신조차 고장관리 세부현황'!$K:$K,Y$2,'2023년 신조차 고장관리 세부현황'!$S:$S,"단품불량")</f>
        <v>0</v>
      </c>
      <c r="Z25" s="106">
        <f t="shared" si="1"/>
        <v>0</v>
      </c>
      <c r="AH25" s="380"/>
      <c r="AI25" s="97">
        <v>10</v>
      </c>
      <c r="AJ25" s="108" t="s">
        <v>203</v>
      </c>
      <c r="AK25" s="108"/>
      <c r="AL25" s="97">
        <f>COUNTIFS('2023년 신조차 고장관리 세부현황'!$D:$D,"2023",'2023년 신조차 고장관리 세부현황'!$E:$E,'처리 현황'!$B25)</f>
        <v>0</v>
      </c>
      <c r="AM25" s="97">
        <f>COUNTIFS('2023년 신조차 고장관리 세부현황'!$D:$D,"2023",'2023년 신조차 고장관리 세부현황'!$E:$E,'처리 현황'!$B25,'2023년 신조차 고장관리 세부현황'!$V:$V,'처리 현황'!AM$3)</f>
        <v>0</v>
      </c>
      <c r="AN25" s="97">
        <f>COUNTIFS('2023년 신조차 고장관리 세부현황'!$D:$D,"2023",'2023년 신조차 고장관리 세부현황'!$E:$E,'처리 현황'!$B25,'2023년 신조차 고장관리 세부현황'!$V:$V,'처리 현황'!AN$3)</f>
        <v>0</v>
      </c>
      <c r="AO25" s="97">
        <f>COUNTIFS('2023년 신조차 고장관리 세부현황'!$D:$D,"2023",'2023년 신조차 고장관리 세부현황'!$E:$E,'처리 현황'!$B25,'2023년 신조차 고장관리 세부현황'!$V:$V,'처리 현황'!AO$3)</f>
        <v>0</v>
      </c>
      <c r="AP25" s="97">
        <f>COUNTIFS('2023년 신조차 고장관리 세부현황'!$D:$D,"2023",'2023년 신조차 고장관리 세부현황'!$E:$E,'처리 현황'!$B25,'2023년 신조차 고장관리 세부현황'!$V:$V,'처리 현황'!AP$3)</f>
        <v>0</v>
      </c>
      <c r="AQ25" s="97">
        <f>COUNTIFS('2023년 신조차 고장관리 세부현황'!$D:$D,"2023",'2023년 신조차 고장관리 세부현황'!$E:$E,'처리 현황'!$B25,'2023년 신조차 고장관리 세부현황'!$V:$V,'처리 현황'!AQ$3)</f>
        <v>0</v>
      </c>
      <c r="AR25" s="190">
        <f t="shared" si="2"/>
        <v>0</v>
      </c>
      <c r="AS25" s="119">
        <f>COUNTIFS('2023년 신조차 고장관리 세부현황'!$D:$D,"2023",'2023년 신조차 고장관리 세부현황'!$E:$E,'처리 현황'!$B25,'2023년 신조차 고장관리 세부현황'!$J:$J,'처리 현황'!AS$3)</f>
        <v>0</v>
      </c>
      <c r="AT25" s="104">
        <f>COUNTIFS('2023년 신조차 고장관리 세부현황'!$D:$D,"2023",'2023년 신조차 고장관리 세부현황'!$E:$E,'처리 현황'!$B25,'2023년 신조차 고장관리 세부현황'!$J:$J,'처리 현황'!AT$3)</f>
        <v>0</v>
      </c>
      <c r="AU25" s="104">
        <f>COUNTIFS('2023년 신조차 고장관리 세부현황'!$D:$D,"2023",'2023년 신조차 고장관리 세부현황'!$E:$E,'처리 현황'!$B25,'2023년 신조차 고장관리 세부현황'!$J:$J,'처리 현황'!AU$3)</f>
        <v>0</v>
      </c>
      <c r="AV25" s="104">
        <f>COUNTIFS('2023년 신조차 고장관리 세부현황'!$D:$D,"2023",'2023년 신조차 고장관리 세부현황'!$E:$E,'처리 현황'!$B25,'2023년 신조차 고장관리 세부현황'!$J:$J,'처리 현황'!AV$3)</f>
        <v>0</v>
      </c>
      <c r="AW25" s="104">
        <f>COUNTIFS('2023년 신조차 고장관리 세부현황'!$D:$D,"2023",'2023년 신조차 고장관리 세부현황'!$E:$E,'처리 현황'!$B25,'2023년 신조차 고장관리 세부현황'!$J:$J,'처리 현황'!AW$3)</f>
        <v>0</v>
      </c>
      <c r="AX25" s="119">
        <f>COUNTIFS('2023년 신조차 고장관리 세부현황'!$D:$D,"2023",'2023년 신조차 고장관리 세부현황'!$E:$E,'처리 현황'!$B25,'2023년 신조차 고장관리 세부현황'!$L:$L,'처리 현황'!AX$3)</f>
        <v>0</v>
      </c>
      <c r="AY25" s="106">
        <f>COUNTIFS('2023년 신조차 고장관리 세부현황'!$D:$D,"2023",'2023년 신조차 고장관리 세부현황'!$E:$E,'처리 현황'!$B25,'2023년 신조차 고장관리 세부현황'!$L:$L,'처리 현황'!AY$3)</f>
        <v>0</v>
      </c>
      <c r="AZ25" s="106">
        <f>COUNTIFS('2023년 신조차 고장관리 세부현황'!$D:$D,"2023",'2023년 신조차 고장관리 세부현황'!$E:$E,'처리 현황'!$B25,'2023년 신조차 고장관리 세부현황'!$L:$L,'처리 현황'!AZ$3)</f>
        <v>0</v>
      </c>
      <c r="BA25" s="106">
        <f>COUNTIFS('2023년 신조차 고장관리 세부현황'!$D:$D,"2023",'2023년 신조차 고장관리 세부현황'!$E:$E,'처리 현황'!$B25,'2023년 신조차 고장관리 세부현황'!$L:$L,'처리 현황'!BA$3)</f>
        <v>0</v>
      </c>
      <c r="BB25" s="106">
        <f>COUNTIFS('2023년 신조차 고장관리 세부현황'!$D:$D,"2023",'2023년 신조차 고장관리 세부현황'!$E:$E,'처리 현황'!$B25,'2023년 신조차 고장관리 세부현황'!$L:$L,'처리 현황'!BB$3)</f>
        <v>0</v>
      </c>
      <c r="BC25" s="106">
        <f>COUNTIFS('2023년 신조차 고장관리 세부현황'!$D:$D,"2023",'2023년 신조차 고장관리 세부현황'!$E:$E,'처리 현황'!$B25,'2023년 신조차 고장관리 세부현황'!$L:$L,'처리 현황'!BC$3)</f>
        <v>0</v>
      </c>
      <c r="BD25" s="106">
        <f t="shared" si="3"/>
        <v>0</v>
      </c>
      <c r="BE25" s="119">
        <f>COUNTIFS('2023년 신조차 고장관리 세부현황'!$D:$D,"2023",'2023년 신조차 고장관리 세부현황'!$E:$E,'처리 현황'!$B25,'2023년 신조차 고장관리 세부현황'!$K:$K,'처리 현황'!BE$3)</f>
        <v>0</v>
      </c>
      <c r="BF25" s="133">
        <f>COUNTIFS('2023년 신조차 고장관리 세부현황'!$D:$D,"2023",'2023년 신조차 고장관리 세부현황'!$E:$E,'처리 현황'!$B25,'2023년 신조차 고장관리 세부현황'!$K:$K,BF$2,'2023년 신조차 고장관리 세부현황'!$S:$S,"단품불량")</f>
        <v>0</v>
      </c>
      <c r="BG25" s="106">
        <f>COUNTIFS('2023년 신조차 고장관리 세부현황'!$D:$D,"2023",'2023년 신조차 고장관리 세부현황'!$E:$E,'처리 현황'!$B25,'2023년 신조차 고장관리 세부현황'!$K:$K,'처리 현황'!BG$3)</f>
        <v>0</v>
      </c>
      <c r="BH25" s="133">
        <f>COUNTIFS('2023년 신조차 고장관리 세부현황'!$D:$D,"2023",'2023년 신조차 고장관리 세부현황'!$E:$E,'처리 현황'!$B25,'2023년 신조차 고장관리 세부현황'!$K:$K,BH$2,'2023년 신조차 고장관리 세부현황'!$S:$S,"단품불량")</f>
        <v>0</v>
      </c>
      <c r="BI25" s="106">
        <f t="shared" si="4"/>
        <v>0</v>
      </c>
      <c r="BJ25">
        <f>COUNTIFS('2023년 신조차 고장관리 세부현황'!$D:$D,"2023",'2023년 신조차 고장관리 세부현황'!$E:$E,'처리 현황'!$B25,'2023년 신조차 고장관리 세부현황'!$BC:$BC,"완료",'2023년 신조차 고장관리 세부현황'!$CY:$CY,BJ$3)</f>
        <v>0</v>
      </c>
      <c r="BK25">
        <f>COUNTIFS('2023년 신조차 고장관리 세부현황'!$D:$D,"2023",'2023년 신조차 고장관리 세부현황'!$E:$E,'처리 현황'!$B25,'2023년 신조차 고장관리 세부현황'!$BC:$BC,"완료",'2023년 신조차 고장관리 세부현황'!$CY:$CY,BK$3)</f>
        <v>0</v>
      </c>
      <c r="BL25">
        <f>COUNTIFS('2023년 신조차 고장관리 세부현황'!$D:$D,"2023",'2023년 신조차 고장관리 세부현황'!$E:$E,'처리 현황'!$B25,'2023년 신조차 고장관리 세부현황'!$BC:$BC,"완료",'2023년 신조차 고장관리 세부현황'!$CY:$CY,BL$3)</f>
        <v>0</v>
      </c>
      <c r="BM25">
        <f>COUNTIFS('2023년 신조차 고장관리 세부현황'!$D:$D,"2023",'2023년 신조차 고장관리 세부현황'!$E:$E,'처리 현황'!$B25,'2023년 신조차 고장관리 세부현황'!$BC:$BC,"완료",'2023년 신조차 고장관리 세부현황'!$CY:$CY,BM$3)</f>
        <v>0</v>
      </c>
      <c r="BN25">
        <f>COUNTIFS('2023년 신조차 고장관리 세부현황'!$D:$D,"2023",'2023년 신조차 고장관리 세부현황'!$E:$E,'처리 현황'!$B25,'2023년 신조차 고장관리 세부현황'!$BC:$BC,"완료",'2023년 신조차 고장관리 세부현황'!$CY:$CY,BN$3)</f>
        <v>0</v>
      </c>
      <c r="BO25">
        <f>COUNTIFS('2023년 신조차 고장관리 세부현황'!$D:$D,"2023",'2023년 신조차 고장관리 세부현황'!$E:$E,'처리 현황'!$B25,'2023년 신조차 고장관리 세부현황'!$BC:$BC,"완료",'2023년 신조차 고장관리 세부현황'!$CY:$CY,BO$3)</f>
        <v>0</v>
      </c>
      <c r="BP25">
        <f>COUNTIFS('2023년 신조차 고장관리 세부현황'!$D:$D,"2023",'2023년 신조차 고장관리 세부현황'!$E:$E,'처리 현황'!$B25,'2023년 신조차 고장관리 세부현황'!$BC:$BC,"완료",'2023년 신조차 고장관리 세부현황'!$CY:$CY,BP$3)</f>
        <v>0</v>
      </c>
    </row>
    <row r="26" spans="1:68" x14ac:dyDescent="0.4">
      <c r="A26" s="380"/>
      <c r="B26" s="97">
        <v>11</v>
      </c>
      <c r="C26" s="108" t="s">
        <v>204</v>
      </c>
      <c r="D26" s="97">
        <f>COUNTIFS('2023년 신조차 고장관리 세부현황'!$D:$D,"2023",'2023년 신조차 고장관리 세부현황'!$E:$E,'처리 현황'!$B26)</f>
        <v>0</v>
      </c>
      <c r="E26" s="97">
        <f>COUNTIFS('2023년 신조차 고장관리 세부현황'!$D:$D,"2023",'2023년 신조차 고장관리 세부현황'!$E:$E,'처리 현황'!$B26,'2023년 신조차 고장관리 세부현황'!$T:$T,'처리 현황'!E$3)</f>
        <v>0</v>
      </c>
      <c r="F26" s="97">
        <f>COUNTIFS('2023년 신조차 고장관리 세부현황'!$D:$D,"2023",'2023년 신조차 고장관리 세부현황'!$E:$E,'처리 현황'!$B26,'2023년 신조차 고장관리 세부현황'!$T:$T,'처리 현황'!F$3)</f>
        <v>0</v>
      </c>
      <c r="G26" s="97">
        <f>COUNTIFS('2023년 신조차 고장관리 세부현황'!$D:$D,"2023",'2023년 신조차 고장관리 세부현황'!$E:$E,'처리 현황'!$B26,'2023년 신조차 고장관리 세부현황'!$T:$T,'처리 현황'!G$3)</f>
        <v>0</v>
      </c>
      <c r="H26" s="97">
        <f>COUNTIFS('2023년 신조차 고장관리 세부현황'!$D:$D,"2023",'2023년 신조차 고장관리 세부현황'!$E:$E,'처리 현황'!$B26,'2023년 신조차 고장관리 세부현황'!$T:$T,'처리 현황'!H$3)</f>
        <v>0</v>
      </c>
      <c r="I26" s="97">
        <f>COUNTIFS('2023년 신조차 고장관리 세부현황'!$D:$D,"2023",'2023년 신조차 고장관리 세부현황'!$E:$E,'처리 현황'!$B26,'2023년 신조차 고장관리 세부현황'!$T:$T,'처리 현황'!I$3)</f>
        <v>0</v>
      </c>
      <c r="J26" s="119">
        <f>COUNTIFS('2023년 신조차 고장관리 세부현황'!$D:$D,"2023",'2023년 신조차 고장관리 세부현황'!$E:$E,'처리 현황'!$B26,'2023년 신조차 고장관리 세부현황'!$J:$J,'처리 현황'!J$3)</f>
        <v>0</v>
      </c>
      <c r="K26" s="104">
        <f>COUNTIFS('2023년 신조차 고장관리 세부현황'!$D:$D,"2023",'2023년 신조차 고장관리 세부현황'!$E:$E,'처리 현황'!$B26,'2023년 신조차 고장관리 세부현황'!$J:$J,'처리 현황'!K$3)</f>
        <v>0</v>
      </c>
      <c r="L26" s="104">
        <f>COUNTIFS('2023년 신조차 고장관리 세부현황'!$D:$D,"2023",'2023년 신조차 고장관리 세부현황'!$E:$E,'처리 현황'!$B26,'2023년 신조차 고장관리 세부현황'!$J:$J,'처리 현황'!L$3)</f>
        <v>0</v>
      </c>
      <c r="M26" s="104">
        <f>COUNTIFS('2023년 신조차 고장관리 세부현황'!$D:$D,"2023",'2023년 신조차 고장관리 세부현황'!$E:$E,'처리 현황'!$B26,'2023년 신조차 고장관리 세부현황'!$J:$J,'처리 현황'!M$3)</f>
        <v>0</v>
      </c>
      <c r="N26" s="104">
        <f>COUNTIFS('2023년 신조차 고장관리 세부현황'!$D:$D,"2023",'2023년 신조차 고장관리 세부현황'!$E:$E,'처리 현황'!$B26,'2023년 신조차 고장관리 세부현황'!$J:$J,'처리 현황'!N$3)</f>
        <v>0</v>
      </c>
      <c r="O26" s="119">
        <f>COUNTIFS('2023년 신조차 고장관리 세부현황'!$D:$D,"2023",'2023년 신조차 고장관리 세부현황'!$E:$E,'처리 현황'!$B26,'2023년 신조차 고장관리 세부현황'!$L:$L,'처리 현황'!O$3)</f>
        <v>0</v>
      </c>
      <c r="P26" s="106">
        <f>COUNTIFS('2023년 신조차 고장관리 세부현황'!$D:$D,"2023",'2023년 신조차 고장관리 세부현황'!$E:$E,'처리 현황'!$B26,'2023년 신조차 고장관리 세부현황'!$L:$L,'처리 현황'!P$3)</f>
        <v>0</v>
      </c>
      <c r="Q26" s="106">
        <f>COUNTIFS('2023년 신조차 고장관리 세부현황'!$D:$D,"2023",'2023년 신조차 고장관리 세부현황'!$E:$E,'처리 현황'!$B26,'2023년 신조차 고장관리 세부현황'!$L:$L,'처리 현황'!Q$3)</f>
        <v>0</v>
      </c>
      <c r="R26" s="106">
        <f>COUNTIFS('2023년 신조차 고장관리 세부현황'!$D:$D,"2023",'2023년 신조차 고장관리 세부현황'!$E:$E,'처리 현황'!$B26,'2023년 신조차 고장관리 세부현황'!$L:$L,'처리 현황'!R$3)</f>
        <v>0</v>
      </c>
      <c r="S26" s="106">
        <f>COUNTIFS('2023년 신조차 고장관리 세부현황'!$D:$D,"2023",'2023년 신조차 고장관리 세부현황'!$E:$E,'처리 현황'!$B26,'2023년 신조차 고장관리 세부현황'!$L:$L,'처리 현황'!S$3)</f>
        <v>0</v>
      </c>
      <c r="T26" s="106">
        <f>COUNTIFS('2023년 신조차 고장관리 세부현황'!$D:$D,"2023",'2023년 신조차 고장관리 세부현황'!$E:$E,'처리 현황'!$B26,'2023년 신조차 고장관리 세부현황'!$L:$L,'처리 현황'!T$3)</f>
        <v>0</v>
      </c>
      <c r="U26" s="125">
        <f t="shared" si="0"/>
        <v>0</v>
      </c>
      <c r="V26" s="106">
        <f>COUNTIFS('2023년 신조차 고장관리 세부현황'!$D:$D,"2023",'2023년 신조차 고장관리 세부현황'!$E:$E,'처리 현황'!$B26,'2023년 신조차 고장관리 세부현황'!$K:$K,'처리 현황'!V$3)</f>
        <v>0</v>
      </c>
      <c r="W26" s="133">
        <f>COUNTIFS('2023년 신조차 고장관리 세부현황'!$D:$D,"2023",'2023년 신조차 고장관리 세부현황'!$E:$E,'처리 현황'!$B26,'2023년 신조차 고장관리 세부현황'!$K:$K,W$2,'2023년 신조차 고장관리 세부현황'!$S:$S,"단품불량")</f>
        <v>0</v>
      </c>
      <c r="X26" s="106">
        <f>COUNTIFS('2023년 신조차 고장관리 세부현황'!$D:$D,"2023",'2023년 신조차 고장관리 세부현황'!$E:$E,'처리 현황'!$B26,'2023년 신조차 고장관리 세부현황'!$K:$K,'처리 현황'!X$3)</f>
        <v>0</v>
      </c>
      <c r="Y26" s="133">
        <f>COUNTIFS('2023년 신조차 고장관리 세부현황'!$D:$D,"2023",'2023년 신조차 고장관리 세부현황'!$E:$E,'처리 현황'!$B26,'2023년 신조차 고장관리 세부현황'!$K:$K,Y$2,'2023년 신조차 고장관리 세부현황'!$S:$S,"단품불량")</f>
        <v>0</v>
      </c>
      <c r="Z26" s="106">
        <f t="shared" si="1"/>
        <v>0</v>
      </c>
      <c r="AH26" s="380"/>
      <c r="AI26" s="97">
        <v>11</v>
      </c>
      <c r="AJ26" s="108" t="s">
        <v>204</v>
      </c>
      <c r="AK26" s="108"/>
      <c r="AL26" s="97">
        <f>COUNTIFS('2023년 신조차 고장관리 세부현황'!$D:$D,"2023",'2023년 신조차 고장관리 세부현황'!$E:$E,'처리 현황'!$B26)</f>
        <v>0</v>
      </c>
      <c r="AM26" s="97">
        <f>COUNTIFS('2023년 신조차 고장관리 세부현황'!$D:$D,"2023",'2023년 신조차 고장관리 세부현황'!$E:$E,'처리 현황'!$B26,'2023년 신조차 고장관리 세부현황'!$V:$V,'처리 현황'!AM$3)</f>
        <v>0</v>
      </c>
      <c r="AN26" s="97">
        <f>COUNTIFS('2023년 신조차 고장관리 세부현황'!$D:$D,"2023",'2023년 신조차 고장관리 세부현황'!$E:$E,'처리 현황'!$B26,'2023년 신조차 고장관리 세부현황'!$V:$V,'처리 현황'!AN$3)</f>
        <v>0</v>
      </c>
      <c r="AO26" s="97">
        <f>COUNTIFS('2023년 신조차 고장관리 세부현황'!$D:$D,"2023",'2023년 신조차 고장관리 세부현황'!$E:$E,'처리 현황'!$B26,'2023년 신조차 고장관리 세부현황'!$V:$V,'처리 현황'!AO$3)</f>
        <v>0</v>
      </c>
      <c r="AP26" s="97">
        <f>COUNTIFS('2023년 신조차 고장관리 세부현황'!$D:$D,"2023",'2023년 신조차 고장관리 세부현황'!$E:$E,'처리 현황'!$B26,'2023년 신조차 고장관리 세부현황'!$V:$V,'처리 현황'!AP$3)</f>
        <v>0</v>
      </c>
      <c r="AQ26" s="97">
        <f>COUNTIFS('2023년 신조차 고장관리 세부현황'!$D:$D,"2023",'2023년 신조차 고장관리 세부현황'!$E:$E,'처리 현황'!$B26,'2023년 신조차 고장관리 세부현황'!$V:$V,'처리 현황'!AQ$3)</f>
        <v>0</v>
      </c>
      <c r="AR26" s="190">
        <f t="shared" si="2"/>
        <v>0</v>
      </c>
      <c r="AS26" s="119">
        <f>COUNTIFS('2023년 신조차 고장관리 세부현황'!$D:$D,"2023",'2023년 신조차 고장관리 세부현황'!$E:$E,'처리 현황'!$B26,'2023년 신조차 고장관리 세부현황'!$J:$J,'처리 현황'!AS$3)</f>
        <v>0</v>
      </c>
      <c r="AT26" s="104">
        <f>COUNTIFS('2023년 신조차 고장관리 세부현황'!$D:$D,"2023",'2023년 신조차 고장관리 세부현황'!$E:$E,'처리 현황'!$B26,'2023년 신조차 고장관리 세부현황'!$J:$J,'처리 현황'!AT$3)</f>
        <v>0</v>
      </c>
      <c r="AU26" s="104">
        <f>COUNTIFS('2023년 신조차 고장관리 세부현황'!$D:$D,"2023",'2023년 신조차 고장관리 세부현황'!$E:$E,'처리 현황'!$B26,'2023년 신조차 고장관리 세부현황'!$J:$J,'처리 현황'!AU$3)</f>
        <v>0</v>
      </c>
      <c r="AV26" s="104">
        <f>COUNTIFS('2023년 신조차 고장관리 세부현황'!$D:$D,"2023",'2023년 신조차 고장관리 세부현황'!$E:$E,'처리 현황'!$B26,'2023년 신조차 고장관리 세부현황'!$J:$J,'처리 현황'!AV$3)</f>
        <v>0</v>
      </c>
      <c r="AW26" s="104">
        <f>COUNTIFS('2023년 신조차 고장관리 세부현황'!$D:$D,"2023",'2023년 신조차 고장관리 세부현황'!$E:$E,'처리 현황'!$B26,'2023년 신조차 고장관리 세부현황'!$J:$J,'처리 현황'!AW$3)</f>
        <v>0</v>
      </c>
      <c r="AX26" s="119">
        <f>COUNTIFS('2023년 신조차 고장관리 세부현황'!$D:$D,"2023",'2023년 신조차 고장관리 세부현황'!$E:$E,'처리 현황'!$B26,'2023년 신조차 고장관리 세부현황'!$L:$L,'처리 현황'!AX$3)</f>
        <v>0</v>
      </c>
      <c r="AY26" s="106">
        <f>COUNTIFS('2023년 신조차 고장관리 세부현황'!$D:$D,"2023",'2023년 신조차 고장관리 세부현황'!$E:$E,'처리 현황'!$B26,'2023년 신조차 고장관리 세부현황'!$L:$L,'처리 현황'!AY$3)</f>
        <v>0</v>
      </c>
      <c r="AZ26" s="106">
        <f>COUNTIFS('2023년 신조차 고장관리 세부현황'!$D:$D,"2023",'2023년 신조차 고장관리 세부현황'!$E:$E,'처리 현황'!$B26,'2023년 신조차 고장관리 세부현황'!$L:$L,'처리 현황'!AZ$3)</f>
        <v>0</v>
      </c>
      <c r="BA26" s="106">
        <f>COUNTIFS('2023년 신조차 고장관리 세부현황'!$D:$D,"2023",'2023년 신조차 고장관리 세부현황'!$E:$E,'처리 현황'!$B26,'2023년 신조차 고장관리 세부현황'!$L:$L,'처리 현황'!BA$3)</f>
        <v>0</v>
      </c>
      <c r="BB26" s="106">
        <f>COUNTIFS('2023년 신조차 고장관리 세부현황'!$D:$D,"2023",'2023년 신조차 고장관리 세부현황'!$E:$E,'처리 현황'!$B26,'2023년 신조차 고장관리 세부현황'!$L:$L,'처리 현황'!BB$3)</f>
        <v>0</v>
      </c>
      <c r="BC26" s="106">
        <f>COUNTIFS('2023년 신조차 고장관리 세부현황'!$D:$D,"2023",'2023년 신조차 고장관리 세부현황'!$E:$E,'처리 현황'!$B26,'2023년 신조차 고장관리 세부현황'!$L:$L,'처리 현황'!BC$3)</f>
        <v>0</v>
      </c>
      <c r="BD26" s="106">
        <f t="shared" si="3"/>
        <v>0</v>
      </c>
      <c r="BE26" s="119">
        <f>COUNTIFS('2023년 신조차 고장관리 세부현황'!$D:$D,"2023",'2023년 신조차 고장관리 세부현황'!$E:$E,'처리 현황'!$B26,'2023년 신조차 고장관리 세부현황'!$K:$K,'처리 현황'!BE$3)</f>
        <v>0</v>
      </c>
      <c r="BF26" s="133">
        <f>COUNTIFS('2023년 신조차 고장관리 세부현황'!$D:$D,"2023",'2023년 신조차 고장관리 세부현황'!$E:$E,'처리 현황'!$B26,'2023년 신조차 고장관리 세부현황'!$K:$K,BF$2,'2023년 신조차 고장관리 세부현황'!$S:$S,"단품불량")</f>
        <v>0</v>
      </c>
      <c r="BG26" s="106">
        <f>COUNTIFS('2023년 신조차 고장관리 세부현황'!$D:$D,"2023",'2023년 신조차 고장관리 세부현황'!$E:$E,'처리 현황'!$B26,'2023년 신조차 고장관리 세부현황'!$K:$K,'처리 현황'!BG$3)</f>
        <v>0</v>
      </c>
      <c r="BH26" s="133">
        <f>COUNTIFS('2023년 신조차 고장관리 세부현황'!$D:$D,"2023",'2023년 신조차 고장관리 세부현황'!$E:$E,'처리 현황'!$B26,'2023년 신조차 고장관리 세부현황'!$K:$K,BH$2,'2023년 신조차 고장관리 세부현황'!$S:$S,"단품불량")</f>
        <v>0</v>
      </c>
      <c r="BI26" s="106">
        <f t="shared" si="4"/>
        <v>0</v>
      </c>
      <c r="BJ26">
        <f>COUNTIFS('2023년 신조차 고장관리 세부현황'!$D:$D,"2023",'2023년 신조차 고장관리 세부현황'!$E:$E,'처리 현황'!$B26,'2023년 신조차 고장관리 세부현황'!$BC:$BC,"완료",'2023년 신조차 고장관리 세부현황'!$CY:$CY,BJ$3)</f>
        <v>0</v>
      </c>
      <c r="BK26">
        <f>COUNTIFS('2023년 신조차 고장관리 세부현황'!$D:$D,"2023",'2023년 신조차 고장관리 세부현황'!$E:$E,'처리 현황'!$B26,'2023년 신조차 고장관리 세부현황'!$BC:$BC,"완료",'2023년 신조차 고장관리 세부현황'!$CY:$CY,BK$3)</f>
        <v>0</v>
      </c>
      <c r="BL26">
        <f>COUNTIFS('2023년 신조차 고장관리 세부현황'!$D:$D,"2023",'2023년 신조차 고장관리 세부현황'!$E:$E,'처리 현황'!$B26,'2023년 신조차 고장관리 세부현황'!$BC:$BC,"완료",'2023년 신조차 고장관리 세부현황'!$CY:$CY,BL$3)</f>
        <v>0</v>
      </c>
      <c r="BM26">
        <f>COUNTIFS('2023년 신조차 고장관리 세부현황'!$D:$D,"2023",'2023년 신조차 고장관리 세부현황'!$E:$E,'처리 현황'!$B26,'2023년 신조차 고장관리 세부현황'!$BC:$BC,"완료",'2023년 신조차 고장관리 세부현황'!$CY:$CY,BM$3)</f>
        <v>0</v>
      </c>
      <c r="BN26">
        <f>COUNTIFS('2023년 신조차 고장관리 세부현황'!$D:$D,"2023",'2023년 신조차 고장관리 세부현황'!$E:$E,'처리 현황'!$B26,'2023년 신조차 고장관리 세부현황'!$BC:$BC,"완료",'2023년 신조차 고장관리 세부현황'!$CY:$CY,BN$3)</f>
        <v>0</v>
      </c>
      <c r="BO26">
        <f>COUNTIFS('2023년 신조차 고장관리 세부현황'!$D:$D,"2023",'2023년 신조차 고장관리 세부현황'!$E:$E,'처리 현황'!$B26,'2023년 신조차 고장관리 세부현황'!$BC:$BC,"완료",'2023년 신조차 고장관리 세부현황'!$CY:$CY,BO$3)</f>
        <v>0</v>
      </c>
      <c r="BP26">
        <f>COUNTIFS('2023년 신조차 고장관리 세부현황'!$D:$D,"2023",'2023년 신조차 고장관리 세부현황'!$E:$E,'처리 현황'!$B26,'2023년 신조차 고장관리 세부현황'!$BC:$BC,"완료",'2023년 신조차 고장관리 세부현황'!$CY:$CY,BP$3)</f>
        <v>0</v>
      </c>
    </row>
    <row r="27" spans="1:68" x14ac:dyDescent="0.4">
      <c r="A27" s="380"/>
      <c r="B27" s="97">
        <v>12</v>
      </c>
      <c r="C27" s="108" t="s">
        <v>205</v>
      </c>
      <c r="D27" s="97">
        <f>COUNTIFS('2023년 신조차 고장관리 세부현황'!$D:$D,"2023",'2023년 신조차 고장관리 세부현황'!$E:$E,'처리 현황'!$B27)</f>
        <v>0</v>
      </c>
      <c r="E27" s="97">
        <f>COUNTIFS('2023년 신조차 고장관리 세부현황'!$D:$D,"2023",'2023년 신조차 고장관리 세부현황'!$E:$E,'처리 현황'!$B27,'2023년 신조차 고장관리 세부현황'!$T:$T,'처리 현황'!E$3)</f>
        <v>0</v>
      </c>
      <c r="F27" s="97">
        <f>COUNTIFS('2023년 신조차 고장관리 세부현황'!$D:$D,"2023",'2023년 신조차 고장관리 세부현황'!$E:$E,'처리 현황'!$B27,'2023년 신조차 고장관리 세부현황'!$T:$T,'처리 현황'!F$3)</f>
        <v>0</v>
      </c>
      <c r="G27" s="97">
        <f>COUNTIFS('2023년 신조차 고장관리 세부현황'!$D:$D,"2023",'2023년 신조차 고장관리 세부현황'!$E:$E,'처리 현황'!$B27,'2023년 신조차 고장관리 세부현황'!$T:$T,'처리 현황'!G$3)</f>
        <v>0</v>
      </c>
      <c r="H27" s="97">
        <f>COUNTIFS('2023년 신조차 고장관리 세부현황'!$D:$D,"2023",'2023년 신조차 고장관리 세부현황'!$E:$E,'처리 현황'!$B27,'2023년 신조차 고장관리 세부현황'!$T:$T,'처리 현황'!H$3)</f>
        <v>0</v>
      </c>
      <c r="I27" s="97">
        <f>COUNTIFS('2023년 신조차 고장관리 세부현황'!$D:$D,"2023",'2023년 신조차 고장관리 세부현황'!$E:$E,'처리 현황'!$B27,'2023년 신조차 고장관리 세부현황'!$T:$T,'처리 현황'!I$3)</f>
        <v>0</v>
      </c>
      <c r="J27" s="119">
        <f>COUNTIFS('2023년 신조차 고장관리 세부현황'!$D:$D,"2023",'2023년 신조차 고장관리 세부현황'!$E:$E,'처리 현황'!$B27,'2023년 신조차 고장관리 세부현황'!$J:$J,'처리 현황'!J$3)</f>
        <v>0</v>
      </c>
      <c r="K27" s="104">
        <f>COUNTIFS('2023년 신조차 고장관리 세부현황'!$D:$D,"2023",'2023년 신조차 고장관리 세부현황'!$E:$E,'처리 현황'!$B27,'2023년 신조차 고장관리 세부현황'!$J:$J,'처리 현황'!K$3)</f>
        <v>0</v>
      </c>
      <c r="L27" s="104">
        <f>COUNTIFS('2023년 신조차 고장관리 세부현황'!$D:$D,"2023",'2023년 신조차 고장관리 세부현황'!$E:$E,'처리 현황'!$B27,'2023년 신조차 고장관리 세부현황'!$J:$J,'처리 현황'!L$3)</f>
        <v>0</v>
      </c>
      <c r="M27" s="104">
        <f>COUNTIFS('2023년 신조차 고장관리 세부현황'!$D:$D,"2023",'2023년 신조차 고장관리 세부현황'!$E:$E,'처리 현황'!$B27,'2023년 신조차 고장관리 세부현황'!$J:$J,'처리 현황'!M$3)</f>
        <v>0</v>
      </c>
      <c r="N27" s="104">
        <f>COUNTIFS('2023년 신조차 고장관리 세부현황'!$D:$D,"2023",'2023년 신조차 고장관리 세부현황'!$E:$E,'처리 현황'!$B27,'2023년 신조차 고장관리 세부현황'!$J:$J,'처리 현황'!N$3)</f>
        <v>0</v>
      </c>
      <c r="O27" s="119">
        <f>COUNTIFS('2023년 신조차 고장관리 세부현황'!$D:$D,"2023",'2023년 신조차 고장관리 세부현황'!$E:$E,'처리 현황'!$B27,'2023년 신조차 고장관리 세부현황'!$L:$L,'처리 현황'!O$3)</f>
        <v>0</v>
      </c>
      <c r="P27" s="106">
        <f>COUNTIFS('2023년 신조차 고장관리 세부현황'!$D:$D,"2023",'2023년 신조차 고장관리 세부현황'!$E:$E,'처리 현황'!$B27,'2023년 신조차 고장관리 세부현황'!$L:$L,'처리 현황'!P$3)</f>
        <v>0</v>
      </c>
      <c r="Q27" s="106">
        <f>COUNTIFS('2023년 신조차 고장관리 세부현황'!$D:$D,"2023",'2023년 신조차 고장관리 세부현황'!$E:$E,'처리 현황'!$B27,'2023년 신조차 고장관리 세부현황'!$L:$L,'처리 현황'!Q$3)</f>
        <v>0</v>
      </c>
      <c r="R27" s="106">
        <f>COUNTIFS('2023년 신조차 고장관리 세부현황'!$D:$D,"2023",'2023년 신조차 고장관리 세부현황'!$E:$E,'처리 현황'!$B27,'2023년 신조차 고장관리 세부현황'!$L:$L,'처리 현황'!R$3)</f>
        <v>0</v>
      </c>
      <c r="S27" s="106">
        <f>COUNTIFS('2023년 신조차 고장관리 세부현황'!$D:$D,"2023",'2023년 신조차 고장관리 세부현황'!$E:$E,'처리 현황'!$B27,'2023년 신조차 고장관리 세부현황'!$L:$L,'처리 현황'!S$3)</f>
        <v>0</v>
      </c>
      <c r="T27" s="106">
        <f>COUNTIFS('2023년 신조차 고장관리 세부현황'!$D:$D,"2023",'2023년 신조차 고장관리 세부현황'!$E:$E,'처리 현황'!$B27,'2023년 신조차 고장관리 세부현황'!$L:$L,'처리 현황'!T$3)</f>
        <v>0</v>
      </c>
      <c r="U27" s="125">
        <f t="shared" si="0"/>
        <v>0</v>
      </c>
      <c r="V27" s="106">
        <f>COUNTIFS('2023년 신조차 고장관리 세부현황'!$D:$D,"2023",'2023년 신조차 고장관리 세부현황'!$E:$E,'처리 현황'!$B27,'2023년 신조차 고장관리 세부현황'!$K:$K,'처리 현황'!V$3)</f>
        <v>0</v>
      </c>
      <c r="W27" s="133">
        <f>COUNTIFS('2023년 신조차 고장관리 세부현황'!$D:$D,"2023",'2023년 신조차 고장관리 세부현황'!$E:$E,'처리 현황'!$B27,'2023년 신조차 고장관리 세부현황'!$K:$K,W$2,'2023년 신조차 고장관리 세부현황'!$S:$S,"단품불량")</f>
        <v>0</v>
      </c>
      <c r="X27" s="106">
        <f>COUNTIFS('2023년 신조차 고장관리 세부현황'!$D:$D,"2023",'2023년 신조차 고장관리 세부현황'!$E:$E,'처리 현황'!$B27,'2023년 신조차 고장관리 세부현황'!$K:$K,'처리 현황'!X$3)</f>
        <v>0</v>
      </c>
      <c r="Y27" s="133">
        <f>COUNTIFS('2023년 신조차 고장관리 세부현황'!$D:$D,"2023",'2023년 신조차 고장관리 세부현황'!$E:$E,'처리 현황'!$B27,'2023년 신조차 고장관리 세부현황'!$K:$K,Y$2,'2023년 신조차 고장관리 세부현황'!$S:$S,"단품불량")</f>
        <v>0</v>
      </c>
      <c r="Z27" s="106">
        <f t="shared" si="1"/>
        <v>0</v>
      </c>
      <c r="AH27" s="380"/>
      <c r="AI27" s="97">
        <v>12</v>
      </c>
      <c r="AJ27" s="108" t="s">
        <v>205</v>
      </c>
      <c r="AK27" s="108"/>
      <c r="AL27" s="97">
        <f>COUNTIFS('2023년 신조차 고장관리 세부현황'!$D:$D,"2023",'2023년 신조차 고장관리 세부현황'!$E:$E,'처리 현황'!$B27)</f>
        <v>0</v>
      </c>
      <c r="AM27" s="97">
        <f>COUNTIFS('2023년 신조차 고장관리 세부현황'!$D:$D,"2023",'2023년 신조차 고장관리 세부현황'!$E:$E,'처리 현황'!$B27,'2023년 신조차 고장관리 세부현황'!$V:$V,'처리 현황'!AM$3)</f>
        <v>0</v>
      </c>
      <c r="AN27" s="97">
        <f>COUNTIFS('2023년 신조차 고장관리 세부현황'!$D:$D,"2023",'2023년 신조차 고장관리 세부현황'!$E:$E,'처리 현황'!$B27,'2023년 신조차 고장관리 세부현황'!$V:$V,'처리 현황'!AN$3)</f>
        <v>0</v>
      </c>
      <c r="AO27" s="97">
        <f>COUNTIFS('2023년 신조차 고장관리 세부현황'!$D:$D,"2023",'2023년 신조차 고장관리 세부현황'!$E:$E,'처리 현황'!$B27,'2023년 신조차 고장관리 세부현황'!$V:$V,'처리 현황'!AO$3)</f>
        <v>0</v>
      </c>
      <c r="AP27" s="97">
        <f>COUNTIFS('2023년 신조차 고장관리 세부현황'!$D:$D,"2023",'2023년 신조차 고장관리 세부현황'!$E:$E,'처리 현황'!$B27,'2023년 신조차 고장관리 세부현황'!$V:$V,'처리 현황'!AP$3)</f>
        <v>0</v>
      </c>
      <c r="AQ27" s="97">
        <f>COUNTIFS('2023년 신조차 고장관리 세부현황'!$D:$D,"2023",'2023년 신조차 고장관리 세부현황'!$E:$E,'처리 현황'!$B27,'2023년 신조차 고장관리 세부현황'!$V:$V,'처리 현황'!AQ$3)</f>
        <v>0</v>
      </c>
      <c r="AR27" s="190">
        <f t="shared" si="2"/>
        <v>0</v>
      </c>
      <c r="AS27" s="119">
        <f>COUNTIFS('2023년 신조차 고장관리 세부현황'!$D:$D,"2023",'2023년 신조차 고장관리 세부현황'!$E:$E,'처리 현황'!$B27,'2023년 신조차 고장관리 세부현황'!$J:$J,'처리 현황'!AS$3)</f>
        <v>0</v>
      </c>
      <c r="AT27" s="104">
        <f>COUNTIFS('2023년 신조차 고장관리 세부현황'!$D:$D,"2023",'2023년 신조차 고장관리 세부현황'!$E:$E,'처리 현황'!$B27,'2023년 신조차 고장관리 세부현황'!$J:$J,'처리 현황'!AT$3)</f>
        <v>0</v>
      </c>
      <c r="AU27" s="104">
        <f>COUNTIFS('2023년 신조차 고장관리 세부현황'!$D:$D,"2023",'2023년 신조차 고장관리 세부현황'!$E:$E,'처리 현황'!$B27,'2023년 신조차 고장관리 세부현황'!$J:$J,'처리 현황'!AU$3)</f>
        <v>0</v>
      </c>
      <c r="AV27" s="104">
        <f>COUNTIFS('2023년 신조차 고장관리 세부현황'!$D:$D,"2023",'2023년 신조차 고장관리 세부현황'!$E:$E,'처리 현황'!$B27,'2023년 신조차 고장관리 세부현황'!$J:$J,'처리 현황'!AV$3)</f>
        <v>0</v>
      </c>
      <c r="AW27" s="104">
        <f>COUNTIFS('2023년 신조차 고장관리 세부현황'!$D:$D,"2023",'2023년 신조차 고장관리 세부현황'!$E:$E,'처리 현황'!$B27,'2023년 신조차 고장관리 세부현황'!$J:$J,'처리 현황'!AW$3)</f>
        <v>0</v>
      </c>
      <c r="AX27" s="119">
        <f>COUNTIFS('2023년 신조차 고장관리 세부현황'!$D:$D,"2023",'2023년 신조차 고장관리 세부현황'!$E:$E,'처리 현황'!$B27,'2023년 신조차 고장관리 세부현황'!$L:$L,'처리 현황'!AX$3)</f>
        <v>0</v>
      </c>
      <c r="AY27" s="106">
        <f>COUNTIFS('2023년 신조차 고장관리 세부현황'!$D:$D,"2023",'2023년 신조차 고장관리 세부현황'!$E:$E,'처리 현황'!$B27,'2023년 신조차 고장관리 세부현황'!$L:$L,'처리 현황'!AY$3)</f>
        <v>0</v>
      </c>
      <c r="AZ27" s="106">
        <f>COUNTIFS('2023년 신조차 고장관리 세부현황'!$D:$D,"2023",'2023년 신조차 고장관리 세부현황'!$E:$E,'처리 현황'!$B27,'2023년 신조차 고장관리 세부현황'!$L:$L,'처리 현황'!AZ$3)</f>
        <v>0</v>
      </c>
      <c r="BA27" s="106">
        <f>COUNTIFS('2023년 신조차 고장관리 세부현황'!$D:$D,"2023",'2023년 신조차 고장관리 세부현황'!$E:$E,'처리 현황'!$B27,'2023년 신조차 고장관리 세부현황'!$L:$L,'처리 현황'!BA$3)</f>
        <v>0</v>
      </c>
      <c r="BB27" s="106">
        <f>COUNTIFS('2023년 신조차 고장관리 세부현황'!$D:$D,"2023",'2023년 신조차 고장관리 세부현황'!$E:$E,'처리 현황'!$B27,'2023년 신조차 고장관리 세부현황'!$L:$L,'처리 현황'!BB$3)</f>
        <v>0</v>
      </c>
      <c r="BC27" s="106">
        <f>COUNTIFS('2023년 신조차 고장관리 세부현황'!$D:$D,"2023",'2023년 신조차 고장관리 세부현황'!$E:$E,'처리 현황'!$B27,'2023년 신조차 고장관리 세부현황'!$L:$L,'처리 현황'!BC$3)</f>
        <v>0</v>
      </c>
      <c r="BD27" s="106">
        <f t="shared" si="3"/>
        <v>0</v>
      </c>
      <c r="BE27" s="119">
        <f>COUNTIFS('2023년 신조차 고장관리 세부현황'!$D:$D,"2023",'2023년 신조차 고장관리 세부현황'!$E:$E,'처리 현황'!$B27,'2023년 신조차 고장관리 세부현황'!$K:$K,'처리 현황'!BE$3)</f>
        <v>0</v>
      </c>
      <c r="BF27" s="133">
        <f>COUNTIFS('2023년 신조차 고장관리 세부현황'!$D:$D,"2023",'2023년 신조차 고장관리 세부현황'!$E:$E,'처리 현황'!$B27,'2023년 신조차 고장관리 세부현황'!$K:$K,BF$2,'2023년 신조차 고장관리 세부현황'!$S:$S,"단품불량")</f>
        <v>0</v>
      </c>
      <c r="BG27" s="106">
        <f>COUNTIFS('2023년 신조차 고장관리 세부현황'!$D:$D,"2023",'2023년 신조차 고장관리 세부현황'!$E:$E,'처리 현황'!$B27,'2023년 신조차 고장관리 세부현황'!$K:$K,'처리 현황'!BG$3)</f>
        <v>0</v>
      </c>
      <c r="BH27" s="133">
        <f>COUNTIFS('2023년 신조차 고장관리 세부현황'!$D:$D,"2023",'2023년 신조차 고장관리 세부현황'!$E:$E,'처리 현황'!$B27,'2023년 신조차 고장관리 세부현황'!$K:$K,BH$2,'2023년 신조차 고장관리 세부현황'!$S:$S,"단품불량")</f>
        <v>0</v>
      </c>
      <c r="BI27" s="106">
        <f t="shared" si="4"/>
        <v>0</v>
      </c>
      <c r="BJ27">
        <f>COUNTIFS('2023년 신조차 고장관리 세부현황'!$D:$D,"2023",'2023년 신조차 고장관리 세부현황'!$E:$E,'처리 현황'!$B27,'2023년 신조차 고장관리 세부현황'!$BC:$BC,"완료",'2023년 신조차 고장관리 세부현황'!$CY:$CY,BJ$3)</f>
        <v>0</v>
      </c>
      <c r="BK27">
        <f>COUNTIFS('2023년 신조차 고장관리 세부현황'!$D:$D,"2023",'2023년 신조차 고장관리 세부현황'!$E:$E,'처리 현황'!$B27,'2023년 신조차 고장관리 세부현황'!$BC:$BC,"완료",'2023년 신조차 고장관리 세부현황'!$CY:$CY,BK$3)</f>
        <v>0</v>
      </c>
      <c r="BL27">
        <f>COUNTIFS('2023년 신조차 고장관리 세부현황'!$D:$D,"2023",'2023년 신조차 고장관리 세부현황'!$E:$E,'처리 현황'!$B27,'2023년 신조차 고장관리 세부현황'!$BC:$BC,"완료",'2023년 신조차 고장관리 세부현황'!$CY:$CY,BL$3)</f>
        <v>0</v>
      </c>
      <c r="BM27">
        <f>COUNTIFS('2023년 신조차 고장관리 세부현황'!$D:$D,"2023",'2023년 신조차 고장관리 세부현황'!$E:$E,'처리 현황'!$B27,'2023년 신조차 고장관리 세부현황'!$BC:$BC,"완료",'2023년 신조차 고장관리 세부현황'!$CY:$CY,BM$3)</f>
        <v>0</v>
      </c>
      <c r="BN27">
        <f>COUNTIFS('2023년 신조차 고장관리 세부현황'!$D:$D,"2023",'2023년 신조차 고장관리 세부현황'!$E:$E,'처리 현황'!$B27,'2023년 신조차 고장관리 세부현황'!$BC:$BC,"완료",'2023년 신조차 고장관리 세부현황'!$CY:$CY,BN$3)</f>
        <v>0</v>
      </c>
      <c r="BO27">
        <f>COUNTIFS('2023년 신조차 고장관리 세부현황'!$D:$D,"2023",'2023년 신조차 고장관리 세부현황'!$E:$E,'처리 현황'!$B27,'2023년 신조차 고장관리 세부현황'!$BC:$BC,"완료",'2023년 신조차 고장관리 세부현황'!$CY:$CY,BO$3)</f>
        <v>0</v>
      </c>
      <c r="BP27">
        <f>COUNTIFS('2023년 신조차 고장관리 세부현황'!$D:$D,"2023",'2023년 신조차 고장관리 세부현황'!$E:$E,'처리 현황'!$B27,'2023년 신조차 고장관리 세부현황'!$BC:$BC,"완료",'2023년 신조차 고장관리 세부현황'!$CY:$CY,BP$3)</f>
        <v>0</v>
      </c>
    </row>
    <row r="28" spans="1:68" ht="18" thickBot="1" x14ac:dyDescent="0.45">
      <c r="AH28" t="s">
        <v>238</v>
      </c>
      <c r="AX28" s="193">
        <f>SUM(AX16:AX27)</f>
        <v>0</v>
      </c>
      <c r="AY28" s="107">
        <f>SUM(AY16:AY27)</f>
        <v>0</v>
      </c>
      <c r="AZ28" s="193">
        <f t="shared" ref="AZ28:BD28" si="6">SUM(AZ16:AZ27)</f>
        <v>3</v>
      </c>
      <c r="BA28" s="193">
        <f t="shared" si="6"/>
        <v>11</v>
      </c>
      <c r="BB28" s="193">
        <f t="shared" si="6"/>
        <v>20</v>
      </c>
      <c r="BC28" s="193">
        <f t="shared" si="6"/>
        <v>8</v>
      </c>
      <c r="BD28" s="193">
        <f t="shared" si="6"/>
        <v>0</v>
      </c>
      <c r="BE28" s="107">
        <f>SUM(BE4:BE27)</f>
        <v>3</v>
      </c>
      <c r="BF28" s="135">
        <f>SUM(BF4:BF27)</f>
        <v>0</v>
      </c>
      <c r="BG28" s="135">
        <f>SUM(BG4:BG27)</f>
        <v>39</v>
      </c>
      <c r="BH28" s="135">
        <f>SUM(BH4:BH27)</f>
        <v>0</v>
      </c>
      <c r="BI28" s="135">
        <f>SUM(BI4:BI27)</f>
        <v>0</v>
      </c>
      <c r="BJ28" s="231">
        <f>COUNTIFS('2023년 신조차 고장관리 세부현황'!$D:$D,"2023",'2023년 신조차 고장관리 세부현황'!$E:$E,'처리 현황'!$B28,'2023년 신조차 고장관리 세부현황'!$BC:$BC,"완료",'2023년 신조차 고장관리 세부현황'!$CY:$CY,BJ$3)</f>
        <v>0</v>
      </c>
      <c r="BK28" s="231">
        <f>COUNTIFS('2023년 신조차 고장관리 세부현황'!$D:$D,"2023",'2023년 신조차 고장관리 세부현황'!$E:$E,'처리 현황'!$B28,'2023년 신조차 고장관리 세부현황'!$BC:$BC,"완료",'2023년 신조차 고장관리 세부현황'!$CY:$CY,BK$3)</f>
        <v>0</v>
      </c>
      <c r="BL28" s="231">
        <f>COUNTIFS('2023년 신조차 고장관리 세부현황'!$D:$D,"2023",'2023년 신조차 고장관리 세부현황'!$E:$E,'처리 현황'!$B28,'2023년 신조차 고장관리 세부현황'!$BC:$BC,"완료",'2023년 신조차 고장관리 세부현황'!$CY:$CY,BL$3)</f>
        <v>0</v>
      </c>
      <c r="BM28" s="231">
        <f>COUNTIFS('2023년 신조차 고장관리 세부현황'!$D:$D,"2023",'2023년 신조차 고장관리 세부현황'!$E:$E,'처리 현황'!$B28,'2023년 신조차 고장관리 세부현황'!$BC:$BC,"완료",'2023년 신조차 고장관리 세부현황'!$CY:$CY,BM$3)</f>
        <v>0</v>
      </c>
      <c r="BN28" s="231">
        <f>COUNTIFS('2023년 신조차 고장관리 세부현황'!$D:$D,"2023",'2023년 신조차 고장관리 세부현황'!$E:$E,'처리 현황'!$B28,'2023년 신조차 고장관리 세부현황'!$BC:$BC,"완료",'2023년 신조차 고장관리 세부현황'!$CY:$CY,BN$3)</f>
        <v>0</v>
      </c>
      <c r="BO28" s="231">
        <f>COUNTIFS('2023년 신조차 고장관리 세부현황'!$D:$D,"2023",'2023년 신조차 고장관리 세부현황'!$E:$E,'처리 현황'!$B28,'2023년 신조차 고장관리 세부현황'!$BC:$BC,"완료",'2023년 신조차 고장관리 세부현황'!$CY:$CY,BO$3)</f>
        <v>0</v>
      </c>
      <c r="BP28">
        <f>COUNTIFS('2023년 신조차 고장관리 세부현황'!$D:$D,"2023",'2023년 신조차 고장관리 세부현황'!$E:$E,'처리 현황'!$B28,'2023년 신조차 고장관리 세부현황'!$BC:$BC,"완료",'2023년 신조차 고장관리 세부현황'!$CY:$CY,BP$3)</f>
        <v>0</v>
      </c>
    </row>
    <row r="29" spans="1:68" ht="36" customHeight="1" thickTop="1" x14ac:dyDescent="0.4">
      <c r="AH29" s="114" t="s">
        <v>190</v>
      </c>
      <c r="AI29" s="114" t="s">
        <v>192</v>
      </c>
      <c r="AJ29" s="114" t="s">
        <v>307</v>
      </c>
      <c r="AK29" s="114"/>
      <c r="AL29" s="114" t="s">
        <v>191</v>
      </c>
      <c r="AM29" s="114" t="s">
        <v>17</v>
      </c>
      <c r="AN29" s="114" t="s">
        <v>18</v>
      </c>
      <c r="AO29" s="114" t="s">
        <v>16</v>
      </c>
      <c r="AP29" s="114" t="s">
        <v>11</v>
      </c>
      <c r="AQ29" s="114" t="s">
        <v>163</v>
      </c>
      <c r="AR29" s="114" t="s">
        <v>308</v>
      </c>
      <c r="AS29" s="118" t="s">
        <v>3</v>
      </c>
      <c r="AT29" s="115" t="s">
        <v>4</v>
      </c>
      <c r="AU29" s="116" t="s">
        <v>153</v>
      </c>
      <c r="AV29" s="115" t="s">
        <v>22</v>
      </c>
      <c r="AW29" s="115" t="s">
        <v>15</v>
      </c>
      <c r="AX29" s="122" t="s">
        <v>73</v>
      </c>
      <c r="AY29" s="123" t="s">
        <v>74</v>
      </c>
      <c r="AZ29" s="123" t="s">
        <v>75</v>
      </c>
      <c r="BA29" s="123" t="s">
        <v>76</v>
      </c>
      <c r="BB29" s="123" t="s">
        <v>77</v>
      </c>
      <c r="BC29" s="124" t="s">
        <v>78</v>
      </c>
      <c r="BD29" s="123" t="s">
        <v>15</v>
      </c>
      <c r="BE29" s="189"/>
      <c r="BF29" s="189"/>
      <c r="BG29" s="189"/>
      <c r="BH29" s="189"/>
      <c r="BI29" s="189"/>
    </row>
    <row r="30" spans="1:68" x14ac:dyDescent="0.4">
      <c r="AH30" s="380">
        <v>2023</v>
      </c>
      <c r="AI30" s="187">
        <v>1</v>
      </c>
      <c r="AJ30">
        <v>1</v>
      </c>
      <c r="AL30" s="97">
        <f>COUNTIFS('2023년 신조차 고장관리 세부현황'!$D:$D,"2023",'2023년 신조차 고장관리 세부현황'!$C:$C,$AJ30)</f>
        <v>1</v>
      </c>
      <c r="AM30" s="97">
        <f>COUNTIFS('2023년 신조차 고장관리 세부현황'!$D:$D,"2023",'2023년 신조차 고장관리 세부현황'!$C:$C,$AJ30,'2023년 신조차 고장관리 세부현황'!$V:$V,'처리 현황'!AM$29)</f>
        <v>1</v>
      </c>
      <c r="AN30" s="187">
        <f>COUNTIFS('2023년 신조차 고장관리 세부현황'!$D:$D,"2023",'2023년 신조차 고장관리 세부현황'!$C:$C,$AJ30,'2023년 신조차 고장관리 세부현황'!$V:$V,'처리 현황'!AN$29)</f>
        <v>0</v>
      </c>
      <c r="AO30" s="187">
        <f>COUNTIFS('2023년 신조차 고장관리 세부현황'!$D:$D,"2023",'2023년 신조차 고장관리 세부현황'!$C:$C,$AJ30,'2023년 신조차 고장관리 세부현황'!$V:$V,'처리 현황'!AO$29)</f>
        <v>0</v>
      </c>
      <c r="AP30" s="187">
        <f>COUNTIFS('2023년 신조차 고장관리 세부현황'!$D:$D,"2023",'2023년 신조차 고장관리 세부현황'!$C:$C,$AJ30,'2023년 신조차 고장관리 세부현황'!$V:$V,'처리 현황'!AP$29)</f>
        <v>0</v>
      </c>
      <c r="AQ30" s="187">
        <f>COUNTIFS('2023년 신조차 고장관리 세부현황'!$D:$D,"2023",'2023년 신조차 고장관리 세부현황'!$C:$C,$AJ30,'2023년 신조차 고장관리 세부현황'!$V:$V,'처리 현황'!AQ$29)</f>
        <v>0</v>
      </c>
      <c r="AR30" s="190">
        <f t="shared" ref="AR30:AR82" si="7">AP30+AQ30</f>
        <v>0</v>
      </c>
      <c r="AX30" s="187">
        <f>COUNTIFS('2023년 신조차 고장관리 세부현황'!$D:$D,"2023",'2023년 신조차 고장관리 세부현황'!$C:$C,$AJ30,'2023년 신조차 고장관리 세부현황'!$L:$L,'처리 현황'!AX$29)</f>
        <v>0</v>
      </c>
      <c r="AY30" s="187">
        <f>COUNTIFS('2023년 신조차 고장관리 세부현황'!$D:$D,"2023",'2023년 신조차 고장관리 세부현황'!$C:$C,$AJ30,'2023년 신조차 고장관리 세부현황'!$L:$L,'처리 현황'!AY$29)</f>
        <v>0</v>
      </c>
      <c r="AZ30" s="187">
        <f>COUNTIFS('2023년 신조차 고장관리 세부현황'!$D:$D,"2023",'2023년 신조차 고장관리 세부현황'!$C:$C,$AJ30,'2023년 신조차 고장관리 세부현황'!$L:$L,'처리 현황'!AZ$29)</f>
        <v>0</v>
      </c>
      <c r="BA30" s="187">
        <f>COUNTIFS('2023년 신조차 고장관리 세부현황'!$D:$D,"2023",'2023년 신조차 고장관리 세부현황'!$C:$C,$AJ30,'2023년 신조차 고장관리 세부현황'!$L:$L,'처리 현황'!BA$29)</f>
        <v>0</v>
      </c>
      <c r="BB30" s="187">
        <f>COUNTIFS('2023년 신조차 고장관리 세부현황'!$D:$D,"2023",'2023년 신조차 고장관리 세부현황'!$C:$C,$AJ30,'2023년 신조차 고장관리 세부현황'!$L:$L,'처리 현황'!BB$29)</f>
        <v>0</v>
      </c>
      <c r="BC30" s="187">
        <f>COUNTIFS('2023년 신조차 고장관리 세부현황'!$D:$D,"2023",'2023년 신조차 고장관리 세부현황'!$C:$C,$AJ30,'2023년 신조차 고장관리 세부현황'!$L:$L,'처리 현황'!BC$29)</f>
        <v>1</v>
      </c>
      <c r="BD30" s="187">
        <f>COUNTIFS('2023년 신조차 고장관리 세부현황'!$D:$D,"2023",'2023년 신조차 고장관리 세부현황'!$C:$C,$AJ30,'2023년 신조차 고장관리 세부현황'!$L:$L,'처리 현황'!BD$29)</f>
        <v>0</v>
      </c>
    </row>
    <row r="31" spans="1:68" x14ac:dyDescent="0.4">
      <c r="AH31" s="380"/>
      <c r="AI31" s="187">
        <v>1</v>
      </c>
      <c r="AJ31">
        <v>2</v>
      </c>
      <c r="AL31" s="187">
        <f>COUNTIFS('2023년 신조차 고장관리 세부현황'!$D:$D,"2023",'2023년 신조차 고장관리 세부현황'!$C:$C,$AJ31)</f>
        <v>0</v>
      </c>
      <c r="AM31" s="187">
        <f>COUNTIFS('2023년 신조차 고장관리 세부현황'!$D:$D,"2023",'2023년 신조차 고장관리 세부현황'!$C:$C,$AJ31,'2023년 신조차 고장관리 세부현황'!$V:$V,'처리 현황'!AM$29)</f>
        <v>0</v>
      </c>
      <c r="AN31" s="187">
        <f>COUNTIFS('2023년 신조차 고장관리 세부현황'!$D:$D,"2023",'2023년 신조차 고장관리 세부현황'!$C:$C,$AJ31,'2023년 신조차 고장관리 세부현황'!$V:$V,'처리 현황'!AN$29)</f>
        <v>0</v>
      </c>
      <c r="AO31" s="187">
        <f>COUNTIFS('2023년 신조차 고장관리 세부현황'!$D:$D,"2023",'2023년 신조차 고장관리 세부현황'!$C:$C,$AJ31,'2023년 신조차 고장관리 세부현황'!$V:$V,'처리 현황'!AO$29)</f>
        <v>0</v>
      </c>
      <c r="AP31" s="187">
        <f>COUNTIFS('2023년 신조차 고장관리 세부현황'!$D:$D,"2023",'2023년 신조차 고장관리 세부현황'!$C:$C,$AJ31,'2023년 신조차 고장관리 세부현황'!$V:$V,'처리 현황'!AP$29)</f>
        <v>0</v>
      </c>
      <c r="AQ31" s="187">
        <f>COUNTIFS('2023년 신조차 고장관리 세부현황'!$D:$D,"2023",'2023년 신조차 고장관리 세부현황'!$C:$C,$AJ31,'2023년 신조차 고장관리 세부현황'!$V:$V,'처리 현황'!AQ$29)</f>
        <v>0</v>
      </c>
      <c r="AR31" s="190">
        <f t="shared" si="7"/>
        <v>0</v>
      </c>
      <c r="AX31" s="187">
        <f>COUNTIFS('2023년 신조차 고장관리 세부현황'!$D:$D,"2023",'2023년 신조차 고장관리 세부현황'!$C:$C,$AJ31,'2023년 신조차 고장관리 세부현황'!$L:$L,'처리 현황'!AX$29)</f>
        <v>0</v>
      </c>
      <c r="AY31" s="187">
        <f>COUNTIFS('2023년 신조차 고장관리 세부현황'!$D:$D,"2023",'2023년 신조차 고장관리 세부현황'!$C:$C,$AJ31,'2023년 신조차 고장관리 세부현황'!$L:$L,'처리 현황'!AY$29)</f>
        <v>0</v>
      </c>
      <c r="AZ31" s="187">
        <f>COUNTIFS('2023년 신조차 고장관리 세부현황'!$D:$D,"2023",'2023년 신조차 고장관리 세부현황'!$C:$C,$AJ31,'2023년 신조차 고장관리 세부현황'!$L:$L,'처리 현황'!AZ$29)</f>
        <v>0</v>
      </c>
      <c r="BA31" s="187">
        <f>COUNTIFS('2023년 신조차 고장관리 세부현황'!$D:$D,"2023",'2023년 신조차 고장관리 세부현황'!$C:$C,$AJ31,'2023년 신조차 고장관리 세부현황'!$L:$L,'처리 현황'!BA$29)</f>
        <v>0</v>
      </c>
      <c r="BB31" s="187">
        <f>COUNTIFS('2023년 신조차 고장관리 세부현황'!$D:$D,"2023",'2023년 신조차 고장관리 세부현황'!$C:$C,$AJ31,'2023년 신조차 고장관리 세부현황'!$L:$L,'처리 현황'!BB$29)</f>
        <v>0</v>
      </c>
      <c r="BC31" s="187">
        <f>COUNTIFS('2023년 신조차 고장관리 세부현황'!$D:$D,"2023",'2023년 신조차 고장관리 세부현황'!$C:$C,$AJ31,'2023년 신조차 고장관리 세부현황'!$L:$L,'처리 현황'!BC$29)</f>
        <v>0</v>
      </c>
      <c r="BD31" s="187">
        <f>COUNTIFS('2023년 신조차 고장관리 세부현황'!$D:$D,"2023",'2023년 신조차 고장관리 세부현황'!$C:$C,$AJ31,'2023년 신조차 고장관리 세부현황'!$L:$L,'처리 현황'!BD$29)</f>
        <v>0</v>
      </c>
    </row>
    <row r="32" spans="1:68" x14ac:dyDescent="0.4">
      <c r="AH32" s="380"/>
      <c r="AI32" s="187">
        <v>1</v>
      </c>
      <c r="AJ32">
        <v>3</v>
      </c>
      <c r="AL32" s="187">
        <f>COUNTIFS('2023년 신조차 고장관리 세부현황'!$D:$D,"2023",'2023년 신조차 고장관리 세부현황'!$C:$C,$AJ32)</f>
        <v>1</v>
      </c>
      <c r="AM32" s="187">
        <f>COUNTIFS('2023년 신조차 고장관리 세부현황'!$D:$D,"2023",'2023년 신조차 고장관리 세부현황'!$C:$C,$AJ32,'2023년 신조차 고장관리 세부현황'!$V:$V,'처리 현황'!AM$29)</f>
        <v>1</v>
      </c>
      <c r="AN32" s="187">
        <f>COUNTIFS('2023년 신조차 고장관리 세부현황'!$D:$D,"2023",'2023년 신조차 고장관리 세부현황'!$C:$C,$AJ32,'2023년 신조차 고장관리 세부현황'!$V:$V,'처리 현황'!AN$29)</f>
        <v>0</v>
      </c>
      <c r="AO32" s="187">
        <f>COUNTIFS('2023년 신조차 고장관리 세부현황'!$D:$D,"2023",'2023년 신조차 고장관리 세부현황'!$C:$C,$AJ32,'2023년 신조차 고장관리 세부현황'!$V:$V,'처리 현황'!AO$29)</f>
        <v>0</v>
      </c>
      <c r="AP32" s="187">
        <f>COUNTIFS('2023년 신조차 고장관리 세부현황'!$D:$D,"2023",'2023년 신조차 고장관리 세부현황'!$C:$C,$AJ32,'2023년 신조차 고장관리 세부현황'!$V:$V,'처리 현황'!AP$29)</f>
        <v>0</v>
      </c>
      <c r="AQ32" s="187">
        <f>COUNTIFS('2023년 신조차 고장관리 세부현황'!$D:$D,"2023",'2023년 신조차 고장관리 세부현황'!$C:$C,$AJ32,'2023년 신조차 고장관리 세부현황'!$V:$V,'처리 현황'!AQ$29)</f>
        <v>0</v>
      </c>
      <c r="AR32" s="190">
        <f t="shared" si="7"/>
        <v>0</v>
      </c>
      <c r="AX32" s="187">
        <f>COUNTIFS('2023년 신조차 고장관리 세부현황'!$D:$D,"2023",'2023년 신조차 고장관리 세부현황'!$C:$C,$AJ32,'2023년 신조차 고장관리 세부현황'!$L:$L,'처리 현황'!AX$29)</f>
        <v>0</v>
      </c>
      <c r="AY32" s="187">
        <f>COUNTIFS('2023년 신조차 고장관리 세부현황'!$D:$D,"2023",'2023년 신조차 고장관리 세부현황'!$C:$C,$AJ32,'2023년 신조차 고장관리 세부현황'!$L:$L,'처리 현황'!AY$29)</f>
        <v>0</v>
      </c>
      <c r="AZ32" s="187">
        <f>COUNTIFS('2023년 신조차 고장관리 세부현황'!$D:$D,"2023",'2023년 신조차 고장관리 세부현황'!$C:$C,$AJ32,'2023년 신조차 고장관리 세부현황'!$L:$L,'처리 현황'!AZ$29)</f>
        <v>0</v>
      </c>
      <c r="BA32" s="187">
        <f>COUNTIFS('2023년 신조차 고장관리 세부현황'!$D:$D,"2023",'2023년 신조차 고장관리 세부현황'!$C:$C,$AJ32,'2023년 신조차 고장관리 세부현황'!$L:$L,'처리 현황'!BA$29)</f>
        <v>0</v>
      </c>
      <c r="BB32" s="187">
        <f>COUNTIFS('2023년 신조차 고장관리 세부현황'!$D:$D,"2023",'2023년 신조차 고장관리 세부현황'!$C:$C,$AJ32,'2023년 신조차 고장관리 세부현황'!$L:$L,'처리 현황'!BB$29)</f>
        <v>1</v>
      </c>
      <c r="BC32" s="187">
        <f>COUNTIFS('2023년 신조차 고장관리 세부현황'!$D:$D,"2023",'2023년 신조차 고장관리 세부현황'!$C:$C,$AJ32,'2023년 신조차 고장관리 세부현황'!$L:$L,'처리 현황'!BC$29)</f>
        <v>0</v>
      </c>
      <c r="BD32" s="187">
        <f>COUNTIFS('2023년 신조차 고장관리 세부현황'!$D:$D,"2023",'2023년 신조차 고장관리 세부현황'!$C:$C,$AJ32,'2023년 신조차 고장관리 세부현황'!$L:$L,'처리 현황'!BD$29)</f>
        <v>0</v>
      </c>
    </row>
    <row r="33" spans="34:70" x14ac:dyDescent="0.4">
      <c r="AH33" s="380"/>
      <c r="AI33" s="187">
        <v>1</v>
      </c>
      <c r="AJ33">
        <v>4</v>
      </c>
      <c r="AL33" s="187">
        <f>COUNTIFS('2023년 신조차 고장관리 세부현황'!$D:$D,"2023",'2023년 신조차 고장관리 세부현황'!$C:$C,$AJ33)</f>
        <v>0</v>
      </c>
      <c r="AM33" s="187">
        <f>COUNTIFS('2023년 신조차 고장관리 세부현황'!$D:$D,"2023",'2023년 신조차 고장관리 세부현황'!$C:$C,$AJ33,'2023년 신조차 고장관리 세부현황'!$V:$V,'처리 현황'!AM$29)</f>
        <v>0</v>
      </c>
      <c r="AN33" s="187">
        <f>COUNTIFS('2023년 신조차 고장관리 세부현황'!$D:$D,"2023",'2023년 신조차 고장관리 세부현황'!$C:$C,$AJ33,'2023년 신조차 고장관리 세부현황'!$V:$V,'처리 현황'!AN$29)</f>
        <v>0</v>
      </c>
      <c r="AO33" s="187">
        <f>COUNTIFS('2023년 신조차 고장관리 세부현황'!$D:$D,"2023",'2023년 신조차 고장관리 세부현황'!$C:$C,$AJ33,'2023년 신조차 고장관리 세부현황'!$V:$V,'처리 현황'!AO$29)</f>
        <v>0</v>
      </c>
      <c r="AP33" s="187">
        <f>COUNTIFS('2023년 신조차 고장관리 세부현황'!$D:$D,"2023",'2023년 신조차 고장관리 세부현황'!$C:$C,$AJ33,'2023년 신조차 고장관리 세부현황'!$V:$V,'처리 현황'!AP$29)</f>
        <v>0</v>
      </c>
      <c r="AQ33" s="187">
        <f>COUNTIFS('2023년 신조차 고장관리 세부현황'!$D:$D,"2023",'2023년 신조차 고장관리 세부현황'!$C:$C,$AJ33,'2023년 신조차 고장관리 세부현황'!$V:$V,'처리 현황'!AQ$29)</f>
        <v>0</v>
      </c>
      <c r="AR33" s="190">
        <f t="shared" si="7"/>
        <v>0</v>
      </c>
      <c r="AX33" s="187">
        <f>COUNTIFS('2023년 신조차 고장관리 세부현황'!$D:$D,"2023",'2023년 신조차 고장관리 세부현황'!$C:$C,$AJ33,'2023년 신조차 고장관리 세부현황'!$L:$L,'처리 현황'!AX$29)</f>
        <v>0</v>
      </c>
      <c r="AY33" s="187">
        <f>COUNTIFS('2023년 신조차 고장관리 세부현황'!$D:$D,"2023",'2023년 신조차 고장관리 세부현황'!$C:$C,$AJ33,'2023년 신조차 고장관리 세부현황'!$L:$L,'처리 현황'!AY$29)</f>
        <v>0</v>
      </c>
      <c r="AZ33" s="187">
        <f>COUNTIFS('2023년 신조차 고장관리 세부현황'!$D:$D,"2023",'2023년 신조차 고장관리 세부현황'!$C:$C,$AJ33,'2023년 신조차 고장관리 세부현황'!$L:$L,'처리 현황'!AZ$29)</f>
        <v>0</v>
      </c>
      <c r="BA33" s="187">
        <f>COUNTIFS('2023년 신조차 고장관리 세부현황'!$D:$D,"2023",'2023년 신조차 고장관리 세부현황'!$C:$C,$AJ33,'2023년 신조차 고장관리 세부현황'!$L:$L,'처리 현황'!BA$29)</f>
        <v>0</v>
      </c>
      <c r="BB33" s="187">
        <f>COUNTIFS('2023년 신조차 고장관리 세부현황'!$D:$D,"2023",'2023년 신조차 고장관리 세부현황'!$C:$C,$AJ33,'2023년 신조차 고장관리 세부현황'!$L:$L,'처리 현황'!BB$29)</f>
        <v>0</v>
      </c>
      <c r="BC33" s="187">
        <f>COUNTIFS('2023년 신조차 고장관리 세부현황'!$D:$D,"2023",'2023년 신조차 고장관리 세부현황'!$C:$C,$AJ33,'2023년 신조차 고장관리 세부현황'!$L:$L,'처리 현황'!BC$29)</f>
        <v>0</v>
      </c>
      <c r="BD33" s="187">
        <f>COUNTIFS('2023년 신조차 고장관리 세부현황'!$D:$D,"2023",'2023년 신조차 고장관리 세부현황'!$C:$C,$AJ33,'2023년 신조차 고장관리 세부현황'!$L:$L,'처리 현황'!BD$29)</f>
        <v>0</v>
      </c>
    </row>
    <row r="34" spans="34:70" x14ac:dyDescent="0.4">
      <c r="AH34" s="380"/>
      <c r="AI34" s="187">
        <v>2</v>
      </c>
      <c r="AJ34">
        <v>5</v>
      </c>
      <c r="AL34" s="187">
        <f>COUNTIFS('2023년 신조차 고장관리 세부현황'!$D:$D,"2023",'2023년 신조차 고장관리 세부현황'!$C:$C,$AJ34)</f>
        <v>1</v>
      </c>
      <c r="AM34" s="187">
        <f>COUNTIFS('2023년 신조차 고장관리 세부현황'!$D:$D,"2023",'2023년 신조차 고장관리 세부현황'!$C:$C,$AJ34,'2023년 신조차 고장관리 세부현황'!$V:$V,'처리 현황'!AM$29)</f>
        <v>1</v>
      </c>
      <c r="AN34" s="187">
        <f>COUNTIFS('2023년 신조차 고장관리 세부현황'!$D:$D,"2023",'2023년 신조차 고장관리 세부현황'!$C:$C,$AJ34,'2023년 신조차 고장관리 세부현황'!$V:$V,'처리 현황'!AN$29)</f>
        <v>0</v>
      </c>
      <c r="AO34" s="187">
        <f>COUNTIFS('2023년 신조차 고장관리 세부현황'!$D:$D,"2023",'2023년 신조차 고장관리 세부현황'!$C:$C,$AJ34,'2023년 신조차 고장관리 세부현황'!$V:$V,'처리 현황'!AO$29)</f>
        <v>0</v>
      </c>
      <c r="AP34" s="187">
        <f>COUNTIFS('2023년 신조차 고장관리 세부현황'!$D:$D,"2023",'2023년 신조차 고장관리 세부현황'!$C:$C,$AJ34,'2023년 신조차 고장관리 세부현황'!$V:$V,'처리 현황'!AP$29)</f>
        <v>0</v>
      </c>
      <c r="AQ34" s="187">
        <f>COUNTIFS('2023년 신조차 고장관리 세부현황'!$D:$D,"2023",'2023년 신조차 고장관리 세부현황'!$C:$C,$AJ34,'2023년 신조차 고장관리 세부현황'!$V:$V,'처리 현황'!AQ$29)</f>
        <v>0</v>
      </c>
      <c r="AR34" s="190">
        <f t="shared" si="7"/>
        <v>0</v>
      </c>
      <c r="AX34" s="187">
        <f>COUNTIFS('2023년 신조차 고장관리 세부현황'!$D:$D,"2023",'2023년 신조차 고장관리 세부현황'!$C:$C,$AJ34,'2023년 신조차 고장관리 세부현황'!$L:$L,'처리 현황'!AX$29)</f>
        <v>0</v>
      </c>
      <c r="AY34" s="187">
        <f>COUNTIFS('2023년 신조차 고장관리 세부현황'!$D:$D,"2023",'2023년 신조차 고장관리 세부현황'!$C:$C,$AJ34,'2023년 신조차 고장관리 세부현황'!$L:$L,'처리 현황'!AY$29)</f>
        <v>0</v>
      </c>
      <c r="AZ34" s="187">
        <f>COUNTIFS('2023년 신조차 고장관리 세부현황'!$D:$D,"2023",'2023년 신조차 고장관리 세부현황'!$C:$C,$AJ34,'2023년 신조차 고장관리 세부현황'!$L:$L,'처리 현황'!AZ$29)</f>
        <v>0</v>
      </c>
      <c r="BA34" s="187">
        <f>COUNTIFS('2023년 신조차 고장관리 세부현황'!$D:$D,"2023",'2023년 신조차 고장관리 세부현황'!$C:$C,$AJ34,'2023년 신조차 고장관리 세부현황'!$L:$L,'처리 현황'!BA$29)</f>
        <v>0</v>
      </c>
      <c r="BB34" s="187">
        <f>COUNTIFS('2023년 신조차 고장관리 세부현황'!$D:$D,"2023",'2023년 신조차 고장관리 세부현황'!$C:$C,$AJ34,'2023년 신조차 고장관리 세부현황'!$L:$L,'처리 현황'!BB$29)</f>
        <v>0</v>
      </c>
      <c r="BC34" s="187">
        <f>COUNTIFS('2023년 신조차 고장관리 세부현황'!$D:$D,"2023",'2023년 신조차 고장관리 세부현황'!$C:$C,$AJ34,'2023년 신조차 고장관리 세부현황'!$L:$L,'처리 현황'!BC$29)</f>
        <v>1</v>
      </c>
      <c r="BD34" s="187">
        <f>COUNTIFS('2023년 신조차 고장관리 세부현황'!$D:$D,"2023",'2023년 신조차 고장관리 세부현황'!$C:$C,$AJ34,'2023년 신조차 고장관리 세부현황'!$L:$L,'처리 현황'!BD$29)</f>
        <v>0</v>
      </c>
    </row>
    <row r="35" spans="34:70" x14ac:dyDescent="0.4">
      <c r="AH35" s="380"/>
      <c r="AI35" s="187">
        <v>2</v>
      </c>
      <c r="AJ35">
        <v>6</v>
      </c>
      <c r="AL35" s="187">
        <f>COUNTIFS('2023년 신조차 고장관리 세부현황'!$D:$D,"2023",'2023년 신조차 고장관리 세부현황'!$C:$C,$AJ35)</f>
        <v>1</v>
      </c>
      <c r="AM35" s="187">
        <f>COUNTIFS('2023년 신조차 고장관리 세부현황'!$D:$D,"2023",'2023년 신조차 고장관리 세부현황'!$C:$C,$AJ35,'2023년 신조차 고장관리 세부현황'!$V:$V,'처리 현황'!AM$29)</f>
        <v>1</v>
      </c>
      <c r="AN35" s="187">
        <f>COUNTIFS('2023년 신조차 고장관리 세부현황'!$D:$D,"2023",'2023년 신조차 고장관리 세부현황'!$C:$C,$AJ35,'2023년 신조차 고장관리 세부현황'!$V:$V,'처리 현황'!AN$29)</f>
        <v>0</v>
      </c>
      <c r="AO35" s="187">
        <f>COUNTIFS('2023년 신조차 고장관리 세부현황'!$D:$D,"2023",'2023년 신조차 고장관리 세부현황'!$C:$C,$AJ35,'2023년 신조차 고장관리 세부현황'!$V:$V,'처리 현황'!AO$29)</f>
        <v>0</v>
      </c>
      <c r="AP35" s="187">
        <f>COUNTIFS('2023년 신조차 고장관리 세부현황'!$D:$D,"2023",'2023년 신조차 고장관리 세부현황'!$C:$C,$AJ35,'2023년 신조차 고장관리 세부현황'!$V:$V,'처리 현황'!AP$29)</f>
        <v>0</v>
      </c>
      <c r="AQ35" s="187">
        <f>COUNTIFS('2023년 신조차 고장관리 세부현황'!$D:$D,"2023",'2023년 신조차 고장관리 세부현황'!$C:$C,$AJ35,'2023년 신조차 고장관리 세부현황'!$V:$V,'처리 현황'!AQ$29)</f>
        <v>0</v>
      </c>
      <c r="AR35" s="190">
        <f t="shared" si="7"/>
        <v>0</v>
      </c>
      <c r="AX35" s="187">
        <f>COUNTIFS('2023년 신조차 고장관리 세부현황'!$D:$D,"2023",'2023년 신조차 고장관리 세부현황'!$C:$C,$AJ35,'2023년 신조차 고장관리 세부현황'!$L:$L,'처리 현황'!AX$29)</f>
        <v>0</v>
      </c>
      <c r="AY35" s="187">
        <f>COUNTIFS('2023년 신조차 고장관리 세부현황'!$D:$D,"2023",'2023년 신조차 고장관리 세부현황'!$C:$C,$AJ35,'2023년 신조차 고장관리 세부현황'!$L:$L,'처리 현황'!AY$29)</f>
        <v>0</v>
      </c>
      <c r="AZ35" s="187">
        <f>COUNTIFS('2023년 신조차 고장관리 세부현황'!$D:$D,"2023",'2023년 신조차 고장관리 세부현황'!$C:$C,$AJ35,'2023년 신조차 고장관리 세부현황'!$L:$L,'처리 현황'!AZ$29)</f>
        <v>0</v>
      </c>
      <c r="BA35" s="187">
        <f>COUNTIFS('2023년 신조차 고장관리 세부현황'!$D:$D,"2023",'2023년 신조차 고장관리 세부현황'!$C:$C,$AJ35,'2023년 신조차 고장관리 세부현황'!$L:$L,'처리 현황'!BA$29)</f>
        <v>1</v>
      </c>
      <c r="BB35" s="187">
        <f>COUNTIFS('2023년 신조차 고장관리 세부현황'!$D:$D,"2023",'2023년 신조차 고장관리 세부현황'!$C:$C,$AJ35,'2023년 신조차 고장관리 세부현황'!$L:$L,'처리 현황'!BB$29)</f>
        <v>0</v>
      </c>
      <c r="BC35" s="187">
        <f>COUNTIFS('2023년 신조차 고장관리 세부현황'!$D:$D,"2023",'2023년 신조차 고장관리 세부현황'!$C:$C,$AJ35,'2023년 신조차 고장관리 세부현황'!$L:$L,'처리 현황'!BC$29)</f>
        <v>0</v>
      </c>
      <c r="BD35" s="187">
        <f>COUNTIFS('2023년 신조차 고장관리 세부현황'!$D:$D,"2023",'2023년 신조차 고장관리 세부현황'!$C:$C,$AJ35,'2023년 신조차 고장관리 세부현황'!$L:$L,'처리 현황'!BD$29)</f>
        <v>0</v>
      </c>
      <c r="BJ35" s="114" t="s">
        <v>192</v>
      </c>
      <c r="BK35" s="114" t="s">
        <v>191</v>
      </c>
      <c r="BL35" s="198" t="s">
        <v>328</v>
      </c>
      <c r="BM35" s="199" t="s">
        <v>329</v>
      </c>
      <c r="BN35" s="199" t="s">
        <v>331</v>
      </c>
      <c r="BO35" s="199" t="s">
        <v>85</v>
      </c>
      <c r="BP35" s="199" t="s">
        <v>281</v>
      </c>
      <c r="BQ35" s="199" t="s">
        <v>324</v>
      </c>
      <c r="BR35" s="199" t="s">
        <v>84</v>
      </c>
    </row>
    <row r="36" spans="34:70" x14ac:dyDescent="0.4">
      <c r="AH36" s="380"/>
      <c r="AI36" s="187">
        <v>2</v>
      </c>
      <c r="AJ36">
        <v>7</v>
      </c>
      <c r="AL36" s="187">
        <f>COUNTIFS('2023년 신조차 고장관리 세부현황'!$D:$D,"2023",'2023년 신조차 고장관리 세부현황'!$C:$C,$AJ36)</f>
        <v>2</v>
      </c>
      <c r="AM36" s="187">
        <f>COUNTIFS('2023년 신조차 고장관리 세부현황'!$D:$D,"2023",'2023년 신조차 고장관리 세부현황'!$C:$C,$AJ36,'2023년 신조차 고장관리 세부현황'!$V:$V,'처리 현황'!AM$29)</f>
        <v>2</v>
      </c>
      <c r="AN36" s="187">
        <f>COUNTIFS('2023년 신조차 고장관리 세부현황'!$D:$D,"2023",'2023년 신조차 고장관리 세부현황'!$C:$C,$AJ36,'2023년 신조차 고장관리 세부현황'!$V:$V,'처리 현황'!AN$29)</f>
        <v>0</v>
      </c>
      <c r="AO36" s="187">
        <f>COUNTIFS('2023년 신조차 고장관리 세부현황'!$D:$D,"2023",'2023년 신조차 고장관리 세부현황'!$C:$C,$AJ36,'2023년 신조차 고장관리 세부현황'!$V:$V,'처리 현황'!AO$29)</f>
        <v>0</v>
      </c>
      <c r="AP36" s="187">
        <f>COUNTIFS('2023년 신조차 고장관리 세부현황'!$D:$D,"2023",'2023년 신조차 고장관리 세부현황'!$C:$C,$AJ36,'2023년 신조차 고장관리 세부현황'!$V:$V,'처리 현황'!AP$29)</f>
        <v>0</v>
      </c>
      <c r="AQ36" s="187">
        <f>COUNTIFS('2023년 신조차 고장관리 세부현황'!$D:$D,"2023",'2023년 신조차 고장관리 세부현황'!$C:$C,$AJ36,'2023년 신조차 고장관리 세부현황'!$V:$V,'처리 현황'!AQ$29)</f>
        <v>0</v>
      </c>
      <c r="AR36" s="190">
        <f t="shared" si="7"/>
        <v>0</v>
      </c>
      <c r="AX36" s="187">
        <f>COUNTIFS('2023년 신조차 고장관리 세부현황'!$D:$D,"2023",'2023년 신조차 고장관리 세부현황'!$C:$C,$AJ36,'2023년 신조차 고장관리 세부현황'!$L:$L,'처리 현황'!AX$29)</f>
        <v>0</v>
      </c>
      <c r="AY36" s="187">
        <f>COUNTIFS('2023년 신조차 고장관리 세부현황'!$D:$D,"2023",'2023년 신조차 고장관리 세부현황'!$C:$C,$AJ36,'2023년 신조차 고장관리 세부현황'!$L:$L,'처리 현황'!AY$29)</f>
        <v>0</v>
      </c>
      <c r="AZ36" s="187">
        <f>COUNTIFS('2023년 신조차 고장관리 세부현황'!$D:$D,"2023",'2023년 신조차 고장관리 세부현황'!$C:$C,$AJ36,'2023년 신조차 고장관리 세부현황'!$L:$L,'처리 현황'!AZ$29)</f>
        <v>0</v>
      </c>
      <c r="BA36" s="187">
        <f>COUNTIFS('2023년 신조차 고장관리 세부현황'!$D:$D,"2023",'2023년 신조차 고장관리 세부현황'!$C:$C,$AJ36,'2023년 신조차 고장관리 세부현황'!$L:$L,'처리 현황'!BA$29)</f>
        <v>0</v>
      </c>
      <c r="BB36" s="187">
        <f>COUNTIFS('2023년 신조차 고장관리 세부현황'!$D:$D,"2023",'2023년 신조차 고장관리 세부현황'!$C:$C,$AJ36,'2023년 신조차 고장관리 세부현황'!$L:$L,'처리 현황'!BB$29)</f>
        <v>0</v>
      </c>
      <c r="BC36" s="187">
        <f>COUNTIFS('2023년 신조차 고장관리 세부현황'!$D:$D,"2023",'2023년 신조차 고장관리 세부현황'!$C:$C,$AJ36,'2023년 신조차 고장관리 세부현황'!$L:$L,'처리 현황'!BC$29)</f>
        <v>2</v>
      </c>
      <c r="BD36" s="187">
        <f>COUNTIFS('2023년 신조차 고장관리 세부현황'!$D:$D,"2023",'2023년 신조차 고장관리 세부현황'!$C:$C,$AJ36,'2023년 신조차 고장관리 세부현황'!$L:$L,'처리 현황'!BD$29)</f>
        <v>0</v>
      </c>
      <c r="BJ36" s="197">
        <v>1</v>
      </c>
      <c r="BK36">
        <v>97</v>
      </c>
      <c r="BL36">
        <v>20</v>
      </c>
      <c r="BM36">
        <v>5</v>
      </c>
      <c r="BN36">
        <v>13</v>
      </c>
      <c r="BO36">
        <v>4</v>
      </c>
      <c r="BP36">
        <v>1</v>
      </c>
      <c r="BQ36">
        <v>1</v>
      </c>
      <c r="BR36">
        <v>1</v>
      </c>
    </row>
    <row r="37" spans="34:70" x14ac:dyDescent="0.4">
      <c r="AH37" s="380"/>
      <c r="AI37" s="187">
        <v>2</v>
      </c>
      <c r="AJ37">
        <v>8</v>
      </c>
      <c r="AL37" s="187">
        <f>COUNTIFS('2023년 신조차 고장관리 세부현황'!$D:$D,"2023",'2023년 신조차 고장관리 세부현황'!$C:$C,$AJ37)</f>
        <v>2</v>
      </c>
      <c r="AM37" s="187">
        <f>COUNTIFS('2023년 신조차 고장관리 세부현황'!$D:$D,"2023",'2023년 신조차 고장관리 세부현황'!$C:$C,$AJ37,'2023년 신조차 고장관리 세부현황'!$V:$V,'처리 현황'!AM$29)</f>
        <v>2</v>
      </c>
      <c r="AN37" s="187">
        <f>COUNTIFS('2023년 신조차 고장관리 세부현황'!$D:$D,"2023",'2023년 신조차 고장관리 세부현황'!$C:$C,$AJ37,'2023년 신조차 고장관리 세부현황'!$V:$V,'처리 현황'!AN$29)</f>
        <v>0</v>
      </c>
      <c r="AO37" s="187">
        <f>COUNTIFS('2023년 신조차 고장관리 세부현황'!$D:$D,"2023",'2023년 신조차 고장관리 세부현황'!$C:$C,$AJ37,'2023년 신조차 고장관리 세부현황'!$V:$V,'처리 현황'!AO$29)</f>
        <v>0</v>
      </c>
      <c r="AP37" s="187">
        <f>COUNTIFS('2023년 신조차 고장관리 세부현황'!$D:$D,"2023",'2023년 신조차 고장관리 세부현황'!$C:$C,$AJ37,'2023년 신조차 고장관리 세부현황'!$V:$V,'처리 현황'!AP$29)</f>
        <v>0</v>
      </c>
      <c r="AQ37" s="187">
        <f>COUNTIFS('2023년 신조차 고장관리 세부현황'!$D:$D,"2023",'2023년 신조차 고장관리 세부현황'!$C:$C,$AJ37,'2023년 신조차 고장관리 세부현황'!$V:$V,'처리 현황'!AQ$29)</f>
        <v>0</v>
      </c>
      <c r="AR37" s="190">
        <f t="shared" si="7"/>
        <v>0</v>
      </c>
      <c r="AX37" s="187">
        <f>COUNTIFS('2023년 신조차 고장관리 세부현황'!$D:$D,"2023",'2023년 신조차 고장관리 세부현황'!$C:$C,$AJ37,'2023년 신조차 고장관리 세부현황'!$L:$L,'처리 현황'!AX$29)</f>
        <v>0</v>
      </c>
      <c r="AY37" s="187">
        <f>COUNTIFS('2023년 신조차 고장관리 세부현황'!$D:$D,"2023",'2023년 신조차 고장관리 세부현황'!$C:$C,$AJ37,'2023년 신조차 고장관리 세부현황'!$L:$L,'처리 현황'!AY$29)</f>
        <v>0</v>
      </c>
      <c r="AZ37" s="187">
        <f>COUNTIFS('2023년 신조차 고장관리 세부현황'!$D:$D,"2023",'2023년 신조차 고장관리 세부현황'!$C:$C,$AJ37,'2023년 신조차 고장관리 세부현황'!$L:$L,'처리 현황'!AZ$29)</f>
        <v>1</v>
      </c>
      <c r="BA37" s="187">
        <f>COUNTIFS('2023년 신조차 고장관리 세부현황'!$D:$D,"2023",'2023년 신조차 고장관리 세부현황'!$C:$C,$AJ37,'2023년 신조차 고장관리 세부현황'!$L:$L,'처리 현황'!BA$29)</f>
        <v>1</v>
      </c>
      <c r="BB37" s="187">
        <f>COUNTIFS('2023년 신조차 고장관리 세부현황'!$D:$D,"2023",'2023년 신조차 고장관리 세부현황'!$C:$C,$AJ37,'2023년 신조차 고장관리 세부현황'!$L:$L,'처리 현황'!BB$29)</f>
        <v>0</v>
      </c>
      <c r="BC37" s="187">
        <f>COUNTIFS('2023년 신조차 고장관리 세부현황'!$D:$D,"2023",'2023년 신조차 고장관리 세부현황'!$C:$C,$AJ37,'2023년 신조차 고장관리 세부현황'!$L:$L,'처리 현황'!BC$29)</f>
        <v>0</v>
      </c>
      <c r="BD37" s="187">
        <f>COUNTIFS('2023년 신조차 고장관리 세부현황'!$D:$D,"2023",'2023년 신조차 고장관리 세부현황'!$C:$C,$AJ37,'2023년 신조차 고장관리 세부현황'!$L:$L,'처리 현황'!BD$29)</f>
        <v>0</v>
      </c>
      <c r="BJ37" s="197">
        <v>2</v>
      </c>
      <c r="BK37">
        <v>94</v>
      </c>
      <c r="BL37">
        <v>14</v>
      </c>
      <c r="BM37">
        <v>0</v>
      </c>
      <c r="BN37">
        <v>12</v>
      </c>
      <c r="BO37">
        <v>1</v>
      </c>
      <c r="BP37">
        <v>4</v>
      </c>
      <c r="BQ37">
        <v>2</v>
      </c>
      <c r="BR37">
        <v>0</v>
      </c>
    </row>
    <row r="38" spans="34:70" x14ac:dyDescent="0.4">
      <c r="AH38" s="380"/>
      <c r="AI38" s="187">
        <v>3</v>
      </c>
      <c r="AJ38">
        <v>9</v>
      </c>
      <c r="AL38" s="187">
        <f>COUNTIFS('2023년 신조차 고장관리 세부현황'!$D:$D,"2023",'2023년 신조차 고장관리 세부현황'!$C:$C,$AJ38)</f>
        <v>1</v>
      </c>
      <c r="AM38" s="187">
        <f>COUNTIFS('2023년 신조차 고장관리 세부현황'!$D:$D,"2023",'2023년 신조차 고장관리 세부현황'!$C:$C,$AJ38,'2023년 신조차 고장관리 세부현황'!$V:$V,'처리 현황'!AM$29)</f>
        <v>1</v>
      </c>
      <c r="AN38" s="187">
        <f>COUNTIFS('2023년 신조차 고장관리 세부현황'!$D:$D,"2023",'2023년 신조차 고장관리 세부현황'!$C:$C,$AJ38,'2023년 신조차 고장관리 세부현황'!$V:$V,'처리 현황'!AN$29)</f>
        <v>0</v>
      </c>
      <c r="AO38" s="187">
        <f>COUNTIFS('2023년 신조차 고장관리 세부현황'!$D:$D,"2023",'2023년 신조차 고장관리 세부현황'!$C:$C,$AJ38,'2023년 신조차 고장관리 세부현황'!$V:$V,'처리 현황'!AO$29)</f>
        <v>0</v>
      </c>
      <c r="AP38" s="187">
        <f>COUNTIFS('2023년 신조차 고장관리 세부현황'!$D:$D,"2023",'2023년 신조차 고장관리 세부현황'!$C:$C,$AJ38,'2023년 신조차 고장관리 세부현황'!$V:$V,'처리 현황'!AP$29)</f>
        <v>0</v>
      </c>
      <c r="AQ38" s="187">
        <f>COUNTIFS('2023년 신조차 고장관리 세부현황'!$D:$D,"2023",'2023년 신조차 고장관리 세부현황'!$C:$C,$AJ38,'2023년 신조차 고장관리 세부현황'!$V:$V,'처리 현황'!AQ$29)</f>
        <v>0</v>
      </c>
      <c r="AR38" s="190">
        <f t="shared" si="7"/>
        <v>0</v>
      </c>
      <c r="AX38" s="187">
        <f>COUNTIFS('2023년 신조차 고장관리 세부현황'!$D:$D,"2023",'2023년 신조차 고장관리 세부현황'!$C:$C,$AJ38,'2023년 신조차 고장관리 세부현황'!$L:$L,'처리 현황'!AX$29)</f>
        <v>0</v>
      </c>
      <c r="AY38" s="187">
        <f>COUNTIFS('2023년 신조차 고장관리 세부현황'!$D:$D,"2023",'2023년 신조차 고장관리 세부현황'!$C:$C,$AJ38,'2023년 신조차 고장관리 세부현황'!$L:$L,'처리 현황'!AY$29)</f>
        <v>0</v>
      </c>
      <c r="AZ38" s="187">
        <f>COUNTIFS('2023년 신조차 고장관리 세부현황'!$D:$D,"2023",'2023년 신조차 고장관리 세부현황'!$C:$C,$AJ38,'2023년 신조차 고장관리 세부현황'!$L:$L,'처리 현황'!AZ$29)</f>
        <v>0</v>
      </c>
      <c r="BA38" s="187">
        <f>COUNTIFS('2023년 신조차 고장관리 세부현황'!$D:$D,"2023",'2023년 신조차 고장관리 세부현황'!$C:$C,$AJ38,'2023년 신조차 고장관리 세부현황'!$L:$L,'처리 현황'!BA$29)</f>
        <v>1</v>
      </c>
      <c r="BB38" s="187">
        <f>COUNTIFS('2023년 신조차 고장관리 세부현황'!$D:$D,"2023",'2023년 신조차 고장관리 세부현황'!$C:$C,$AJ38,'2023년 신조차 고장관리 세부현황'!$L:$L,'처리 현황'!BB$29)</f>
        <v>0</v>
      </c>
      <c r="BC38" s="187">
        <f>COUNTIFS('2023년 신조차 고장관리 세부현황'!$D:$D,"2023",'2023년 신조차 고장관리 세부현황'!$C:$C,$AJ38,'2023년 신조차 고장관리 세부현황'!$L:$L,'처리 현황'!BC$29)</f>
        <v>0</v>
      </c>
      <c r="BD38" s="187">
        <f>COUNTIFS('2023년 신조차 고장관리 세부현황'!$D:$D,"2023",'2023년 신조차 고장관리 세부현황'!$C:$C,$AJ38,'2023년 신조차 고장관리 세부현황'!$L:$L,'처리 현황'!BD$29)</f>
        <v>0</v>
      </c>
      <c r="BJ38" s="197">
        <v>3</v>
      </c>
      <c r="BK38">
        <v>93</v>
      </c>
      <c r="BL38">
        <v>10</v>
      </c>
      <c r="BM38">
        <v>0</v>
      </c>
      <c r="BN38">
        <v>9</v>
      </c>
      <c r="BO38">
        <v>3</v>
      </c>
      <c r="BP38">
        <v>1</v>
      </c>
      <c r="BQ38">
        <v>3</v>
      </c>
      <c r="BR38">
        <v>7</v>
      </c>
    </row>
    <row r="39" spans="34:70" x14ac:dyDescent="0.4">
      <c r="AH39" s="380"/>
      <c r="AI39" s="187">
        <v>3</v>
      </c>
      <c r="AJ39">
        <v>10</v>
      </c>
      <c r="AL39" s="187">
        <f>COUNTIFS('2023년 신조차 고장관리 세부현황'!$D:$D,"2023",'2023년 신조차 고장관리 세부현황'!$C:$C,$AJ39)</f>
        <v>1</v>
      </c>
      <c r="AM39" s="187">
        <f>COUNTIFS('2023년 신조차 고장관리 세부현황'!$D:$D,"2023",'2023년 신조차 고장관리 세부현황'!$C:$C,$AJ39,'2023년 신조차 고장관리 세부현황'!$V:$V,'처리 현황'!AM$29)</f>
        <v>1</v>
      </c>
      <c r="AN39" s="187">
        <f>COUNTIFS('2023년 신조차 고장관리 세부현황'!$D:$D,"2023",'2023년 신조차 고장관리 세부현황'!$C:$C,$AJ39,'2023년 신조차 고장관리 세부현황'!$V:$V,'처리 현황'!AN$29)</f>
        <v>0</v>
      </c>
      <c r="AO39" s="187">
        <f>COUNTIFS('2023년 신조차 고장관리 세부현황'!$D:$D,"2023",'2023년 신조차 고장관리 세부현황'!$C:$C,$AJ39,'2023년 신조차 고장관리 세부현황'!$V:$V,'처리 현황'!AO$29)</f>
        <v>0</v>
      </c>
      <c r="AP39" s="187">
        <f>COUNTIFS('2023년 신조차 고장관리 세부현황'!$D:$D,"2023",'2023년 신조차 고장관리 세부현황'!$C:$C,$AJ39,'2023년 신조차 고장관리 세부현황'!$V:$V,'처리 현황'!AP$29)</f>
        <v>0</v>
      </c>
      <c r="AQ39" s="187">
        <f>COUNTIFS('2023년 신조차 고장관리 세부현황'!$D:$D,"2023",'2023년 신조차 고장관리 세부현황'!$C:$C,$AJ39,'2023년 신조차 고장관리 세부현황'!$V:$V,'처리 현황'!AQ$29)</f>
        <v>0</v>
      </c>
      <c r="AR39" s="190">
        <f t="shared" si="7"/>
        <v>0</v>
      </c>
      <c r="AX39" s="187">
        <f>COUNTIFS('2023년 신조차 고장관리 세부현황'!$D:$D,"2023",'2023년 신조차 고장관리 세부현황'!$C:$C,$AJ39,'2023년 신조차 고장관리 세부현황'!$L:$L,'처리 현황'!AX$29)</f>
        <v>0</v>
      </c>
      <c r="AY39" s="187">
        <f>COUNTIFS('2023년 신조차 고장관리 세부현황'!$D:$D,"2023",'2023년 신조차 고장관리 세부현황'!$C:$C,$AJ39,'2023년 신조차 고장관리 세부현황'!$L:$L,'처리 현황'!AY$29)</f>
        <v>0</v>
      </c>
      <c r="AZ39" s="187">
        <f>COUNTIFS('2023년 신조차 고장관리 세부현황'!$D:$D,"2023",'2023년 신조차 고장관리 세부현황'!$C:$C,$AJ39,'2023년 신조차 고장관리 세부현황'!$L:$L,'처리 현황'!AZ$29)</f>
        <v>0</v>
      </c>
      <c r="BA39" s="187">
        <f>COUNTIFS('2023년 신조차 고장관리 세부현황'!$D:$D,"2023",'2023년 신조차 고장관리 세부현황'!$C:$C,$AJ39,'2023년 신조차 고장관리 세부현황'!$L:$L,'처리 현황'!BA$29)</f>
        <v>1</v>
      </c>
      <c r="BB39" s="187">
        <f>COUNTIFS('2023년 신조차 고장관리 세부현황'!$D:$D,"2023",'2023년 신조차 고장관리 세부현황'!$C:$C,$AJ39,'2023년 신조차 고장관리 세부현황'!$L:$L,'처리 현황'!BB$29)</f>
        <v>0</v>
      </c>
      <c r="BC39" s="187">
        <f>COUNTIFS('2023년 신조차 고장관리 세부현황'!$D:$D,"2023",'2023년 신조차 고장관리 세부현황'!$C:$C,$AJ39,'2023년 신조차 고장관리 세부현황'!$L:$L,'처리 현황'!BC$29)</f>
        <v>0</v>
      </c>
      <c r="BD39" s="187">
        <f>COUNTIFS('2023년 신조차 고장관리 세부현황'!$D:$D,"2023",'2023년 신조차 고장관리 세부현황'!$C:$C,$AJ39,'2023년 신조차 고장관리 세부현황'!$L:$L,'처리 현황'!BD$29)</f>
        <v>0</v>
      </c>
      <c r="BJ39" s="197">
        <v>4</v>
      </c>
      <c r="BK39">
        <v>108</v>
      </c>
      <c r="BL39">
        <v>4</v>
      </c>
      <c r="BM39">
        <v>2</v>
      </c>
      <c r="BN39">
        <v>10</v>
      </c>
      <c r="BO39">
        <v>4</v>
      </c>
      <c r="BP39">
        <v>0</v>
      </c>
      <c r="BQ39">
        <v>4</v>
      </c>
      <c r="BR39">
        <v>4</v>
      </c>
    </row>
    <row r="40" spans="34:70" x14ac:dyDescent="0.4">
      <c r="AH40" s="380"/>
      <c r="AI40" s="187">
        <v>3</v>
      </c>
      <c r="AJ40">
        <v>11</v>
      </c>
      <c r="AL40" s="187">
        <f>COUNTIFS('2023년 신조차 고장관리 세부현황'!$D:$D,"2023",'2023년 신조차 고장관리 세부현황'!$C:$C,$AJ40)</f>
        <v>5</v>
      </c>
      <c r="AM40" s="187">
        <f>COUNTIFS('2023년 신조차 고장관리 세부현황'!$D:$D,"2023",'2023년 신조차 고장관리 세부현황'!$C:$C,$AJ40,'2023년 신조차 고장관리 세부현황'!$V:$V,'처리 현황'!AM$29)</f>
        <v>5</v>
      </c>
      <c r="AN40" s="187">
        <f>COUNTIFS('2023년 신조차 고장관리 세부현황'!$D:$D,"2023",'2023년 신조차 고장관리 세부현황'!$C:$C,$AJ40,'2023년 신조차 고장관리 세부현황'!$V:$V,'처리 현황'!AN$29)</f>
        <v>0</v>
      </c>
      <c r="AO40" s="187">
        <f>COUNTIFS('2023년 신조차 고장관리 세부현황'!$D:$D,"2023",'2023년 신조차 고장관리 세부현황'!$C:$C,$AJ40,'2023년 신조차 고장관리 세부현황'!$V:$V,'처리 현황'!AO$29)</f>
        <v>0</v>
      </c>
      <c r="AP40" s="187">
        <f>COUNTIFS('2023년 신조차 고장관리 세부현황'!$D:$D,"2023",'2023년 신조차 고장관리 세부현황'!$C:$C,$AJ40,'2023년 신조차 고장관리 세부현황'!$V:$V,'처리 현황'!AP$29)</f>
        <v>0</v>
      </c>
      <c r="AQ40" s="187">
        <f>COUNTIFS('2023년 신조차 고장관리 세부현황'!$D:$D,"2023",'2023년 신조차 고장관리 세부현황'!$C:$C,$AJ40,'2023년 신조차 고장관리 세부현황'!$V:$V,'처리 현황'!AQ$29)</f>
        <v>0</v>
      </c>
      <c r="AR40" s="190">
        <f t="shared" si="7"/>
        <v>0</v>
      </c>
      <c r="AX40" s="187">
        <f>COUNTIFS('2023년 신조차 고장관리 세부현황'!$D:$D,"2023",'2023년 신조차 고장관리 세부현황'!$C:$C,$AJ40,'2023년 신조차 고장관리 세부현황'!$L:$L,'처리 현황'!AX$29)</f>
        <v>0</v>
      </c>
      <c r="AY40" s="187">
        <f>COUNTIFS('2023년 신조차 고장관리 세부현황'!$D:$D,"2023",'2023년 신조차 고장관리 세부현황'!$C:$C,$AJ40,'2023년 신조차 고장관리 세부현황'!$L:$L,'처리 현황'!AY$29)</f>
        <v>0</v>
      </c>
      <c r="AZ40" s="187">
        <f>COUNTIFS('2023년 신조차 고장관리 세부현황'!$D:$D,"2023",'2023년 신조차 고장관리 세부현황'!$C:$C,$AJ40,'2023년 신조차 고장관리 세부현황'!$L:$L,'처리 현황'!AZ$29)</f>
        <v>0</v>
      </c>
      <c r="BA40" s="187">
        <f>COUNTIFS('2023년 신조차 고장관리 세부현황'!$D:$D,"2023",'2023년 신조차 고장관리 세부현황'!$C:$C,$AJ40,'2023년 신조차 고장관리 세부현황'!$L:$L,'처리 현황'!BA$29)</f>
        <v>1</v>
      </c>
      <c r="BB40" s="187">
        <f>COUNTIFS('2023년 신조차 고장관리 세부현황'!$D:$D,"2023",'2023년 신조차 고장관리 세부현황'!$C:$C,$AJ40,'2023년 신조차 고장관리 세부현황'!$L:$L,'처리 현황'!BB$29)</f>
        <v>2</v>
      </c>
      <c r="BC40" s="187">
        <f>COUNTIFS('2023년 신조차 고장관리 세부현황'!$D:$D,"2023",'2023년 신조차 고장관리 세부현황'!$C:$C,$AJ40,'2023년 신조차 고장관리 세부현황'!$L:$L,'처리 현황'!BC$29)</f>
        <v>2</v>
      </c>
      <c r="BD40" s="187">
        <f>COUNTIFS('2023년 신조차 고장관리 세부현황'!$D:$D,"2023",'2023년 신조차 고장관리 세부현황'!$C:$C,$AJ40,'2023년 신조차 고장관리 세부현황'!$L:$L,'처리 현황'!BD$29)</f>
        <v>0</v>
      </c>
      <c r="BJ40" s="197">
        <v>5</v>
      </c>
      <c r="BK40">
        <v>139</v>
      </c>
      <c r="BL40">
        <v>3</v>
      </c>
      <c r="BM40">
        <v>1</v>
      </c>
      <c r="BN40">
        <v>15</v>
      </c>
      <c r="BO40">
        <v>3</v>
      </c>
      <c r="BP40">
        <v>2</v>
      </c>
      <c r="BQ40">
        <v>8</v>
      </c>
      <c r="BR40">
        <v>6</v>
      </c>
    </row>
    <row r="41" spans="34:70" x14ac:dyDescent="0.4">
      <c r="AH41" s="380"/>
      <c r="AI41" s="187">
        <v>3</v>
      </c>
      <c r="AJ41">
        <v>12</v>
      </c>
      <c r="AL41" s="187">
        <f>COUNTIFS('2023년 신조차 고장관리 세부현황'!$D:$D,"2023",'2023년 신조차 고장관리 세부현황'!$C:$C,$AJ41)</f>
        <v>0</v>
      </c>
      <c r="AM41" s="187">
        <f>COUNTIFS('2023년 신조차 고장관리 세부현황'!$D:$D,"2023",'2023년 신조차 고장관리 세부현황'!$C:$C,$AJ41,'2023년 신조차 고장관리 세부현황'!$V:$V,'처리 현황'!AM$29)</f>
        <v>0</v>
      </c>
      <c r="AN41" s="187">
        <f>COUNTIFS('2023년 신조차 고장관리 세부현황'!$D:$D,"2023",'2023년 신조차 고장관리 세부현황'!$C:$C,$AJ41,'2023년 신조차 고장관리 세부현황'!$V:$V,'처리 현황'!AN$29)</f>
        <v>0</v>
      </c>
      <c r="AO41" s="187">
        <f>COUNTIFS('2023년 신조차 고장관리 세부현황'!$D:$D,"2023",'2023년 신조차 고장관리 세부현황'!$C:$C,$AJ41,'2023년 신조차 고장관리 세부현황'!$V:$V,'처리 현황'!AO$29)</f>
        <v>0</v>
      </c>
      <c r="AP41" s="187">
        <f>COUNTIFS('2023년 신조차 고장관리 세부현황'!$D:$D,"2023",'2023년 신조차 고장관리 세부현황'!$C:$C,$AJ41,'2023년 신조차 고장관리 세부현황'!$V:$V,'처리 현황'!AP$29)</f>
        <v>0</v>
      </c>
      <c r="AQ41" s="187">
        <f>COUNTIFS('2023년 신조차 고장관리 세부현황'!$D:$D,"2023",'2023년 신조차 고장관리 세부현황'!$C:$C,$AJ41,'2023년 신조차 고장관리 세부현황'!$V:$V,'처리 현황'!AQ$29)</f>
        <v>0</v>
      </c>
      <c r="AR41" s="190">
        <f t="shared" si="7"/>
        <v>0</v>
      </c>
      <c r="AX41" s="187">
        <f>COUNTIFS('2023년 신조차 고장관리 세부현황'!$D:$D,"2023",'2023년 신조차 고장관리 세부현황'!$C:$C,$AJ41,'2023년 신조차 고장관리 세부현황'!$L:$L,'처리 현황'!AX$29)</f>
        <v>0</v>
      </c>
      <c r="AY41" s="187">
        <f>COUNTIFS('2023년 신조차 고장관리 세부현황'!$D:$D,"2023",'2023년 신조차 고장관리 세부현황'!$C:$C,$AJ41,'2023년 신조차 고장관리 세부현황'!$L:$L,'처리 현황'!AY$29)</f>
        <v>0</v>
      </c>
      <c r="AZ41" s="187">
        <f>COUNTIFS('2023년 신조차 고장관리 세부현황'!$D:$D,"2023",'2023년 신조차 고장관리 세부현황'!$C:$C,$AJ41,'2023년 신조차 고장관리 세부현황'!$L:$L,'처리 현황'!AZ$29)</f>
        <v>0</v>
      </c>
      <c r="BA41" s="187">
        <f>COUNTIFS('2023년 신조차 고장관리 세부현황'!$D:$D,"2023",'2023년 신조차 고장관리 세부현황'!$C:$C,$AJ41,'2023년 신조차 고장관리 세부현황'!$L:$L,'처리 현황'!BA$29)</f>
        <v>0</v>
      </c>
      <c r="BB41" s="187">
        <f>COUNTIFS('2023년 신조차 고장관리 세부현황'!$D:$D,"2023",'2023년 신조차 고장관리 세부현황'!$C:$C,$AJ41,'2023년 신조차 고장관리 세부현황'!$L:$L,'처리 현황'!BB$29)</f>
        <v>0</v>
      </c>
      <c r="BC41" s="187">
        <f>COUNTIFS('2023년 신조차 고장관리 세부현황'!$D:$D,"2023",'2023년 신조차 고장관리 세부현황'!$C:$C,$AJ41,'2023년 신조차 고장관리 세부현황'!$L:$L,'처리 현황'!BC$29)</f>
        <v>0</v>
      </c>
      <c r="BD41" s="187">
        <f>COUNTIFS('2023년 신조차 고장관리 세부현황'!$D:$D,"2023",'2023년 신조차 고장관리 세부현황'!$C:$C,$AJ41,'2023년 신조차 고장관리 세부현황'!$L:$L,'처리 현황'!BD$29)</f>
        <v>0</v>
      </c>
      <c r="BJ41" s="197">
        <v>6</v>
      </c>
      <c r="BK41">
        <v>106</v>
      </c>
      <c r="BL41">
        <v>5</v>
      </c>
      <c r="BM41">
        <v>1</v>
      </c>
      <c r="BN41">
        <v>7</v>
      </c>
      <c r="BO41">
        <v>2</v>
      </c>
      <c r="BP41">
        <v>0</v>
      </c>
      <c r="BQ41">
        <v>7</v>
      </c>
      <c r="BR41">
        <v>5</v>
      </c>
    </row>
    <row r="42" spans="34:70" x14ac:dyDescent="0.4">
      <c r="AI42" s="187">
        <v>4</v>
      </c>
      <c r="AJ42">
        <v>13</v>
      </c>
      <c r="AL42" s="187">
        <f>COUNTIFS('2023년 신조차 고장관리 세부현황'!$D:$D,"2023",'2023년 신조차 고장관리 세부현황'!$C:$C,$AJ42)</f>
        <v>0</v>
      </c>
      <c r="AM42" s="187">
        <f>COUNTIFS('2023년 신조차 고장관리 세부현황'!$D:$D,"2023",'2023년 신조차 고장관리 세부현황'!$C:$C,$AJ42,'2023년 신조차 고장관리 세부현황'!$V:$V,'처리 현황'!AM$29)</f>
        <v>0</v>
      </c>
      <c r="AN42" s="187">
        <f>COUNTIFS('2023년 신조차 고장관리 세부현황'!$D:$D,"2023",'2023년 신조차 고장관리 세부현황'!$C:$C,$AJ42,'2023년 신조차 고장관리 세부현황'!$V:$V,'처리 현황'!AN$29)</f>
        <v>0</v>
      </c>
      <c r="AO42" s="187">
        <f>COUNTIFS('2023년 신조차 고장관리 세부현황'!$D:$D,"2023",'2023년 신조차 고장관리 세부현황'!$C:$C,$AJ42,'2023년 신조차 고장관리 세부현황'!$V:$V,'처리 현황'!AO$29)</f>
        <v>0</v>
      </c>
      <c r="AP42" s="187">
        <f>COUNTIFS('2023년 신조차 고장관리 세부현황'!$D:$D,"2023",'2023년 신조차 고장관리 세부현황'!$C:$C,$AJ42,'2023년 신조차 고장관리 세부현황'!$V:$V,'처리 현황'!AP$29)</f>
        <v>0</v>
      </c>
      <c r="AQ42" s="187">
        <f>COUNTIFS('2023년 신조차 고장관리 세부현황'!$D:$D,"2023",'2023년 신조차 고장관리 세부현황'!$C:$C,$AJ42,'2023년 신조차 고장관리 세부현황'!$V:$V,'처리 현황'!AQ$29)</f>
        <v>0</v>
      </c>
      <c r="AR42" s="190">
        <f t="shared" si="7"/>
        <v>0</v>
      </c>
      <c r="AX42" s="187">
        <f>COUNTIFS('2023년 신조차 고장관리 세부현황'!$D:$D,"2023",'2023년 신조차 고장관리 세부현황'!$C:$C,$AJ42,'2023년 신조차 고장관리 세부현황'!$L:$L,'처리 현황'!AX$29)</f>
        <v>0</v>
      </c>
      <c r="AY42" s="187">
        <f>COUNTIFS('2023년 신조차 고장관리 세부현황'!$D:$D,"2023",'2023년 신조차 고장관리 세부현황'!$C:$C,$AJ42,'2023년 신조차 고장관리 세부현황'!$L:$L,'처리 현황'!AY$29)</f>
        <v>0</v>
      </c>
      <c r="AZ42" s="187">
        <f>COUNTIFS('2023년 신조차 고장관리 세부현황'!$D:$D,"2023",'2023년 신조차 고장관리 세부현황'!$C:$C,$AJ42,'2023년 신조차 고장관리 세부현황'!$L:$L,'처리 현황'!AZ$29)</f>
        <v>0</v>
      </c>
      <c r="BA42" s="187">
        <f>COUNTIFS('2023년 신조차 고장관리 세부현황'!$D:$D,"2023",'2023년 신조차 고장관리 세부현황'!$C:$C,$AJ42,'2023년 신조차 고장관리 세부현황'!$L:$L,'처리 현황'!BA$29)</f>
        <v>0</v>
      </c>
      <c r="BB42" s="187">
        <f>COUNTIFS('2023년 신조차 고장관리 세부현황'!$D:$D,"2023",'2023년 신조차 고장관리 세부현황'!$C:$C,$AJ42,'2023년 신조차 고장관리 세부현황'!$L:$L,'처리 현황'!BB$29)</f>
        <v>0</v>
      </c>
      <c r="BC42" s="187">
        <f>COUNTIFS('2023년 신조차 고장관리 세부현황'!$D:$D,"2023",'2023년 신조차 고장관리 세부현황'!$C:$C,$AJ42,'2023년 신조차 고장관리 세부현황'!$L:$L,'처리 현황'!BC$29)</f>
        <v>0</v>
      </c>
      <c r="BD42" s="187">
        <f>COUNTIFS('2023년 신조차 고장관리 세부현황'!$D:$D,"2023",'2023년 신조차 고장관리 세부현황'!$C:$C,$AJ42,'2023년 신조차 고장관리 세부현황'!$L:$L,'처리 현황'!BD$29)</f>
        <v>0</v>
      </c>
      <c r="BJ42" s="197">
        <v>7</v>
      </c>
      <c r="BK42">
        <v>117</v>
      </c>
      <c r="BL42">
        <v>12</v>
      </c>
      <c r="BM42">
        <v>0</v>
      </c>
      <c r="BN42">
        <v>0</v>
      </c>
      <c r="BO42">
        <v>0</v>
      </c>
      <c r="BP42">
        <v>1</v>
      </c>
      <c r="BQ42">
        <v>5</v>
      </c>
      <c r="BR42">
        <v>2</v>
      </c>
    </row>
    <row r="43" spans="34:70" x14ac:dyDescent="0.4">
      <c r="AI43" s="187">
        <v>4</v>
      </c>
      <c r="AJ43">
        <v>14</v>
      </c>
      <c r="AL43" s="187">
        <f>COUNTIFS('2023년 신조차 고장관리 세부현황'!$D:$D,"2023",'2023년 신조차 고장관리 세부현황'!$C:$C,$AJ43)</f>
        <v>4</v>
      </c>
      <c r="AM43" s="187">
        <f>COUNTIFS('2023년 신조차 고장관리 세부현황'!$D:$D,"2023",'2023년 신조차 고장관리 세부현황'!$C:$C,$AJ43,'2023년 신조차 고장관리 세부현황'!$V:$V,'처리 현황'!AM$29)</f>
        <v>4</v>
      </c>
      <c r="AN43" s="187">
        <f>COUNTIFS('2023년 신조차 고장관리 세부현황'!$D:$D,"2023",'2023년 신조차 고장관리 세부현황'!$C:$C,$AJ43,'2023년 신조차 고장관리 세부현황'!$V:$V,'처리 현황'!AN$29)</f>
        <v>0</v>
      </c>
      <c r="AO43" s="187">
        <f>COUNTIFS('2023년 신조차 고장관리 세부현황'!$D:$D,"2023",'2023년 신조차 고장관리 세부현황'!$C:$C,$AJ43,'2023년 신조차 고장관리 세부현황'!$V:$V,'처리 현황'!AO$29)</f>
        <v>0</v>
      </c>
      <c r="AP43" s="187">
        <f>COUNTIFS('2023년 신조차 고장관리 세부현황'!$D:$D,"2023",'2023년 신조차 고장관리 세부현황'!$C:$C,$AJ43,'2023년 신조차 고장관리 세부현황'!$V:$V,'처리 현황'!AP$29)</f>
        <v>0</v>
      </c>
      <c r="AQ43" s="187">
        <f>COUNTIFS('2023년 신조차 고장관리 세부현황'!$D:$D,"2023",'2023년 신조차 고장관리 세부현황'!$C:$C,$AJ43,'2023년 신조차 고장관리 세부현황'!$V:$V,'처리 현황'!AQ$29)</f>
        <v>0</v>
      </c>
      <c r="AR43" s="190">
        <f t="shared" si="7"/>
        <v>0</v>
      </c>
      <c r="AX43" s="187">
        <f>COUNTIFS('2023년 신조차 고장관리 세부현황'!$D:$D,"2023",'2023년 신조차 고장관리 세부현황'!$C:$C,$AJ43,'2023년 신조차 고장관리 세부현황'!$L:$L,'처리 현황'!AX$29)</f>
        <v>0</v>
      </c>
      <c r="AY43" s="187">
        <f>COUNTIFS('2023년 신조차 고장관리 세부현황'!$D:$D,"2023",'2023년 신조차 고장관리 세부현황'!$C:$C,$AJ43,'2023년 신조차 고장관리 세부현황'!$L:$L,'처리 현황'!AY$29)</f>
        <v>0</v>
      </c>
      <c r="AZ43" s="187">
        <f>COUNTIFS('2023년 신조차 고장관리 세부현황'!$D:$D,"2023",'2023년 신조차 고장관리 세부현황'!$C:$C,$AJ43,'2023년 신조차 고장관리 세부현황'!$L:$L,'처리 현황'!AZ$29)</f>
        <v>2</v>
      </c>
      <c r="BA43" s="187">
        <f>COUNTIFS('2023년 신조차 고장관리 세부현황'!$D:$D,"2023",'2023년 신조차 고장관리 세부현황'!$C:$C,$AJ43,'2023년 신조차 고장관리 세부현황'!$L:$L,'처리 현황'!BA$29)</f>
        <v>0</v>
      </c>
      <c r="BB43" s="187">
        <f>COUNTIFS('2023년 신조차 고장관리 세부현황'!$D:$D,"2023",'2023년 신조차 고장관리 세부현황'!$C:$C,$AJ43,'2023년 신조차 고장관리 세부현황'!$L:$L,'처리 현황'!BB$29)</f>
        <v>1</v>
      </c>
      <c r="BC43" s="187">
        <f>COUNTIFS('2023년 신조차 고장관리 세부현황'!$D:$D,"2023",'2023년 신조차 고장관리 세부현황'!$C:$C,$AJ43,'2023년 신조차 고장관리 세부현황'!$L:$L,'처리 현황'!BC$29)</f>
        <v>1</v>
      </c>
      <c r="BD43" s="187">
        <f>COUNTIFS('2023년 신조차 고장관리 세부현황'!$D:$D,"2023",'2023년 신조차 고장관리 세부현황'!$C:$C,$AJ43,'2023년 신조차 고장관리 세부현황'!$L:$L,'처리 현황'!BD$29)</f>
        <v>0</v>
      </c>
      <c r="BJ43" s="197">
        <v>8</v>
      </c>
      <c r="BK43">
        <v>142</v>
      </c>
      <c r="BL43">
        <v>3</v>
      </c>
      <c r="BM43">
        <v>0</v>
      </c>
      <c r="BN43">
        <v>0</v>
      </c>
      <c r="BO43">
        <v>0</v>
      </c>
      <c r="BP43">
        <v>1</v>
      </c>
      <c r="BQ43">
        <v>5</v>
      </c>
      <c r="BR43">
        <v>0</v>
      </c>
    </row>
    <row r="44" spans="34:70" x14ac:dyDescent="0.4">
      <c r="AI44" s="187">
        <v>4</v>
      </c>
      <c r="AJ44">
        <v>15</v>
      </c>
      <c r="AL44" s="187">
        <f>COUNTIFS('2023년 신조차 고장관리 세부현황'!$D:$D,"2023",'2023년 신조차 고장관리 세부현황'!$C:$C,$AJ44)</f>
        <v>5</v>
      </c>
      <c r="AM44" s="187">
        <f>COUNTIFS('2023년 신조차 고장관리 세부현황'!$D:$D,"2023",'2023년 신조차 고장관리 세부현황'!$C:$C,$AJ44,'2023년 신조차 고장관리 세부현황'!$V:$V,'처리 현황'!AM$29)</f>
        <v>5</v>
      </c>
      <c r="AN44" s="187">
        <f>COUNTIFS('2023년 신조차 고장관리 세부현황'!$D:$D,"2023",'2023년 신조차 고장관리 세부현황'!$C:$C,$AJ44,'2023년 신조차 고장관리 세부현황'!$V:$V,'처리 현황'!AN$29)</f>
        <v>0</v>
      </c>
      <c r="AO44" s="187">
        <f>COUNTIFS('2023년 신조차 고장관리 세부현황'!$D:$D,"2023",'2023년 신조차 고장관리 세부현황'!$C:$C,$AJ44,'2023년 신조차 고장관리 세부현황'!$V:$V,'처리 현황'!AO$29)</f>
        <v>0</v>
      </c>
      <c r="AP44" s="187">
        <f>COUNTIFS('2023년 신조차 고장관리 세부현황'!$D:$D,"2023",'2023년 신조차 고장관리 세부현황'!$C:$C,$AJ44,'2023년 신조차 고장관리 세부현황'!$V:$V,'처리 현황'!AP$29)</f>
        <v>0</v>
      </c>
      <c r="AQ44" s="187">
        <f>COUNTIFS('2023년 신조차 고장관리 세부현황'!$D:$D,"2023",'2023년 신조차 고장관리 세부현황'!$C:$C,$AJ44,'2023년 신조차 고장관리 세부현황'!$V:$V,'처리 현황'!AQ$29)</f>
        <v>0</v>
      </c>
      <c r="AR44" s="190">
        <f t="shared" si="7"/>
        <v>0</v>
      </c>
      <c r="AX44" s="187">
        <f>COUNTIFS('2023년 신조차 고장관리 세부현황'!$D:$D,"2023",'2023년 신조차 고장관리 세부현황'!$C:$C,$AJ44,'2023년 신조차 고장관리 세부현황'!$L:$L,'처리 현황'!AX$29)</f>
        <v>0</v>
      </c>
      <c r="AY44" s="187">
        <f>COUNTIFS('2023년 신조차 고장관리 세부현황'!$D:$D,"2023",'2023년 신조차 고장관리 세부현황'!$C:$C,$AJ44,'2023년 신조차 고장관리 세부현황'!$L:$L,'처리 현황'!AY$29)</f>
        <v>0</v>
      </c>
      <c r="AZ44" s="187">
        <f>COUNTIFS('2023년 신조차 고장관리 세부현황'!$D:$D,"2023",'2023년 신조차 고장관리 세부현황'!$C:$C,$AJ44,'2023년 신조차 고장관리 세부현황'!$L:$L,'처리 현황'!AZ$29)</f>
        <v>0</v>
      </c>
      <c r="BA44" s="187">
        <f>COUNTIFS('2023년 신조차 고장관리 세부현황'!$D:$D,"2023",'2023년 신조차 고장관리 세부현황'!$C:$C,$AJ44,'2023년 신조차 고장관리 세부현황'!$L:$L,'처리 현황'!BA$29)</f>
        <v>3</v>
      </c>
      <c r="BB44" s="187">
        <f>COUNTIFS('2023년 신조차 고장관리 세부현황'!$D:$D,"2023",'2023년 신조차 고장관리 세부현황'!$C:$C,$AJ44,'2023년 신조차 고장관리 세부현황'!$L:$L,'처리 현황'!BB$29)</f>
        <v>2</v>
      </c>
      <c r="BC44" s="187">
        <f>COUNTIFS('2023년 신조차 고장관리 세부현황'!$D:$D,"2023",'2023년 신조차 고장관리 세부현황'!$C:$C,$AJ44,'2023년 신조차 고장관리 세부현황'!$L:$L,'처리 현황'!BC$29)</f>
        <v>0</v>
      </c>
      <c r="BD44" s="187">
        <f>COUNTIFS('2023년 신조차 고장관리 세부현황'!$D:$D,"2023",'2023년 신조차 고장관리 세부현황'!$C:$C,$AJ44,'2023년 신조차 고장관리 세부현황'!$L:$L,'처리 현황'!BD$29)</f>
        <v>0</v>
      </c>
      <c r="BJ44" s="197">
        <v>9</v>
      </c>
      <c r="BK44">
        <v>0</v>
      </c>
      <c r="BL44">
        <v>0</v>
      </c>
      <c r="BM44">
        <v>0</v>
      </c>
      <c r="BN44">
        <v>0</v>
      </c>
      <c r="BO44">
        <v>0</v>
      </c>
      <c r="BP44">
        <v>0</v>
      </c>
      <c r="BQ44">
        <v>0</v>
      </c>
      <c r="BR44">
        <v>0</v>
      </c>
    </row>
    <row r="45" spans="34:70" x14ac:dyDescent="0.4">
      <c r="AI45" s="187">
        <v>4</v>
      </c>
      <c r="AJ45">
        <v>16</v>
      </c>
      <c r="AL45" s="187">
        <f>COUNTIFS('2023년 신조차 고장관리 세부현황'!$D:$D,"2023",'2023년 신조차 고장관리 세부현황'!$C:$C,$AJ45)</f>
        <v>0</v>
      </c>
      <c r="AM45" s="187">
        <f>COUNTIFS('2023년 신조차 고장관리 세부현황'!$D:$D,"2023",'2023년 신조차 고장관리 세부현황'!$C:$C,$AJ45,'2023년 신조차 고장관리 세부현황'!$V:$V,'처리 현황'!AM$29)</f>
        <v>0</v>
      </c>
      <c r="AN45" s="187">
        <f>COUNTIFS('2023년 신조차 고장관리 세부현황'!$D:$D,"2023",'2023년 신조차 고장관리 세부현황'!$C:$C,$AJ45,'2023년 신조차 고장관리 세부현황'!$V:$V,'처리 현황'!AN$29)</f>
        <v>0</v>
      </c>
      <c r="AO45" s="187">
        <f>COUNTIFS('2023년 신조차 고장관리 세부현황'!$D:$D,"2023",'2023년 신조차 고장관리 세부현황'!$C:$C,$AJ45,'2023년 신조차 고장관리 세부현황'!$V:$V,'처리 현황'!AO$29)</f>
        <v>0</v>
      </c>
      <c r="AP45" s="187">
        <f>COUNTIFS('2023년 신조차 고장관리 세부현황'!$D:$D,"2023",'2023년 신조차 고장관리 세부현황'!$C:$C,$AJ45,'2023년 신조차 고장관리 세부현황'!$V:$V,'처리 현황'!AP$29)</f>
        <v>0</v>
      </c>
      <c r="AQ45" s="187">
        <f>COUNTIFS('2023년 신조차 고장관리 세부현황'!$D:$D,"2023",'2023년 신조차 고장관리 세부현황'!$C:$C,$AJ45,'2023년 신조차 고장관리 세부현황'!$V:$V,'처리 현황'!AQ$29)</f>
        <v>0</v>
      </c>
      <c r="AR45" s="190">
        <f t="shared" si="7"/>
        <v>0</v>
      </c>
      <c r="AX45" s="187">
        <f>COUNTIFS('2023년 신조차 고장관리 세부현황'!$D:$D,"2023",'2023년 신조차 고장관리 세부현황'!$C:$C,$AJ45,'2023년 신조차 고장관리 세부현황'!$L:$L,'처리 현황'!AX$29)</f>
        <v>0</v>
      </c>
      <c r="AY45" s="187">
        <f>COUNTIFS('2023년 신조차 고장관리 세부현황'!$D:$D,"2023",'2023년 신조차 고장관리 세부현황'!$C:$C,$AJ45,'2023년 신조차 고장관리 세부현황'!$L:$L,'처리 현황'!AY$29)</f>
        <v>0</v>
      </c>
      <c r="AZ45" s="187">
        <f>COUNTIFS('2023년 신조차 고장관리 세부현황'!$D:$D,"2023",'2023년 신조차 고장관리 세부현황'!$C:$C,$AJ45,'2023년 신조차 고장관리 세부현황'!$L:$L,'처리 현황'!AZ$29)</f>
        <v>0</v>
      </c>
      <c r="BA45" s="187">
        <f>COUNTIFS('2023년 신조차 고장관리 세부현황'!$D:$D,"2023",'2023년 신조차 고장관리 세부현황'!$C:$C,$AJ45,'2023년 신조차 고장관리 세부현황'!$L:$L,'처리 현황'!BA$29)</f>
        <v>0</v>
      </c>
      <c r="BB45" s="187">
        <f>COUNTIFS('2023년 신조차 고장관리 세부현황'!$D:$D,"2023",'2023년 신조차 고장관리 세부현황'!$C:$C,$AJ45,'2023년 신조차 고장관리 세부현황'!$L:$L,'처리 현황'!BB$29)</f>
        <v>0</v>
      </c>
      <c r="BC45" s="187">
        <f>COUNTIFS('2023년 신조차 고장관리 세부현황'!$D:$D,"2023",'2023년 신조차 고장관리 세부현황'!$C:$C,$AJ45,'2023년 신조차 고장관리 세부현황'!$L:$L,'처리 현황'!BC$29)</f>
        <v>0</v>
      </c>
      <c r="BD45" s="187">
        <f>COUNTIFS('2023년 신조차 고장관리 세부현황'!$D:$D,"2023",'2023년 신조차 고장관리 세부현황'!$C:$C,$AJ45,'2023년 신조차 고장관리 세부현황'!$L:$L,'처리 현황'!BD$29)</f>
        <v>0</v>
      </c>
      <c r="BJ45" s="197">
        <v>10</v>
      </c>
      <c r="BK45">
        <v>0</v>
      </c>
      <c r="BL45">
        <v>0</v>
      </c>
      <c r="BM45">
        <v>0</v>
      </c>
      <c r="BN45">
        <v>0</v>
      </c>
      <c r="BO45">
        <v>0</v>
      </c>
      <c r="BP45">
        <v>0</v>
      </c>
      <c r="BQ45">
        <v>0</v>
      </c>
      <c r="BR45">
        <v>0</v>
      </c>
    </row>
    <row r="46" spans="34:70" x14ac:dyDescent="0.4">
      <c r="AI46" s="187">
        <v>4</v>
      </c>
      <c r="AJ46">
        <v>17</v>
      </c>
      <c r="AL46" s="187">
        <f>COUNTIFS('2023년 신조차 고장관리 세부현황'!$D:$D,"2023",'2023년 신조차 고장관리 세부현황'!$C:$C,$AJ46)</f>
        <v>0</v>
      </c>
      <c r="AM46" s="187">
        <f>COUNTIFS('2023년 신조차 고장관리 세부현황'!$D:$D,"2023",'2023년 신조차 고장관리 세부현황'!$C:$C,$AJ46,'2023년 신조차 고장관리 세부현황'!$V:$V,'처리 현황'!AM$29)</f>
        <v>0</v>
      </c>
      <c r="AN46" s="187">
        <f>COUNTIFS('2023년 신조차 고장관리 세부현황'!$D:$D,"2023",'2023년 신조차 고장관리 세부현황'!$C:$C,$AJ46,'2023년 신조차 고장관리 세부현황'!$V:$V,'처리 현황'!AN$29)</f>
        <v>0</v>
      </c>
      <c r="AO46" s="187">
        <f>COUNTIFS('2023년 신조차 고장관리 세부현황'!$D:$D,"2023",'2023년 신조차 고장관리 세부현황'!$C:$C,$AJ46,'2023년 신조차 고장관리 세부현황'!$V:$V,'처리 현황'!AO$29)</f>
        <v>0</v>
      </c>
      <c r="AP46" s="187">
        <f>COUNTIFS('2023년 신조차 고장관리 세부현황'!$D:$D,"2023",'2023년 신조차 고장관리 세부현황'!$C:$C,$AJ46,'2023년 신조차 고장관리 세부현황'!$V:$V,'처리 현황'!AP$29)</f>
        <v>0</v>
      </c>
      <c r="AQ46" s="187">
        <f>COUNTIFS('2023년 신조차 고장관리 세부현황'!$D:$D,"2023",'2023년 신조차 고장관리 세부현황'!$C:$C,$AJ46,'2023년 신조차 고장관리 세부현황'!$V:$V,'처리 현황'!AQ$29)</f>
        <v>0</v>
      </c>
      <c r="AR46" s="190">
        <f t="shared" si="7"/>
        <v>0</v>
      </c>
      <c r="AX46" s="187">
        <f>COUNTIFS('2023년 신조차 고장관리 세부현황'!$D:$D,"2023",'2023년 신조차 고장관리 세부현황'!$C:$C,$AJ46,'2023년 신조차 고장관리 세부현황'!$L:$L,'처리 현황'!AX$29)</f>
        <v>0</v>
      </c>
      <c r="AY46" s="187">
        <f>COUNTIFS('2023년 신조차 고장관리 세부현황'!$D:$D,"2023",'2023년 신조차 고장관리 세부현황'!$C:$C,$AJ46,'2023년 신조차 고장관리 세부현황'!$L:$L,'처리 현황'!AY$29)</f>
        <v>0</v>
      </c>
      <c r="AZ46" s="187">
        <f>COUNTIFS('2023년 신조차 고장관리 세부현황'!$D:$D,"2023",'2023년 신조차 고장관리 세부현황'!$C:$C,$AJ46,'2023년 신조차 고장관리 세부현황'!$L:$L,'처리 현황'!AZ$29)</f>
        <v>0</v>
      </c>
      <c r="BA46" s="187">
        <f>COUNTIFS('2023년 신조차 고장관리 세부현황'!$D:$D,"2023",'2023년 신조차 고장관리 세부현황'!$C:$C,$AJ46,'2023년 신조차 고장관리 세부현황'!$L:$L,'처리 현황'!BA$29)</f>
        <v>0</v>
      </c>
      <c r="BB46" s="187">
        <f>COUNTIFS('2023년 신조차 고장관리 세부현황'!$D:$D,"2023",'2023년 신조차 고장관리 세부현황'!$C:$C,$AJ46,'2023년 신조차 고장관리 세부현황'!$L:$L,'처리 현황'!BB$29)</f>
        <v>0</v>
      </c>
      <c r="BC46" s="187">
        <f>COUNTIFS('2023년 신조차 고장관리 세부현황'!$D:$D,"2023",'2023년 신조차 고장관리 세부현황'!$C:$C,$AJ46,'2023년 신조차 고장관리 세부현황'!$L:$L,'처리 현황'!BC$29)</f>
        <v>0</v>
      </c>
      <c r="BD46" s="187">
        <f>COUNTIFS('2023년 신조차 고장관리 세부현황'!$D:$D,"2023",'2023년 신조차 고장관리 세부현황'!$C:$C,$AJ46,'2023년 신조차 고장관리 세부현황'!$L:$L,'처리 현황'!BD$29)</f>
        <v>0</v>
      </c>
      <c r="BJ46" s="197">
        <v>11</v>
      </c>
      <c r="BK46">
        <v>0</v>
      </c>
      <c r="BL46">
        <v>0</v>
      </c>
      <c r="BM46">
        <v>0</v>
      </c>
      <c r="BN46">
        <v>0</v>
      </c>
      <c r="BO46">
        <v>0</v>
      </c>
      <c r="BP46">
        <v>0</v>
      </c>
      <c r="BQ46">
        <v>0</v>
      </c>
      <c r="BR46">
        <v>0</v>
      </c>
    </row>
    <row r="47" spans="34:70" x14ac:dyDescent="0.4">
      <c r="AI47" s="187">
        <v>5</v>
      </c>
      <c r="AJ47">
        <v>18</v>
      </c>
      <c r="AL47" s="187">
        <f>COUNTIFS('2023년 신조차 고장관리 세부현황'!$D:$D,"2023",'2023년 신조차 고장관리 세부현황'!$C:$C,$AJ47)</f>
        <v>0</v>
      </c>
      <c r="AM47" s="187">
        <f>COUNTIFS('2023년 신조차 고장관리 세부현황'!$D:$D,"2023",'2023년 신조차 고장관리 세부현황'!$C:$C,$AJ47,'2023년 신조차 고장관리 세부현황'!$V:$V,'처리 현황'!AM$29)</f>
        <v>0</v>
      </c>
      <c r="AN47" s="187">
        <f>COUNTIFS('2023년 신조차 고장관리 세부현황'!$D:$D,"2023",'2023년 신조차 고장관리 세부현황'!$C:$C,$AJ47,'2023년 신조차 고장관리 세부현황'!$V:$V,'처리 현황'!AN$29)</f>
        <v>0</v>
      </c>
      <c r="AO47" s="187">
        <f>COUNTIFS('2023년 신조차 고장관리 세부현황'!$D:$D,"2023",'2023년 신조차 고장관리 세부현황'!$C:$C,$AJ47,'2023년 신조차 고장관리 세부현황'!$V:$V,'처리 현황'!AO$29)</f>
        <v>0</v>
      </c>
      <c r="AP47" s="187">
        <f>COUNTIFS('2023년 신조차 고장관리 세부현황'!$D:$D,"2023",'2023년 신조차 고장관리 세부현황'!$C:$C,$AJ47,'2023년 신조차 고장관리 세부현황'!$V:$V,'처리 현황'!AP$29)</f>
        <v>0</v>
      </c>
      <c r="AQ47" s="187">
        <f>COUNTIFS('2023년 신조차 고장관리 세부현황'!$D:$D,"2023",'2023년 신조차 고장관리 세부현황'!$C:$C,$AJ47,'2023년 신조차 고장관리 세부현황'!$V:$V,'처리 현황'!AQ$29)</f>
        <v>0</v>
      </c>
      <c r="AR47" s="190">
        <f t="shared" si="7"/>
        <v>0</v>
      </c>
      <c r="AX47" s="187">
        <f>COUNTIFS('2023년 신조차 고장관리 세부현황'!$D:$D,"2023",'2023년 신조차 고장관리 세부현황'!$C:$C,$AJ47,'2023년 신조차 고장관리 세부현황'!$L:$L,'처리 현황'!AX$29)</f>
        <v>0</v>
      </c>
      <c r="AY47" s="187">
        <f>COUNTIFS('2023년 신조차 고장관리 세부현황'!$D:$D,"2023",'2023년 신조차 고장관리 세부현황'!$C:$C,$AJ47,'2023년 신조차 고장관리 세부현황'!$L:$L,'처리 현황'!AY$29)</f>
        <v>0</v>
      </c>
      <c r="AZ47" s="187">
        <f>COUNTIFS('2023년 신조차 고장관리 세부현황'!$D:$D,"2023",'2023년 신조차 고장관리 세부현황'!$C:$C,$AJ47,'2023년 신조차 고장관리 세부현황'!$L:$L,'처리 현황'!AZ$29)</f>
        <v>0</v>
      </c>
      <c r="BA47" s="187">
        <f>COUNTIFS('2023년 신조차 고장관리 세부현황'!$D:$D,"2023",'2023년 신조차 고장관리 세부현황'!$C:$C,$AJ47,'2023년 신조차 고장관리 세부현황'!$L:$L,'처리 현황'!BA$29)</f>
        <v>0</v>
      </c>
      <c r="BB47" s="187">
        <f>COUNTIFS('2023년 신조차 고장관리 세부현황'!$D:$D,"2023",'2023년 신조차 고장관리 세부현황'!$C:$C,$AJ47,'2023년 신조차 고장관리 세부현황'!$L:$L,'처리 현황'!BB$29)</f>
        <v>0</v>
      </c>
      <c r="BC47" s="187">
        <f>COUNTIFS('2023년 신조차 고장관리 세부현황'!$D:$D,"2023",'2023년 신조차 고장관리 세부현황'!$C:$C,$AJ47,'2023년 신조차 고장관리 세부현황'!$L:$L,'처리 현황'!BC$29)</f>
        <v>0</v>
      </c>
      <c r="BD47" s="187">
        <f>COUNTIFS('2023년 신조차 고장관리 세부현황'!$D:$D,"2023",'2023년 신조차 고장관리 세부현황'!$C:$C,$AJ47,'2023년 신조차 고장관리 세부현황'!$L:$L,'처리 현황'!BD$29)</f>
        <v>0</v>
      </c>
      <c r="BJ47" s="197">
        <v>12</v>
      </c>
      <c r="BK47">
        <v>0</v>
      </c>
      <c r="BL47">
        <v>0</v>
      </c>
      <c r="BM47">
        <v>0</v>
      </c>
      <c r="BN47">
        <v>0</v>
      </c>
      <c r="BO47">
        <v>0</v>
      </c>
      <c r="BP47">
        <v>0</v>
      </c>
      <c r="BQ47">
        <v>0</v>
      </c>
      <c r="BR47">
        <v>0</v>
      </c>
    </row>
    <row r="48" spans="34:70" x14ac:dyDescent="0.4">
      <c r="AI48" s="187">
        <v>5</v>
      </c>
      <c r="AJ48">
        <v>19</v>
      </c>
      <c r="AL48" s="187">
        <f>COUNTIFS('2023년 신조차 고장관리 세부현황'!$D:$D,"2023",'2023년 신조차 고장관리 세부현황'!$C:$C,$AJ48)</f>
        <v>2</v>
      </c>
      <c r="AM48" s="187">
        <f>COUNTIFS('2023년 신조차 고장관리 세부현황'!$D:$D,"2023",'2023년 신조차 고장관리 세부현황'!$C:$C,$AJ48,'2023년 신조차 고장관리 세부현황'!$V:$V,'처리 현황'!AM$29)</f>
        <v>2</v>
      </c>
      <c r="AN48" s="187">
        <f>COUNTIFS('2023년 신조차 고장관리 세부현황'!$D:$D,"2023",'2023년 신조차 고장관리 세부현황'!$C:$C,$AJ48,'2023년 신조차 고장관리 세부현황'!$V:$V,'처리 현황'!AN$29)</f>
        <v>0</v>
      </c>
      <c r="AO48" s="187">
        <f>COUNTIFS('2023년 신조차 고장관리 세부현황'!$D:$D,"2023",'2023년 신조차 고장관리 세부현황'!$C:$C,$AJ48,'2023년 신조차 고장관리 세부현황'!$V:$V,'처리 현황'!AO$29)</f>
        <v>0</v>
      </c>
      <c r="AP48" s="187">
        <f>COUNTIFS('2023년 신조차 고장관리 세부현황'!$D:$D,"2023",'2023년 신조차 고장관리 세부현황'!$C:$C,$AJ48,'2023년 신조차 고장관리 세부현황'!$V:$V,'처리 현황'!AP$29)</f>
        <v>0</v>
      </c>
      <c r="AQ48" s="187">
        <f>COUNTIFS('2023년 신조차 고장관리 세부현황'!$D:$D,"2023",'2023년 신조차 고장관리 세부현황'!$C:$C,$AJ48,'2023년 신조차 고장관리 세부현황'!$V:$V,'처리 현황'!AQ$29)</f>
        <v>0</v>
      </c>
      <c r="AR48" s="190">
        <f t="shared" si="7"/>
        <v>0</v>
      </c>
      <c r="AX48" s="187">
        <f>COUNTIFS('2023년 신조차 고장관리 세부현황'!$D:$D,"2023",'2023년 신조차 고장관리 세부현황'!$C:$C,$AJ48,'2023년 신조차 고장관리 세부현황'!$L:$L,'처리 현황'!AX$29)</f>
        <v>0</v>
      </c>
      <c r="AY48" s="187">
        <f>COUNTIFS('2023년 신조차 고장관리 세부현황'!$D:$D,"2023",'2023년 신조차 고장관리 세부현황'!$C:$C,$AJ48,'2023년 신조차 고장관리 세부현황'!$L:$L,'처리 현황'!AY$29)</f>
        <v>0</v>
      </c>
      <c r="AZ48" s="187">
        <f>COUNTIFS('2023년 신조차 고장관리 세부현황'!$D:$D,"2023",'2023년 신조차 고장관리 세부현황'!$C:$C,$AJ48,'2023년 신조차 고장관리 세부현황'!$L:$L,'처리 현황'!AZ$29)</f>
        <v>0</v>
      </c>
      <c r="BA48" s="187">
        <f>COUNTIFS('2023년 신조차 고장관리 세부현황'!$D:$D,"2023",'2023년 신조차 고장관리 세부현황'!$C:$C,$AJ48,'2023년 신조차 고장관리 세부현황'!$L:$L,'처리 현황'!BA$29)</f>
        <v>1</v>
      </c>
      <c r="BB48" s="187">
        <f>COUNTIFS('2023년 신조차 고장관리 세부현황'!$D:$D,"2023",'2023년 신조차 고장관리 세부현황'!$C:$C,$AJ48,'2023년 신조차 고장관리 세부현황'!$L:$L,'처리 현황'!BB$29)</f>
        <v>0</v>
      </c>
      <c r="BC48" s="187">
        <f>COUNTIFS('2023년 신조차 고장관리 세부현황'!$D:$D,"2023",'2023년 신조차 고장관리 세부현황'!$C:$C,$AJ48,'2023년 신조차 고장관리 세부현황'!$L:$L,'처리 현황'!BC$29)</f>
        <v>1</v>
      </c>
      <c r="BD48" s="187">
        <f>COUNTIFS('2023년 신조차 고장관리 세부현황'!$D:$D,"2023",'2023년 신조차 고장관리 세부현황'!$C:$C,$AJ48,'2023년 신조차 고장관리 세부현황'!$L:$L,'처리 현황'!BD$29)</f>
        <v>0</v>
      </c>
      <c r="BL48">
        <v>0</v>
      </c>
      <c r="BM48">
        <v>0</v>
      </c>
      <c r="BN48">
        <v>0</v>
      </c>
      <c r="BO48">
        <v>0</v>
      </c>
      <c r="BP48">
        <v>0</v>
      </c>
      <c r="BQ48">
        <v>0</v>
      </c>
    </row>
    <row r="49" spans="35:56" x14ac:dyDescent="0.4">
      <c r="AI49" s="187">
        <v>5</v>
      </c>
      <c r="AJ49">
        <v>20</v>
      </c>
      <c r="AL49" s="187">
        <f>COUNTIFS('2023년 신조차 고장관리 세부현황'!$D:$D,"2023",'2023년 신조차 고장관리 세부현황'!$C:$C,$AJ49)</f>
        <v>0</v>
      </c>
      <c r="AM49" s="187">
        <f>COUNTIFS('2023년 신조차 고장관리 세부현황'!$D:$D,"2023",'2023년 신조차 고장관리 세부현황'!$C:$C,$AJ49,'2023년 신조차 고장관리 세부현황'!$V:$V,'처리 현황'!AM$29)</f>
        <v>0</v>
      </c>
      <c r="AN49" s="187">
        <f>COUNTIFS('2023년 신조차 고장관리 세부현황'!$D:$D,"2023",'2023년 신조차 고장관리 세부현황'!$C:$C,$AJ49,'2023년 신조차 고장관리 세부현황'!$V:$V,'처리 현황'!AN$29)</f>
        <v>0</v>
      </c>
      <c r="AO49" s="187">
        <f>COUNTIFS('2023년 신조차 고장관리 세부현황'!$D:$D,"2023",'2023년 신조차 고장관리 세부현황'!$C:$C,$AJ49,'2023년 신조차 고장관리 세부현황'!$V:$V,'처리 현황'!AO$29)</f>
        <v>0</v>
      </c>
      <c r="AP49" s="187">
        <f>COUNTIFS('2023년 신조차 고장관리 세부현황'!$D:$D,"2023",'2023년 신조차 고장관리 세부현황'!$C:$C,$AJ49,'2023년 신조차 고장관리 세부현황'!$V:$V,'처리 현황'!AP$29)</f>
        <v>0</v>
      </c>
      <c r="AQ49" s="187">
        <f>COUNTIFS('2023년 신조차 고장관리 세부현황'!$D:$D,"2023",'2023년 신조차 고장관리 세부현황'!$C:$C,$AJ49,'2023년 신조차 고장관리 세부현황'!$V:$V,'처리 현황'!AQ$29)</f>
        <v>0</v>
      </c>
      <c r="AR49" s="190">
        <f t="shared" si="7"/>
        <v>0</v>
      </c>
      <c r="AX49" s="187">
        <f>COUNTIFS('2023년 신조차 고장관리 세부현황'!$D:$D,"2023",'2023년 신조차 고장관리 세부현황'!$C:$C,$AJ49,'2023년 신조차 고장관리 세부현황'!$L:$L,'처리 현황'!AX$29)</f>
        <v>0</v>
      </c>
      <c r="AY49" s="187">
        <f>COUNTIFS('2023년 신조차 고장관리 세부현황'!$D:$D,"2023",'2023년 신조차 고장관리 세부현황'!$C:$C,$AJ49,'2023년 신조차 고장관리 세부현황'!$L:$L,'처리 현황'!AY$29)</f>
        <v>0</v>
      </c>
      <c r="AZ49" s="187">
        <f>COUNTIFS('2023년 신조차 고장관리 세부현황'!$D:$D,"2023",'2023년 신조차 고장관리 세부현황'!$C:$C,$AJ49,'2023년 신조차 고장관리 세부현황'!$L:$L,'처리 현황'!AZ$29)</f>
        <v>0</v>
      </c>
      <c r="BA49" s="187">
        <f>COUNTIFS('2023년 신조차 고장관리 세부현황'!$D:$D,"2023",'2023년 신조차 고장관리 세부현황'!$C:$C,$AJ49,'2023년 신조차 고장관리 세부현황'!$L:$L,'처리 현황'!BA$29)</f>
        <v>0</v>
      </c>
      <c r="BB49" s="187">
        <f>COUNTIFS('2023년 신조차 고장관리 세부현황'!$D:$D,"2023",'2023년 신조차 고장관리 세부현황'!$C:$C,$AJ49,'2023년 신조차 고장관리 세부현황'!$L:$L,'처리 현황'!BB$29)</f>
        <v>0</v>
      </c>
      <c r="BC49" s="187">
        <f>COUNTIFS('2023년 신조차 고장관리 세부현황'!$D:$D,"2023",'2023년 신조차 고장관리 세부현황'!$C:$C,$AJ49,'2023년 신조차 고장관리 세부현황'!$L:$L,'처리 현황'!BC$29)</f>
        <v>0</v>
      </c>
      <c r="BD49" s="187">
        <f>COUNTIFS('2023년 신조차 고장관리 세부현황'!$D:$D,"2023",'2023년 신조차 고장관리 세부현황'!$C:$C,$AJ49,'2023년 신조차 고장관리 세부현황'!$L:$L,'처리 현황'!BD$29)</f>
        <v>0</v>
      </c>
    </row>
    <row r="50" spans="35:56" x14ac:dyDescent="0.4">
      <c r="AI50" s="187">
        <v>5</v>
      </c>
      <c r="AJ50">
        <v>21</v>
      </c>
      <c r="AL50" s="187">
        <f>COUNTIFS('2023년 신조차 고장관리 세부현황'!$D:$D,"2023",'2023년 신조차 고장관리 세부현황'!$C:$C,$AJ50)</f>
        <v>1</v>
      </c>
      <c r="AM50" s="187">
        <f>COUNTIFS('2023년 신조차 고장관리 세부현황'!$D:$D,"2023",'2023년 신조차 고장관리 세부현황'!$C:$C,$AJ50,'2023년 신조차 고장관리 세부현황'!$V:$V,'처리 현황'!AM$29)</f>
        <v>1</v>
      </c>
      <c r="AN50" s="187">
        <f>COUNTIFS('2023년 신조차 고장관리 세부현황'!$D:$D,"2023",'2023년 신조차 고장관리 세부현황'!$C:$C,$AJ50,'2023년 신조차 고장관리 세부현황'!$V:$V,'처리 현황'!AN$29)</f>
        <v>0</v>
      </c>
      <c r="AO50" s="187">
        <f>COUNTIFS('2023년 신조차 고장관리 세부현황'!$D:$D,"2023",'2023년 신조차 고장관리 세부현황'!$C:$C,$AJ50,'2023년 신조차 고장관리 세부현황'!$V:$V,'처리 현황'!AO$29)</f>
        <v>0</v>
      </c>
      <c r="AP50" s="187">
        <f>COUNTIFS('2023년 신조차 고장관리 세부현황'!$D:$D,"2023",'2023년 신조차 고장관리 세부현황'!$C:$C,$AJ50,'2023년 신조차 고장관리 세부현황'!$V:$V,'처리 현황'!AP$29)</f>
        <v>0</v>
      </c>
      <c r="AQ50" s="187">
        <f>COUNTIFS('2023년 신조차 고장관리 세부현황'!$D:$D,"2023",'2023년 신조차 고장관리 세부현황'!$C:$C,$AJ50,'2023년 신조차 고장관리 세부현황'!$V:$V,'처리 현황'!AQ$29)</f>
        <v>0</v>
      </c>
      <c r="AR50" s="190">
        <f t="shared" si="7"/>
        <v>0</v>
      </c>
      <c r="AX50" s="187">
        <f>COUNTIFS('2023년 신조차 고장관리 세부현황'!$D:$D,"2023",'2023년 신조차 고장관리 세부현황'!$C:$C,$AJ50,'2023년 신조차 고장관리 세부현황'!$L:$L,'처리 현황'!AX$29)</f>
        <v>0</v>
      </c>
      <c r="AY50" s="187">
        <f>COUNTIFS('2023년 신조차 고장관리 세부현황'!$D:$D,"2023",'2023년 신조차 고장관리 세부현황'!$C:$C,$AJ50,'2023년 신조차 고장관리 세부현황'!$L:$L,'처리 현황'!AY$29)</f>
        <v>0</v>
      </c>
      <c r="AZ50" s="187">
        <f>COUNTIFS('2023년 신조차 고장관리 세부현황'!$D:$D,"2023",'2023년 신조차 고장관리 세부현황'!$C:$C,$AJ50,'2023년 신조차 고장관리 세부현황'!$L:$L,'처리 현황'!AZ$29)</f>
        <v>0</v>
      </c>
      <c r="BA50" s="187">
        <f>COUNTIFS('2023년 신조차 고장관리 세부현황'!$D:$D,"2023",'2023년 신조차 고장관리 세부현황'!$C:$C,$AJ50,'2023년 신조차 고장관리 세부현황'!$L:$L,'처리 현황'!BA$29)</f>
        <v>0</v>
      </c>
      <c r="BB50" s="187">
        <f>COUNTIFS('2023년 신조차 고장관리 세부현황'!$D:$D,"2023",'2023년 신조차 고장관리 세부현황'!$C:$C,$AJ50,'2023년 신조차 고장관리 세부현황'!$L:$L,'처리 현황'!BB$29)</f>
        <v>1</v>
      </c>
      <c r="BC50" s="187">
        <f>COUNTIFS('2023년 신조차 고장관리 세부현황'!$D:$D,"2023",'2023년 신조차 고장관리 세부현황'!$C:$C,$AJ50,'2023년 신조차 고장관리 세부현황'!$L:$L,'처리 현황'!BC$29)</f>
        <v>0</v>
      </c>
      <c r="BD50" s="187">
        <f>COUNTIFS('2023년 신조차 고장관리 세부현황'!$D:$D,"2023",'2023년 신조차 고장관리 세부현황'!$C:$C,$AJ50,'2023년 신조차 고장관리 세부현황'!$L:$L,'처리 현황'!BD$29)</f>
        <v>0</v>
      </c>
    </row>
    <row r="51" spans="35:56" x14ac:dyDescent="0.4">
      <c r="AI51" s="187">
        <v>6</v>
      </c>
      <c r="AJ51">
        <v>22</v>
      </c>
      <c r="AL51" s="187">
        <f>COUNTIFS('2023년 신조차 고장관리 세부현황'!$D:$D,"2023",'2023년 신조차 고장관리 세부현황'!$C:$C,$AJ51)</f>
        <v>0</v>
      </c>
      <c r="AM51" s="187">
        <f>COUNTIFS('2023년 신조차 고장관리 세부현황'!$D:$D,"2023",'2023년 신조차 고장관리 세부현황'!$C:$C,$AJ51,'2023년 신조차 고장관리 세부현황'!$V:$V,'처리 현황'!AM$29)</f>
        <v>0</v>
      </c>
      <c r="AN51" s="187">
        <f>COUNTIFS('2023년 신조차 고장관리 세부현황'!$D:$D,"2023",'2023년 신조차 고장관리 세부현황'!$C:$C,$AJ51,'2023년 신조차 고장관리 세부현황'!$V:$V,'처리 현황'!AN$29)</f>
        <v>0</v>
      </c>
      <c r="AO51" s="187">
        <f>COUNTIFS('2023년 신조차 고장관리 세부현황'!$D:$D,"2023",'2023년 신조차 고장관리 세부현황'!$C:$C,$AJ51,'2023년 신조차 고장관리 세부현황'!$V:$V,'처리 현황'!AO$29)</f>
        <v>0</v>
      </c>
      <c r="AP51" s="187">
        <f>COUNTIFS('2023년 신조차 고장관리 세부현황'!$D:$D,"2023",'2023년 신조차 고장관리 세부현황'!$C:$C,$AJ51,'2023년 신조차 고장관리 세부현황'!$V:$V,'처리 현황'!AP$29)</f>
        <v>0</v>
      </c>
      <c r="AQ51" s="187">
        <f>COUNTIFS('2023년 신조차 고장관리 세부현황'!$D:$D,"2023",'2023년 신조차 고장관리 세부현황'!$C:$C,$AJ51,'2023년 신조차 고장관리 세부현황'!$V:$V,'처리 현황'!AQ$29)</f>
        <v>0</v>
      </c>
      <c r="AR51" s="190">
        <f t="shared" si="7"/>
        <v>0</v>
      </c>
      <c r="AX51" s="187">
        <f>COUNTIFS('2023년 신조차 고장관리 세부현황'!$D:$D,"2023",'2023년 신조차 고장관리 세부현황'!$C:$C,$AJ51,'2023년 신조차 고장관리 세부현황'!$L:$L,'처리 현황'!AX$29)</f>
        <v>0</v>
      </c>
      <c r="AY51" s="187">
        <f>COUNTIFS('2023년 신조차 고장관리 세부현황'!$D:$D,"2023",'2023년 신조차 고장관리 세부현황'!$C:$C,$AJ51,'2023년 신조차 고장관리 세부현황'!$L:$L,'처리 현황'!AY$29)</f>
        <v>0</v>
      </c>
      <c r="AZ51" s="187">
        <f>COUNTIFS('2023년 신조차 고장관리 세부현황'!$D:$D,"2023",'2023년 신조차 고장관리 세부현황'!$C:$C,$AJ51,'2023년 신조차 고장관리 세부현황'!$L:$L,'처리 현황'!AZ$29)</f>
        <v>0</v>
      </c>
      <c r="BA51" s="187">
        <f>COUNTIFS('2023년 신조차 고장관리 세부현황'!$D:$D,"2023",'2023년 신조차 고장관리 세부현황'!$C:$C,$AJ51,'2023년 신조차 고장관리 세부현황'!$L:$L,'처리 현황'!BA$29)</f>
        <v>0</v>
      </c>
      <c r="BB51" s="187">
        <f>COUNTIFS('2023년 신조차 고장관리 세부현황'!$D:$D,"2023",'2023년 신조차 고장관리 세부현황'!$C:$C,$AJ51,'2023년 신조차 고장관리 세부현황'!$L:$L,'처리 현황'!BB$29)</f>
        <v>0</v>
      </c>
      <c r="BC51" s="187">
        <f>COUNTIFS('2023년 신조차 고장관리 세부현황'!$D:$D,"2023",'2023년 신조차 고장관리 세부현황'!$C:$C,$AJ51,'2023년 신조차 고장관리 세부현황'!$L:$L,'처리 현황'!BC$29)</f>
        <v>0</v>
      </c>
      <c r="BD51" s="187">
        <f>COUNTIFS('2023년 신조차 고장관리 세부현황'!$D:$D,"2023",'2023년 신조차 고장관리 세부현황'!$C:$C,$AJ51,'2023년 신조차 고장관리 세부현황'!$L:$L,'처리 현황'!BD$29)</f>
        <v>0</v>
      </c>
    </row>
    <row r="52" spans="35:56" x14ac:dyDescent="0.4">
      <c r="AI52" s="187">
        <v>6</v>
      </c>
      <c r="AJ52">
        <v>23</v>
      </c>
      <c r="AL52" s="187">
        <f>COUNTIFS('2023년 신조차 고장관리 세부현황'!$D:$D,"2023",'2023년 신조차 고장관리 세부현황'!$C:$C,$AJ52)</f>
        <v>1</v>
      </c>
      <c r="AM52" s="187">
        <f>COUNTIFS('2023년 신조차 고장관리 세부현황'!$D:$D,"2023",'2023년 신조차 고장관리 세부현황'!$C:$C,$AJ52,'2023년 신조차 고장관리 세부현황'!$V:$V,'처리 현황'!AM$29)</f>
        <v>1</v>
      </c>
      <c r="AN52" s="187">
        <f>COUNTIFS('2023년 신조차 고장관리 세부현황'!$D:$D,"2023",'2023년 신조차 고장관리 세부현황'!$C:$C,$AJ52,'2023년 신조차 고장관리 세부현황'!$V:$V,'처리 현황'!AN$29)</f>
        <v>0</v>
      </c>
      <c r="AO52" s="187">
        <f>COUNTIFS('2023년 신조차 고장관리 세부현황'!$D:$D,"2023",'2023년 신조차 고장관리 세부현황'!$C:$C,$AJ52,'2023년 신조차 고장관리 세부현황'!$V:$V,'처리 현황'!AO$29)</f>
        <v>0</v>
      </c>
      <c r="AP52" s="187">
        <f>COUNTIFS('2023년 신조차 고장관리 세부현황'!$D:$D,"2023",'2023년 신조차 고장관리 세부현황'!$C:$C,$AJ52,'2023년 신조차 고장관리 세부현황'!$V:$V,'처리 현황'!AP$29)</f>
        <v>0</v>
      </c>
      <c r="AQ52" s="187">
        <f>COUNTIFS('2023년 신조차 고장관리 세부현황'!$D:$D,"2023",'2023년 신조차 고장관리 세부현황'!$C:$C,$AJ52,'2023년 신조차 고장관리 세부현황'!$V:$V,'처리 현황'!AQ$29)</f>
        <v>0</v>
      </c>
      <c r="AR52" s="190">
        <f t="shared" si="7"/>
        <v>0</v>
      </c>
      <c r="AX52" s="187">
        <f>COUNTIFS('2023년 신조차 고장관리 세부현황'!$D:$D,"2023",'2023년 신조차 고장관리 세부현황'!$C:$C,$AJ52,'2023년 신조차 고장관리 세부현황'!$L:$L,'처리 현황'!AX$29)</f>
        <v>0</v>
      </c>
      <c r="AY52" s="187">
        <f>COUNTIFS('2023년 신조차 고장관리 세부현황'!$D:$D,"2023",'2023년 신조차 고장관리 세부현황'!$C:$C,$AJ52,'2023년 신조차 고장관리 세부현황'!$L:$L,'처리 현황'!AY$29)</f>
        <v>0</v>
      </c>
      <c r="AZ52" s="187">
        <f>COUNTIFS('2023년 신조차 고장관리 세부현황'!$D:$D,"2023",'2023년 신조차 고장관리 세부현황'!$C:$C,$AJ52,'2023년 신조차 고장관리 세부현황'!$L:$L,'처리 현황'!AZ$29)</f>
        <v>0</v>
      </c>
      <c r="BA52" s="187">
        <f>COUNTIFS('2023년 신조차 고장관리 세부현황'!$D:$D,"2023",'2023년 신조차 고장관리 세부현황'!$C:$C,$AJ52,'2023년 신조차 고장관리 세부현황'!$L:$L,'처리 현황'!BA$29)</f>
        <v>0</v>
      </c>
      <c r="BB52" s="187">
        <f>COUNTIFS('2023년 신조차 고장관리 세부현황'!$D:$D,"2023",'2023년 신조차 고장관리 세부현황'!$C:$C,$AJ52,'2023년 신조차 고장관리 세부현황'!$L:$L,'처리 현황'!BB$29)</f>
        <v>1</v>
      </c>
      <c r="BC52" s="187">
        <f>COUNTIFS('2023년 신조차 고장관리 세부현황'!$D:$D,"2023",'2023년 신조차 고장관리 세부현황'!$C:$C,$AJ52,'2023년 신조차 고장관리 세부현황'!$L:$L,'처리 현황'!BC$29)</f>
        <v>0</v>
      </c>
      <c r="BD52" s="187">
        <f>COUNTIFS('2023년 신조차 고장관리 세부현황'!$D:$D,"2023",'2023년 신조차 고장관리 세부현황'!$C:$C,$AJ52,'2023년 신조차 고장관리 세부현황'!$L:$L,'처리 현황'!BD$29)</f>
        <v>0</v>
      </c>
    </row>
    <row r="53" spans="35:56" x14ac:dyDescent="0.4">
      <c r="AI53" s="187">
        <v>6</v>
      </c>
      <c r="AJ53">
        <v>24</v>
      </c>
      <c r="AL53" s="187">
        <f>COUNTIFS('2023년 신조차 고장관리 세부현황'!$D:$D,"2023",'2023년 신조차 고장관리 세부현황'!$C:$C,$AJ53)</f>
        <v>0</v>
      </c>
      <c r="AM53" s="187">
        <f>COUNTIFS('2023년 신조차 고장관리 세부현황'!$D:$D,"2023",'2023년 신조차 고장관리 세부현황'!$C:$C,$AJ53,'2023년 신조차 고장관리 세부현황'!$V:$V,'처리 현황'!AM$29)</f>
        <v>0</v>
      </c>
      <c r="AN53" s="187">
        <f>COUNTIFS('2023년 신조차 고장관리 세부현황'!$D:$D,"2023",'2023년 신조차 고장관리 세부현황'!$C:$C,$AJ53,'2023년 신조차 고장관리 세부현황'!$V:$V,'처리 현황'!AN$29)</f>
        <v>0</v>
      </c>
      <c r="AO53" s="187">
        <f>COUNTIFS('2023년 신조차 고장관리 세부현황'!$D:$D,"2023",'2023년 신조차 고장관리 세부현황'!$C:$C,$AJ53,'2023년 신조차 고장관리 세부현황'!$V:$V,'처리 현황'!AO$29)</f>
        <v>0</v>
      </c>
      <c r="AP53" s="187">
        <f>COUNTIFS('2023년 신조차 고장관리 세부현황'!$D:$D,"2023",'2023년 신조차 고장관리 세부현황'!$C:$C,$AJ53,'2023년 신조차 고장관리 세부현황'!$V:$V,'처리 현황'!AP$29)</f>
        <v>0</v>
      </c>
      <c r="AQ53" s="187">
        <f>COUNTIFS('2023년 신조차 고장관리 세부현황'!$D:$D,"2023",'2023년 신조차 고장관리 세부현황'!$C:$C,$AJ53,'2023년 신조차 고장관리 세부현황'!$V:$V,'처리 현황'!AQ$29)</f>
        <v>0</v>
      </c>
      <c r="AR53" s="190">
        <f t="shared" si="7"/>
        <v>0</v>
      </c>
      <c r="AX53" s="187">
        <f>COUNTIFS('2023년 신조차 고장관리 세부현황'!$D:$D,"2023",'2023년 신조차 고장관리 세부현황'!$C:$C,$AJ53,'2023년 신조차 고장관리 세부현황'!$L:$L,'처리 현황'!AX$29)</f>
        <v>0</v>
      </c>
      <c r="AY53" s="187">
        <f>COUNTIFS('2023년 신조차 고장관리 세부현황'!$D:$D,"2023",'2023년 신조차 고장관리 세부현황'!$C:$C,$AJ53,'2023년 신조차 고장관리 세부현황'!$L:$L,'처리 현황'!AY$29)</f>
        <v>0</v>
      </c>
      <c r="AZ53" s="187">
        <f>COUNTIFS('2023년 신조차 고장관리 세부현황'!$D:$D,"2023",'2023년 신조차 고장관리 세부현황'!$C:$C,$AJ53,'2023년 신조차 고장관리 세부현황'!$L:$L,'처리 현황'!AZ$29)</f>
        <v>0</v>
      </c>
      <c r="BA53" s="187">
        <f>COUNTIFS('2023년 신조차 고장관리 세부현황'!$D:$D,"2023",'2023년 신조차 고장관리 세부현황'!$C:$C,$AJ53,'2023년 신조차 고장관리 세부현황'!$L:$L,'처리 현황'!BA$29)</f>
        <v>0</v>
      </c>
      <c r="BB53" s="187">
        <f>COUNTIFS('2023년 신조차 고장관리 세부현황'!$D:$D,"2023",'2023년 신조차 고장관리 세부현황'!$C:$C,$AJ53,'2023년 신조차 고장관리 세부현황'!$L:$L,'처리 현황'!BB$29)</f>
        <v>0</v>
      </c>
      <c r="BC53" s="187">
        <f>COUNTIFS('2023년 신조차 고장관리 세부현황'!$D:$D,"2023",'2023년 신조차 고장관리 세부현황'!$C:$C,$AJ53,'2023년 신조차 고장관리 세부현황'!$L:$L,'처리 현황'!BC$29)</f>
        <v>0</v>
      </c>
      <c r="BD53" s="187">
        <f>COUNTIFS('2023년 신조차 고장관리 세부현황'!$D:$D,"2023",'2023년 신조차 고장관리 세부현황'!$C:$C,$AJ53,'2023년 신조차 고장관리 세부현황'!$L:$L,'처리 현황'!BD$29)</f>
        <v>0</v>
      </c>
    </row>
    <row r="54" spans="35:56" x14ac:dyDescent="0.4">
      <c r="AI54" s="187">
        <v>6</v>
      </c>
      <c r="AJ54">
        <v>25</v>
      </c>
      <c r="AL54" s="187">
        <f>COUNTIFS('2023년 신조차 고장관리 세부현황'!$D:$D,"2023",'2023년 신조차 고장관리 세부현황'!$C:$C,$AJ54)</f>
        <v>0</v>
      </c>
      <c r="AM54" s="187">
        <f>COUNTIFS('2023년 신조차 고장관리 세부현황'!$D:$D,"2023",'2023년 신조차 고장관리 세부현황'!$C:$C,$AJ54,'2023년 신조차 고장관리 세부현황'!$V:$V,'처리 현황'!AM$29)</f>
        <v>0</v>
      </c>
      <c r="AN54" s="187">
        <f>COUNTIFS('2023년 신조차 고장관리 세부현황'!$D:$D,"2023",'2023년 신조차 고장관리 세부현황'!$C:$C,$AJ54,'2023년 신조차 고장관리 세부현황'!$V:$V,'처리 현황'!AN$29)</f>
        <v>0</v>
      </c>
      <c r="AO54" s="187">
        <f>COUNTIFS('2023년 신조차 고장관리 세부현황'!$D:$D,"2023",'2023년 신조차 고장관리 세부현황'!$C:$C,$AJ54,'2023년 신조차 고장관리 세부현황'!$V:$V,'처리 현황'!AO$29)</f>
        <v>0</v>
      </c>
      <c r="AP54" s="187">
        <f>COUNTIFS('2023년 신조차 고장관리 세부현황'!$D:$D,"2023",'2023년 신조차 고장관리 세부현황'!$C:$C,$AJ54,'2023년 신조차 고장관리 세부현황'!$V:$V,'처리 현황'!AP$29)</f>
        <v>0</v>
      </c>
      <c r="AQ54" s="187">
        <f>COUNTIFS('2023년 신조차 고장관리 세부현황'!$D:$D,"2023",'2023년 신조차 고장관리 세부현황'!$C:$C,$AJ54,'2023년 신조차 고장관리 세부현황'!$V:$V,'처리 현황'!AQ$29)</f>
        <v>0</v>
      </c>
      <c r="AR54" s="190">
        <f t="shared" si="7"/>
        <v>0</v>
      </c>
      <c r="AX54" s="187">
        <f>COUNTIFS('2023년 신조차 고장관리 세부현황'!$D:$D,"2023",'2023년 신조차 고장관리 세부현황'!$C:$C,$AJ54,'2023년 신조차 고장관리 세부현황'!$L:$L,'처리 현황'!AX$29)</f>
        <v>0</v>
      </c>
      <c r="AY54" s="187">
        <f>COUNTIFS('2023년 신조차 고장관리 세부현황'!$D:$D,"2023",'2023년 신조차 고장관리 세부현황'!$C:$C,$AJ54,'2023년 신조차 고장관리 세부현황'!$L:$L,'처리 현황'!AY$29)</f>
        <v>0</v>
      </c>
      <c r="AZ54" s="187">
        <f>COUNTIFS('2023년 신조차 고장관리 세부현황'!$D:$D,"2023",'2023년 신조차 고장관리 세부현황'!$C:$C,$AJ54,'2023년 신조차 고장관리 세부현황'!$L:$L,'처리 현황'!AZ$29)</f>
        <v>0</v>
      </c>
      <c r="BA54" s="187">
        <f>COUNTIFS('2023년 신조차 고장관리 세부현황'!$D:$D,"2023",'2023년 신조차 고장관리 세부현황'!$C:$C,$AJ54,'2023년 신조차 고장관리 세부현황'!$L:$L,'처리 현황'!BA$29)</f>
        <v>0</v>
      </c>
      <c r="BB54" s="187">
        <f>COUNTIFS('2023년 신조차 고장관리 세부현황'!$D:$D,"2023",'2023년 신조차 고장관리 세부현황'!$C:$C,$AJ54,'2023년 신조차 고장관리 세부현황'!$L:$L,'처리 현황'!BB$29)</f>
        <v>0</v>
      </c>
      <c r="BC54" s="187">
        <f>COUNTIFS('2023년 신조차 고장관리 세부현황'!$D:$D,"2023",'2023년 신조차 고장관리 세부현황'!$C:$C,$AJ54,'2023년 신조차 고장관리 세부현황'!$L:$L,'처리 현황'!BC$29)</f>
        <v>0</v>
      </c>
      <c r="BD54" s="187">
        <f>COUNTIFS('2023년 신조차 고장관리 세부현황'!$D:$D,"2023",'2023년 신조차 고장관리 세부현황'!$C:$C,$AJ54,'2023년 신조차 고장관리 세부현황'!$L:$L,'처리 현황'!BD$29)</f>
        <v>0</v>
      </c>
    </row>
    <row r="55" spans="35:56" x14ac:dyDescent="0.4">
      <c r="AI55" s="187">
        <v>7</v>
      </c>
      <c r="AJ55">
        <v>26</v>
      </c>
      <c r="AL55" s="187">
        <f>COUNTIFS('2023년 신조차 고장관리 세부현황'!$D:$D,"2023",'2023년 신조차 고장관리 세부현황'!$C:$C,$AJ55)</f>
        <v>3</v>
      </c>
      <c r="AM55" s="187">
        <f>COUNTIFS('2023년 신조차 고장관리 세부현황'!$D:$D,"2023",'2023년 신조차 고장관리 세부현황'!$C:$C,$AJ55,'2023년 신조차 고장관리 세부현황'!$V:$V,'처리 현황'!AM$29)</f>
        <v>3</v>
      </c>
      <c r="AN55" s="187">
        <f>COUNTIFS('2023년 신조차 고장관리 세부현황'!$D:$D,"2023",'2023년 신조차 고장관리 세부현황'!$C:$C,$AJ55,'2023년 신조차 고장관리 세부현황'!$V:$V,'처리 현황'!AN$29)</f>
        <v>0</v>
      </c>
      <c r="AO55" s="187">
        <f>COUNTIFS('2023년 신조차 고장관리 세부현황'!$D:$D,"2023",'2023년 신조차 고장관리 세부현황'!$C:$C,$AJ55,'2023년 신조차 고장관리 세부현황'!$V:$V,'처리 현황'!AO$29)</f>
        <v>0</v>
      </c>
      <c r="AP55" s="187">
        <f>COUNTIFS('2023년 신조차 고장관리 세부현황'!$D:$D,"2023",'2023년 신조차 고장관리 세부현황'!$C:$C,$AJ55,'2023년 신조차 고장관리 세부현황'!$V:$V,'처리 현황'!AP$29)</f>
        <v>0</v>
      </c>
      <c r="AQ55" s="187">
        <f>COUNTIFS('2023년 신조차 고장관리 세부현황'!$D:$D,"2023",'2023년 신조차 고장관리 세부현황'!$C:$C,$AJ55,'2023년 신조차 고장관리 세부현황'!$V:$V,'처리 현황'!AQ$29)</f>
        <v>0</v>
      </c>
      <c r="AR55" s="190">
        <f t="shared" si="7"/>
        <v>0</v>
      </c>
      <c r="AX55" s="187">
        <f>COUNTIFS('2023년 신조차 고장관리 세부현황'!$D:$D,"2023",'2023년 신조차 고장관리 세부현황'!$C:$C,$AJ55,'2023년 신조차 고장관리 세부현황'!$L:$L,'처리 현황'!AX$29)</f>
        <v>0</v>
      </c>
      <c r="AY55" s="187">
        <f>COUNTIFS('2023년 신조차 고장관리 세부현황'!$D:$D,"2023",'2023년 신조차 고장관리 세부현황'!$C:$C,$AJ55,'2023년 신조차 고장관리 세부현황'!$L:$L,'처리 현황'!AY$29)</f>
        <v>0</v>
      </c>
      <c r="AZ55" s="187">
        <f>COUNTIFS('2023년 신조차 고장관리 세부현황'!$D:$D,"2023",'2023년 신조차 고장관리 세부현황'!$C:$C,$AJ55,'2023년 신조차 고장관리 세부현황'!$L:$L,'처리 현황'!AZ$29)</f>
        <v>0</v>
      </c>
      <c r="BA55" s="187">
        <f>COUNTIFS('2023년 신조차 고장관리 세부현황'!$D:$D,"2023",'2023년 신조차 고장관리 세부현황'!$C:$C,$AJ55,'2023년 신조차 고장관리 세부현황'!$L:$L,'처리 현황'!BA$29)</f>
        <v>1</v>
      </c>
      <c r="BB55" s="187">
        <f>COUNTIFS('2023년 신조차 고장관리 세부현황'!$D:$D,"2023",'2023년 신조차 고장관리 세부현황'!$C:$C,$AJ55,'2023년 신조차 고장관리 세부현황'!$L:$L,'처리 현황'!BB$29)</f>
        <v>2</v>
      </c>
      <c r="BC55" s="187">
        <f>COUNTIFS('2023년 신조차 고장관리 세부현황'!$D:$D,"2023",'2023년 신조차 고장관리 세부현황'!$C:$C,$AJ55,'2023년 신조차 고장관리 세부현황'!$L:$L,'처리 현황'!BC$29)</f>
        <v>0</v>
      </c>
      <c r="BD55" s="187">
        <f>COUNTIFS('2023년 신조차 고장관리 세부현황'!$D:$D,"2023",'2023년 신조차 고장관리 세부현황'!$C:$C,$AJ55,'2023년 신조차 고장관리 세부현황'!$L:$L,'처리 현황'!BD$29)</f>
        <v>0</v>
      </c>
    </row>
    <row r="56" spans="35:56" x14ac:dyDescent="0.4">
      <c r="AI56" s="187">
        <v>7</v>
      </c>
      <c r="AJ56">
        <v>27</v>
      </c>
      <c r="AL56" s="187">
        <f>COUNTIFS('2023년 신조차 고장관리 세부현황'!$D:$D,"2023",'2023년 신조차 고장관리 세부현황'!$C:$C,$AJ56)</f>
        <v>1</v>
      </c>
      <c r="AM56" s="187">
        <f>COUNTIFS('2023년 신조차 고장관리 세부현황'!$D:$D,"2023",'2023년 신조차 고장관리 세부현황'!$C:$C,$AJ56,'2023년 신조차 고장관리 세부현황'!$V:$V,'처리 현황'!AM$29)</f>
        <v>1</v>
      </c>
      <c r="AN56" s="187">
        <f>COUNTIFS('2023년 신조차 고장관리 세부현황'!$D:$D,"2023",'2023년 신조차 고장관리 세부현황'!$C:$C,$AJ56,'2023년 신조차 고장관리 세부현황'!$V:$V,'처리 현황'!AN$29)</f>
        <v>0</v>
      </c>
      <c r="AO56" s="187">
        <f>COUNTIFS('2023년 신조차 고장관리 세부현황'!$D:$D,"2023",'2023년 신조차 고장관리 세부현황'!$C:$C,$AJ56,'2023년 신조차 고장관리 세부현황'!$V:$V,'처리 현황'!AO$29)</f>
        <v>0</v>
      </c>
      <c r="AP56" s="187">
        <f>COUNTIFS('2023년 신조차 고장관리 세부현황'!$D:$D,"2023",'2023년 신조차 고장관리 세부현황'!$C:$C,$AJ56,'2023년 신조차 고장관리 세부현황'!$V:$V,'처리 현황'!AP$29)</f>
        <v>0</v>
      </c>
      <c r="AQ56" s="187">
        <f>COUNTIFS('2023년 신조차 고장관리 세부현황'!$D:$D,"2023",'2023년 신조차 고장관리 세부현황'!$C:$C,$AJ56,'2023년 신조차 고장관리 세부현황'!$V:$V,'처리 현황'!AQ$29)</f>
        <v>0</v>
      </c>
      <c r="AR56" s="190">
        <f t="shared" si="7"/>
        <v>0</v>
      </c>
      <c r="AX56" s="187">
        <f>COUNTIFS('2023년 신조차 고장관리 세부현황'!$D:$D,"2023",'2023년 신조차 고장관리 세부현황'!$C:$C,$AJ56,'2023년 신조차 고장관리 세부현황'!$L:$L,'처리 현황'!AX$29)</f>
        <v>0</v>
      </c>
      <c r="AY56" s="187">
        <f>COUNTIFS('2023년 신조차 고장관리 세부현황'!$D:$D,"2023",'2023년 신조차 고장관리 세부현황'!$C:$C,$AJ56,'2023년 신조차 고장관리 세부현황'!$L:$L,'처리 현황'!AY$29)</f>
        <v>0</v>
      </c>
      <c r="AZ56" s="187">
        <f>COUNTIFS('2023년 신조차 고장관리 세부현황'!$D:$D,"2023",'2023년 신조차 고장관리 세부현황'!$C:$C,$AJ56,'2023년 신조차 고장관리 세부현황'!$L:$L,'처리 현황'!AZ$29)</f>
        <v>0</v>
      </c>
      <c r="BA56" s="187">
        <f>COUNTIFS('2023년 신조차 고장관리 세부현황'!$D:$D,"2023",'2023년 신조차 고장관리 세부현황'!$C:$C,$AJ56,'2023년 신조차 고장관리 세부현황'!$L:$L,'처리 현황'!BA$29)</f>
        <v>0</v>
      </c>
      <c r="BB56" s="187">
        <f>COUNTIFS('2023년 신조차 고장관리 세부현황'!$D:$D,"2023",'2023년 신조차 고장관리 세부현황'!$C:$C,$AJ56,'2023년 신조차 고장관리 세부현황'!$L:$L,'처리 현황'!BB$29)</f>
        <v>1</v>
      </c>
      <c r="BC56" s="187">
        <f>COUNTIFS('2023년 신조차 고장관리 세부현황'!$D:$D,"2023",'2023년 신조차 고장관리 세부현황'!$C:$C,$AJ56,'2023년 신조차 고장관리 세부현황'!$L:$L,'처리 현황'!BC$29)</f>
        <v>0</v>
      </c>
      <c r="BD56" s="187">
        <f>COUNTIFS('2023년 신조차 고장관리 세부현황'!$D:$D,"2023",'2023년 신조차 고장관리 세부현황'!$C:$C,$AJ56,'2023년 신조차 고장관리 세부현황'!$L:$L,'처리 현황'!BD$29)</f>
        <v>0</v>
      </c>
    </row>
    <row r="57" spans="35:56" x14ac:dyDescent="0.4">
      <c r="AI57" s="187">
        <v>7</v>
      </c>
      <c r="AJ57">
        <v>28</v>
      </c>
      <c r="AL57" s="187">
        <f>COUNTIFS('2023년 신조차 고장관리 세부현황'!$D:$D,"2023",'2023년 신조차 고장관리 세부현황'!$C:$C,$AJ57)</f>
        <v>1</v>
      </c>
      <c r="AM57" s="187">
        <f>COUNTIFS('2023년 신조차 고장관리 세부현황'!$D:$D,"2023",'2023년 신조차 고장관리 세부현황'!$C:$C,$AJ57,'2023년 신조차 고장관리 세부현황'!$V:$V,'처리 현황'!AM$29)</f>
        <v>1</v>
      </c>
      <c r="AN57" s="187">
        <f>COUNTIFS('2023년 신조차 고장관리 세부현황'!$D:$D,"2023",'2023년 신조차 고장관리 세부현황'!$C:$C,$AJ57,'2023년 신조차 고장관리 세부현황'!$V:$V,'처리 현황'!AN$29)</f>
        <v>0</v>
      </c>
      <c r="AO57" s="187">
        <f>COUNTIFS('2023년 신조차 고장관리 세부현황'!$D:$D,"2023",'2023년 신조차 고장관리 세부현황'!$C:$C,$AJ57,'2023년 신조차 고장관리 세부현황'!$V:$V,'처리 현황'!AO$29)</f>
        <v>0</v>
      </c>
      <c r="AP57" s="187">
        <f>COUNTIFS('2023년 신조차 고장관리 세부현황'!$D:$D,"2023",'2023년 신조차 고장관리 세부현황'!$C:$C,$AJ57,'2023년 신조차 고장관리 세부현황'!$V:$V,'처리 현황'!AP$29)</f>
        <v>0</v>
      </c>
      <c r="AQ57" s="187">
        <f>COUNTIFS('2023년 신조차 고장관리 세부현황'!$D:$D,"2023",'2023년 신조차 고장관리 세부현황'!$C:$C,$AJ57,'2023년 신조차 고장관리 세부현황'!$V:$V,'처리 현황'!AQ$29)</f>
        <v>0</v>
      </c>
      <c r="AR57" s="190">
        <f t="shared" si="7"/>
        <v>0</v>
      </c>
      <c r="AX57" s="187">
        <f>COUNTIFS('2023년 신조차 고장관리 세부현황'!$D:$D,"2023",'2023년 신조차 고장관리 세부현황'!$C:$C,$AJ57,'2023년 신조차 고장관리 세부현황'!$L:$L,'처리 현황'!AX$29)</f>
        <v>0</v>
      </c>
      <c r="AY57" s="187">
        <f>COUNTIFS('2023년 신조차 고장관리 세부현황'!$D:$D,"2023",'2023년 신조차 고장관리 세부현황'!$C:$C,$AJ57,'2023년 신조차 고장관리 세부현황'!$L:$L,'처리 현황'!AY$29)</f>
        <v>0</v>
      </c>
      <c r="AZ57" s="187">
        <f>COUNTIFS('2023년 신조차 고장관리 세부현황'!$D:$D,"2023",'2023년 신조차 고장관리 세부현황'!$C:$C,$AJ57,'2023년 신조차 고장관리 세부현황'!$L:$L,'처리 현황'!AZ$29)</f>
        <v>0</v>
      </c>
      <c r="BA57" s="187">
        <f>COUNTIFS('2023년 신조차 고장관리 세부현황'!$D:$D,"2023",'2023년 신조차 고장관리 세부현황'!$C:$C,$AJ57,'2023년 신조차 고장관리 세부현황'!$L:$L,'처리 현황'!BA$29)</f>
        <v>0</v>
      </c>
      <c r="BB57" s="187">
        <f>COUNTIFS('2023년 신조차 고장관리 세부현황'!$D:$D,"2023",'2023년 신조차 고장관리 세부현황'!$C:$C,$AJ57,'2023년 신조차 고장관리 세부현황'!$L:$L,'처리 현황'!BB$29)</f>
        <v>1</v>
      </c>
      <c r="BC57" s="187">
        <f>COUNTIFS('2023년 신조차 고장관리 세부현황'!$D:$D,"2023",'2023년 신조차 고장관리 세부현황'!$C:$C,$AJ57,'2023년 신조차 고장관리 세부현황'!$L:$L,'처리 현황'!BC$29)</f>
        <v>0</v>
      </c>
      <c r="BD57" s="187">
        <f>COUNTIFS('2023년 신조차 고장관리 세부현황'!$D:$D,"2023",'2023년 신조차 고장관리 세부현황'!$C:$C,$AJ57,'2023년 신조차 고장관리 세부현황'!$L:$L,'처리 현황'!BD$29)</f>
        <v>0</v>
      </c>
    </row>
    <row r="58" spans="35:56" x14ac:dyDescent="0.4">
      <c r="AI58" s="187">
        <v>7</v>
      </c>
      <c r="AJ58">
        <v>29</v>
      </c>
      <c r="AL58" s="187">
        <f>COUNTIFS('2023년 신조차 고장관리 세부현황'!$D:$D,"2023",'2023년 신조차 고장관리 세부현황'!$C:$C,$AJ58)</f>
        <v>4</v>
      </c>
      <c r="AM58" s="187">
        <f>COUNTIFS('2023년 신조차 고장관리 세부현황'!$D:$D,"2023",'2023년 신조차 고장관리 세부현황'!$C:$C,$AJ58,'2023년 신조차 고장관리 세부현황'!$V:$V,'처리 현황'!AM$29)</f>
        <v>4</v>
      </c>
      <c r="AN58" s="187">
        <f>COUNTIFS('2023년 신조차 고장관리 세부현황'!$D:$D,"2023",'2023년 신조차 고장관리 세부현황'!$C:$C,$AJ58,'2023년 신조차 고장관리 세부현황'!$V:$V,'처리 현황'!AN$29)</f>
        <v>0</v>
      </c>
      <c r="AO58" s="187">
        <f>COUNTIFS('2023년 신조차 고장관리 세부현황'!$D:$D,"2023",'2023년 신조차 고장관리 세부현황'!$C:$C,$AJ58,'2023년 신조차 고장관리 세부현황'!$V:$V,'처리 현황'!AO$29)</f>
        <v>0</v>
      </c>
      <c r="AP58" s="187">
        <f>COUNTIFS('2023년 신조차 고장관리 세부현황'!$D:$D,"2023",'2023년 신조차 고장관리 세부현황'!$C:$C,$AJ58,'2023년 신조차 고장관리 세부현황'!$V:$V,'처리 현황'!AP$29)</f>
        <v>0</v>
      </c>
      <c r="AQ58" s="187">
        <f>COUNTIFS('2023년 신조차 고장관리 세부현황'!$D:$D,"2023",'2023년 신조차 고장관리 세부현황'!$C:$C,$AJ58,'2023년 신조차 고장관리 세부현황'!$V:$V,'처리 현황'!AQ$29)</f>
        <v>0</v>
      </c>
      <c r="AR58" s="190">
        <f t="shared" si="7"/>
        <v>0</v>
      </c>
      <c r="AX58" s="187">
        <f>COUNTIFS('2023년 신조차 고장관리 세부현황'!$D:$D,"2023",'2023년 신조차 고장관리 세부현황'!$C:$C,$AJ58,'2023년 신조차 고장관리 세부현황'!$L:$L,'처리 현황'!AX$29)</f>
        <v>0</v>
      </c>
      <c r="AY58" s="187">
        <f>COUNTIFS('2023년 신조차 고장관리 세부현황'!$D:$D,"2023",'2023년 신조차 고장관리 세부현황'!$C:$C,$AJ58,'2023년 신조차 고장관리 세부현황'!$L:$L,'처리 현황'!AY$29)</f>
        <v>0</v>
      </c>
      <c r="AZ58" s="187">
        <f>COUNTIFS('2023년 신조차 고장관리 세부현황'!$D:$D,"2023",'2023년 신조차 고장관리 세부현황'!$C:$C,$AJ58,'2023년 신조차 고장관리 세부현황'!$L:$L,'처리 현황'!AZ$29)</f>
        <v>0</v>
      </c>
      <c r="BA58" s="187">
        <f>COUNTIFS('2023년 신조차 고장관리 세부현황'!$D:$D,"2023",'2023년 신조차 고장관리 세부현황'!$C:$C,$AJ58,'2023년 신조차 고장관리 세부현황'!$L:$L,'처리 현황'!BA$29)</f>
        <v>0</v>
      </c>
      <c r="BB58" s="187">
        <f>COUNTIFS('2023년 신조차 고장관리 세부현황'!$D:$D,"2023",'2023년 신조차 고장관리 세부현황'!$C:$C,$AJ58,'2023년 신조차 고장관리 세부현황'!$L:$L,'처리 현황'!BB$29)</f>
        <v>4</v>
      </c>
      <c r="BC58" s="187">
        <f>COUNTIFS('2023년 신조차 고장관리 세부현황'!$D:$D,"2023",'2023년 신조차 고장관리 세부현황'!$C:$C,$AJ58,'2023년 신조차 고장관리 세부현황'!$L:$L,'처리 현황'!BC$29)</f>
        <v>0</v>
      </c>
      <c r="BD58" s="187">
        <f>COUNTIFS('2023년 신조차 고장관리 세부현황'!$D:$D,"2023",'2023년 신조차 고장관리 세부현황'!$C:$C,$AJ58,'2023년 신조차 고장관리 세부현황'!$L:$L,'처리 현황'!BD$29)</f>
        <v>0</v>
      </c>
    </row>
    <row r="59" spans="35:56" x14ac:dyDescent="0.4">
      <c r="AI59" s="187">
        <v>7</v>
      </c>
      <c r="AJ59">
        <v>30</v>
      </c>
      <c r="AL59" s="187">
        <f>COUNTIFS('2023년 신조차 고장관리 세부현황'!$D:$D,"2023",'2023년 신조차 고장관리 세부현황'!$C:$C,$AJ59)</f>
        <v>1</v>
      </c>
      <c r="AM59" s="187">
        <f>COUNTIFS('2023년 신조차 고장관리 세부현황'!$D:$D,"2023",'2023년 신조차 고장관리 세부현황'!$C:$C,$AJ59,'2023년 신조차 고장관리 세부현황'!$V:$V,'처리 현황'!AM$29)</f>
        <v>1</v>
      </c>
      <c r="AN59" s="187">
        <f>COUNTIFS('2023년 신조차 고장관리 세부현황'!$D:$D,"2023",'2023년 신조차 고장관리 세부현황'!$C:$C,$AJ59,'2023년 신조차 고장관리 세부현황'!$V:$V,'처리 현황'!AN$29)</f>
        <v>0</v>
      </c>
      <c r="AO59" s="187">
        <f>COUNTIFS('2023년 신조차 고장관리 세부현황'!$D:$D,"2023",'2023년 신조차 고장관리 세부현황'!$C:$C,$AJ59,'2023년 신조차 고장관리 세부현황'!$V:$V,'처리 현황'!AO$29)</f>
        <v>0</v>
      </c>
      <c r="AP59" s="187">
        <f>COUNTIFS('2023년 신조차 고장관리 세부현황'!$D:$D,"2023",'2023년 신조차 고장관리 세부현황'!$C:$C,$AJ59,'2023년 신조차 고장관리 세부현황'!$V:$V,'처리 현황'!AP$29)</f>
        <v>0</v>
      </c>
      <c r="AQ59" s="187">
        <f>COUNTIFS('2023년 신조차 고장관리 세부현황'!$D:$D,"2023",'2023년 신조차 고장관리 세부현황'!$C:$C,$AJ59,'2023년 신조차 고장관리 세부현황'!$V:$V,'처리 현황'!AQ$29)</f>
        <v>0</v>
      </c>
      <c r="AR59" s="190">
        <f t="shared" si="7"/>
        <v>0</v>
      </c>
      <c r="AX59" s="187">
        <f>COUNTIFS('2023년 신조차 고장관리 세부현황'!$D:$D,"2023",'2023년 신조차 고장관리 세부현황'!$C:$C,$AJ59,'2023년 신조차 고장관리 세부현황'!$L:$L,'처리 현황'!AX$29)</f>
        <v>0</v>
      </c>
      <c r="AY59" s="187">
        <f>COUNTIFS('2023년 신조차 고장관리 세부현황'!$D:$D,"2023",'2023년 신조차 고장관리 세부현황'!$C:$C,$AJ59,'2023년 신조차 고장관리 세부현황'!$L:$L,'처리 현황'!AY$29)</f>
        <v>0</v>
      </c>
      <c r="AZ59" s="187">
        <f>COUNTIFS('2023년 신조차 고장관리 세부현황'!$D:$D,"2023",'2023년 신조차 고장관리 세부현황'!$C:$C,$AJ59,'2023년 신조차 고장관리 세부현황'!$L:$L,'처리 현황'!AZ$29)</f>
        <v>0</v>
      </c>
      <c r="BA59" s="187">
        <f>COUNTIFS('2023년 신조차 고장관리 세부현황'!$D:$D,"2023",'2023년 신조차 고장관리 세부현황'!$C:$C,$AJ59,'2023년 신조차 고장관리 세부현황'!$L:$L,'처리 현황'!BA$29)</f>
        <v>1</v>
      </c>
      <c r="BB59" s="187">
        <f>COUNTIFS('2023년 신조차 고장관리 세부현황'!$D:$D,"2023",'2023년 신조차 고장관리 세부현황'!$C:$C,$AJ59,'2023년 신조차 고장관리 세부현황'!$L:$L,'처리 현황'!BB$29)</f>
        <v>0</v>
      </c>
      <c r="BC59" s="187">
        <f>COUNTIFS('2023년 신조차 고장관리 세부현황'!$D:$D,"2023",'2023년 신조차 고장관리 세부현황'!$C:$C,$AJ59,'2023년 신조차 고장관리 세부현황'!$L:$L,'처리 현황'!BC$29)</f>
        <v>0</v>
      </c>
      <c r="BD59" s="187">
        <f>COUNTIFS('2023년 신조차 고장관리 세부현황'!$D:$D,"2023",'2023년 신조차 고장관리 세부현황'!$C:$C,$AJ59,'2023년 신조차 고장관리 세부현황'!$L:$L,'처리 현황'!BD$29)</f>
        <v>0</v>
      </c>
    </row>
    <row r="60" spans="35:56" x14ac:dyDescent="0.4">
      <c r="AI60" s="187">
        <v>8</v>
      </c>
      <c r="AJ60">
        <v>31</v>
      </c>
      <c r="AL60" s="187">
        <f>COUNTIFS('2023년 신조차 고장관리 세부현황'!$D:$D,"2023",'2023년 신조차 고장관리 세부현황'!$C:$C,$AJ60)</f>
        <v>2</v>
      </c>
      <c r="AM60" s="187">
        <f>COUNTIFS('2023년 신조차 고장관리 세부현황'!$D:$D,"2023",'2023년 신조차 고장관리 세부현황'!$C:$C,$AJ60,'2023년 신조차 고장관리 세부현황'!$V:$V,'처리 현황'!AM$29)</f>
        <v>2</v>
      </c>
      <c r="AN60" s="187">
        <f>COUNTIFS('2023년 신조차 고장관리 세부현황'!$D:$D,"2023",'2023년 신조차 고장관리 세부현황'!$C:$C,$AJ60,'2023년 신조차 고장관리 세부현황'!$V:$V,'처리 현황'!AN$29)</f>
        <v>0</v>
      </c>
      <c r="AO60" s="187">
        <f>COUNTIFS('2023년 신조차 고장관리 세부현황'!$D:$D,"2023",'2023년 신조차 고장관리 세부현황'!$C:$C,$AJ60,'2023년 신조차 고장관리 세부현황'!$V:$V,'처리 현황'!AO$29)</f>
        <v>0</v>
      </c>
      <c r="AP60" s="187">
        <f>COUNTIFS('2023년 신조차 고장관리 세부현황'!$D:$D,"2023",'2023년 신조차 고장관리 세부현황'!$C:$C,$AJ60,'2023년 신조차 고장관리 세부현황'!$V:$V,'처리 현황'!AP$29)</f>
        <v>0</v>
      </c>
      <c r="AQ60" s="187">
        <f>COUNTIFS('2023년 신조차 고장관리 세부현황'!$D:$D,"2023",'2023년 신조차 고장관리 세부현황'!$C:$C,$AJ60,'2023년 신조차 고장관리 세부현황'!$V:$V,'처리 현황'!AQ$29)</f>
        <v>0</v>
      </c>
      <c r="AR60" s="190">
        <f t="shared" si="7"/>
        <v>0</v>
      </c>
      <c r="AX60" s="187">
        <f>COUNTIFS('2023년 신조차 고장관리 세부현황'!$D:$D,"2023",'2023년 신조차 고장관리 세부현황'!$C:$C,$AJ60,'2023년 신조차 고장관리 세부현황'!$L:$L,'처리 현황'!AX$29)</f>
        <v>0</v>
      </c>
      <c r="AY60" s="187">
        <f>COUNTIFS('2023년 신조차 고장관리 세부현황'!$D:$D,"2023",'2023년 신조차 고장관리 세부현황'!$C:$C,$AJ60,'2023년 신조차 고장관리 세부현황'!$L:$L,'처리 현황'!AY$29)</f>
        <v>0</v>
      </c>
      <c r="AZ60" s="187">
        <f>COUNTIFS('2023년 신조차 고장관리 세부현황'!$D:$D,"2023",'2023년 신조차 고장관리 세부현황'!$C:$C,$AJ60,'2023년 신조차 고장관리 세부현황'!$L:$L,'처리 현황'!AZ$29)</f>
        <v>0</v>
      </c>
      <c r="BA60" s="187">
        <f>COUNTIFS('2023년 신조차 고장관리 세부현황'!$D:$D,"2023",'2023년 신조차 고장관리 세부현황'!$C:$C,$AJ60,'2023년 신조차 고장관리 세부현황'!$L:$L,'처리 현황'!BA$29)</f>
        <v>0</v>
      </c>
      <c r="BB60" s="187">
        <f>COUNTIFS('2023년 신조차 고장관리 세부현황'!$D:$D,"2023",'2023년 신조차 고장관리 세부현황'!$C:$C,$AJ60,'2023년 신조차 고장관리 세부현황'!$L:$L,'처리 현황'!BB$29)</f>
        <v>2</v>
      </c>
      <c r="BC60" s="187">
        <f>COUNTIFS('2023년 신조차 고장관리 세부현황'!$D:$D,"2023",'2023년 신조차 고장관리 세부현황'!$C:$C,$AJ60,'2023년 신조차 고장관리 세부현황'!$L:$L,'처리 현황'!BC$29)</f>
        <v>0</v>
      </c>
      <c r="BD60" s="187">
        <f>COUNTIFS('2023년 신조차 고장관리 세부현황'!$D:$D,"2023",'2023년 신조차 고장관리 세부현황'!$C:$C,$AJ60,'2023년 신조차 고장관리 세부현황'!$L:$L,'처리 현황'!BD$29)</f>
        <v>0</v>
      </c>
    </row>
    <row r="61" spans="35:56" x14ac:dyDescent="0.4">
      <c r="AI61" s="187">
        <v>8</v>
      </c>
      <c r="AJ61">
        <v>32</v>
      </c>
      <c r="AL61" s="187">
        <f>COUNTIFS('2023년 신조차 고장관리 세부현황'!$D:$D,"2023",'2023년 신조차 고장관리 세부현황'!$C:$C,$AJ61)</f>
        <v>0</v>
      </c>
      <c r="AM61" s="187">
        <f>COUNTIFS('2023년 신조차 고장관리 세부현황'!$D:$D,"2023",'2023년 신조차 고장관리 세부현황'!$C:$C,$AJ61,'2023년 신조차 고장관리 세부현황'!$V:$V,'처리 현황'!AM$29)</f>
        <v>0</v>
      </c>
      <c r="AN61" s="187">
        <f>COUNTIFS('2023년 신조차 고장관리 세부현황'!$D:$D,"2023",'2023년 신조차 고장관리 세부현황'!$C:$C,$AJ61,'2023년 신조차 고장관리 세부현황'!$V:$V,'처리 현황'!AN$29)</f>
        <v>0</v>
      </c>
      <c r="AO61" s="187">
        <f>COUNTIFS('2023년 신조차 고장관리 세부현황'!$D:$D,"2023",'2023년 신조차 고장관리 세부현황'!$C:$C,$AJ61,'2023년 신조차 고장관리 세부현황'!$V:$V,'처리 현황'!AO$29)</f>
        <v>0</v>
      </c>
      <c r="AP61" s="187">
        <f>COUNTIFS('2023년 신조차 고장관리 세부현황'!$D:$D,"2023",'2023년 신조차 고장관리 세부현황'!$C:$C,$AJ61,'2023년 신조차 고장관리 세부현황'!$V:$V,'처리 현황'!AP$29)</f>
        <v>0</v>
      </c>
      <c r="AQ61" s="187">
        <f>COUNTIFS('2023년 신조차 고장관리 세부현황'!$D:$D,"2023",'2023년 신조차 고장관리 세부현황'!$C:$C,$AJ61,'2023년 신조차 고장관리 세부현황'!$V:$V,'처리 현황'!AQ$29)</f>
        <v>0</v>
      </c>
      <c r="AR61" s="190">
        <f t="shared" si="7"/>
        <v>0</v>
      </c>
      <c r="AX61" s="187">
        <f>COUNTIFS('2023년 신조차 고장관리 세부현황'!$D:$D,"2023",'2023년 신조차 고장관리 세부현황'!$C:$C,$AJ61,'2023년 신조차 고장관리 세부현황'!$L:$L,'처리 현황'!AX$29)</f>
        <v>0</v>
      </c>
      <c r="AY61" s="187">
        <f>COUNTIFS('2023년 신조차 고장관리 세부현황'!$D:$D,"2023",'2023년 신조차 고장관리 세부현황'!$C:$C,$AJ61,'2023년 신조차 고장관리 세부현황'!$L:$L,'처리 현황'!AY$29)</f>
        <v>0</v>
      </c>
      <c r="AZ61" s="187">
        <f>COUNTIFS('2023년 신조차 고장관리 세부현황'!$D:$D,"2023",'2023년 신조차 고장관리 세부현황'!$C:$C,$AJ61,'2023년 신조차 고장관리 세부현황'!$L:$L,'처리 현황'!AZ$29)</f>
        <v>0</v>
      </c>
      <c r="BA61" s="187">
        <f>COUNTIFS('2023년 신조차 고장관리 세부현황'!$D:$D,"2023",'2023년 신조차 고장관리 세부현황'!$C:$C,$AJ61,'2023년 신조차 고장관리 세부현황'!$L:$L,'처리 현황'!BA$29)</f>
        <v>0</v>
      </c>
      <c r="BB61" s="187">
        <f>COUNTIFS('2023년 신조차 고장관리 세부현황'!$D:$D,"2023",'2023년 신조차 고장관리 세부현황'!$C:$C,$AJ61,'2023년 신조차 고장관리 세부현황'!$L:$L,'처리 현황'!BB$29)</f>
        <v>0</v>
      </c>
      <c r="BC61" s="187">
        <f>COUNTIFS('2023년 신조차 고장관리 세부현황'!$D:$D,"2023",'2023년 신조차 고장관리 세부현황'!$C:$C,$AJ61,'2023년 신조차 고장관리 세부현황'!$L:$L,'처리 현황'!BC$29)</f>
        <v>0</v>
      </c>
      <c r="BD61" s="187">
        <f>COUNTIFS('2023년 신조차 고장관리 세부현황'!$D:$D,"2023",'2023년 신조차 고장관리 세부현황'!$C:$C,$AJ61,'2023년 신조차 고장관리 세부현황'!$L:$L,'처리 현황'!BD$29)</f>
        <v>0</v>
      </c>
    </row>
    <row r="62" spans="35:56" x14ac:dyDescent="0.4">
      <c r="AI62" s="187">
        <v>8</v>
      </c>
      <c r="AJ62">
        <v>33</v>
      </c>
      <c r="AL62" s="187">
        <f>COUNTIFS('2023년 신조차 고장관리 세부현황'!$D:$D,"2023",'2023년 신조차 고장관리 세부현황'!$C:$C,$AJ62)</f>
        <v>1</v>
      </c>
      <c r="AM62" s="187">
        <f>COUNTIFS('2023년 신조차 고장관리 세부현황'!$D:$D,"2023",'2023년 신조차 고장관리 세부현황'!$C:$C,$AJ62,'2023년 신조차 고장관리 세부현황'!$V:$V,'처리 현황'!AM$29)</f>
        <v>1</v>
      </c>
      <c r="AN62" s="187">
        <f>COUNTIFS('2023년 신조차 고장관리 세부현황'!$D:$D,"2023",'2023년 신조차 고장관리 세부현황'!$C:$C,$AJ62,'2023년 신조차 고장관리 세부현황'!$V:$V,'처리 현황'!AN$29)</f>
        <v>0</v>
      </c>
      <c r="AO62" s="187">
        <f>COUNTIFS('2023년 신조차 고장관리 세부현황'!$D:$D,"2023",'2023년 신조차 고장관리 세부현황'!$C:$C,$AJ62,'2023년 신조차 고장관리 세부현황'!$V:$V,'처리 현황'!AO$29)</f>
        <v>0</v>
      </c>
      <c r="AP62" s="187">
        <f>COUNTIFS('2023년 신조차 고장관리 세부현황'!$D:$D,"2023",'2023년 신조차 고장관리 세부현황'!$C:$C,$AJ62,'2023년 신조차 고장관리 세부현황'!$V:$V,'처리 현황'!AP$29)</f>
        <v>0</v>
      </c>
      <c r="AQ62" s="187">
        <f>COUNTIFS('2023년 신조차 고장관리 세부현황'!$D:$D,"2023",'2023년 신조차 고장관리 세부현황'!$C:$C,$AJ62,'2023년 신조차 고장관리 세부현황'!$V:$V,'처리 현황'!AQ$29)</f>
        <v>0</v>
      </c>
      <c r="AR62" s="190">
        <f t="shared" si="7"/>
        <v>0</v>
      </c>
      <c r="AX62" s="187">
        <f>COUNTIFS('2023년 신조차 고장관리 세부현황'!$D:$D,"2023",'2023년 신조차 고장관리 세부현황'!$C:$C,$AJ62,'2023년 신조차 고장관리 세부현황'!$L:$L,'처리 현황'!AX$29)</f>
        <v>0</v>
      </c>
      <c r="AY62" s="187">
        <f>COUNTIFS('2023년 신조차 고장관리 세부현황'!$D:$D,"2023",'2023년 신조차 고장관리 세부현황'!$C:$C,$AJ62,'2023년 신조차 고장관리 세부현황'!$L:$L,'처리 현황'!AY$29)</f>
        <v>0</v>
      </c>
      <c r="AZ62" s="187">
        <f>COUNTIFS('2023년 신조차 고장관리 세부현황'!$D:$D,"2023",'2023년 신조차 고장관리 세부현황'!$C:$C,$AJ62,'2023년 신조차 고장관리 세부현황'!$L:$L,'처리 현황'!AZ$29)</f>
        <v>0</v>
      </c>
      <c r="BA62" s="187">
        <f>COUNTIFS('2023년 신조차 고장관리 세부현황'!$D:$D,"2023",'2023년 신조차 고장관리 세부현황'!$C:$C,$AJ62,'2023년 신조차 고장관리 세부현황'!$L:$L,'처리 현황'!BA$29)</f>
        <v>0</v>
      </c>
      <c r="BB62" s="187">
        <f>COUNTIFS('2023년 신조차 고장관리 세부현황'!$D:$D,"2023",'2023년 신조차 고장관리 세부현황'!$C:$C,$AJ62,'2023년 신조차 고장관리 세부현황'!$L:$L,'처리 현황'!BB$29)</f>
        <v>1</v>
      </c>
      <c r="BC62" s="187">
        <f>COUNTIFS('2023년 신조차 고장관리 세부현황'!$D:$D,"2023",'2023년 신조차 고장관리 세부현황'!$C:$C,$AJ62,'2023년 신조차 고장관리 세부현황'!$L:$L,'처리 현황'!BC$29)</f>
        <v>0</v>
      </c>
      <c r="BD62" s="187">
        <f>COUNTIFS('2023년 신조차 고장관리 세부현황'!$D:$D,"2023",'2023년 신조차 고장관리 세부현황'!$C:$C,$AJ62,'2023년 신조차 고장관리 세부현황'!$L:$L,'처리 현황'!BD$29)</f>
        <v>0</v>
      </c>
    </row>
    <row r="63" spans="35:56" x14ac:dyDescent="0.4">
      <c r="AI63" s="187">
        <v>8</v>
      </c>
      <c r="AJ63">
        <v>34</v>
      </c>
      <c r="AL63" s="187">
        <f>COUNTIFS('2023년 신조차 고장관리 세부현황'!$D:$D,"2023",'2023년 신조차 고장관리 세부현황'!$C:$C,$AJ63)</f>
        <v>1</v>
      </c>
      <c r="AM63" s="187">
        <f>COUNTIFS('2023년 신조차 고장관리 세부현황'!$D:$D,"2023",'2023년 신조차 고장관리 세부현황'!$C:$C,$AJ63,'2023년 신조차 고장관리 세부현황'!$V:$V,'처리 현황'!AM$29)</f>
        <v>1</v>
      </c>
      <c r="AN63" s="187">
        <f>COUNTIFS('2023년 신조차 고장관리 세부현황'!$D:$D,"2023",'2023년 신조차 고장관리 세부현황'!$C:$C,$AJ63,'2023년 신조차 고장관리 세부현황'!$V:$V,'처리 현황'!AN$29)</f>
        <v>0</v>
      </c>
      <c r="AO63" s="187">
        <f>COUNTIFS('2023년 신조차 고장관리 세부현황'!$D:$D,"2023",'2023년 신조차 고장관리 세부현황'!$C:$C,$AJ63,'2023년 신조차 고장관리 세부현황'!$V:$V,'처리 현황'!AO$29)</f>
        <v>0</v>
      </c>
      <c r="AP63" s="187">
        <f>COUNTIFS('2023년 신조차 고장관리 세부현황'!$D:$D,"2023",'2023년 신조차 고장관리 세부현황'!$C:$C,$AJ63,'2023년 신조차 고장관리 세부현황'!$V:$V,'처리 현황'!AP$29)</f>
        <v>0</v>
      </c>
      <c r="AQ63" s="187">
        <f>COUNTIFS('2023년 신조차 고장관리 세부현황'!$D:$D,"2023",'2023년 신조차 고장관리 세부현황'!$C:$C,$AJ63,'2023년 신조차 고장관리 세부현황'!$V:$V,'처리 현황'!AQ$29)</f>
        <v>0</v>
      </c>
      <c r="AR63" s="190">
        <f t="shared" si="7"/>
        <v>0</v>
      </c>
      <c r="AX63" s="187">
        <f>COUNTIFS('2023년 신조차 고장관리 세부현황'!$D:$D,"2023",'2023년 신조차 고장관리 세부현황'!$C:$C,$AJ63,'2023년 신조차 고장관리 세부현황'!$L:$L,'처리 현황'!AX$29)</f>
        <v>0</v>
      </c>
      <c r="AY63" s="187">
        <f>COUNTIFS('2023년 신조차 고장관리 세부현황'!$D:$D,"2023",'2023년 신조차 고장관리 세부현황'!$C:$C,$AJ63,'2023년 신조차 고장관리 세부현황'!$L:$L,'처리 현황'!AY$29)</f>
        <v>0</v>
      </c>
      <c r="AZ63" s="187">
        <f>COUNTIFS('2023년 신조차 고장관리 세부현황'!$D:$D,"2023",'2023년 신조차 고장관리 세부현황'!$C:$C,$AJ63,'2023년 신조차 고장관리 세부현황'!$L:$L,'처리 현황'!AZ$29)</f>
        <v>0</v>
      </c>
      <c r="BA63" s="187">
        <f>COUNTIFS('2023년 신조차 고장관리 세부현황'!$D:$D,"2023",'2023년 신조차 고장관리 세부현황'!$C:$C,$AJ63,'2023년 신조차 고장관리 세부현황'!$L:$L,'처리 현황'!BA$29)</f>
        <v>0</v>
      </c>
      <c r="BB63" s="187">
        <f>COUNTIFS('2023년 신조차 고장관리 세부현황'!$D:$D,"2023",'2023년 신조차 고장관리 세부현황'!$C:$C,$AJ63,'2023년 신조차 고장관리 세부현황'!$L:$L,'처리 현황'!BB$29)</f>
        <v>1</v>
      </c>
      <c r="BC63" s="187">
        <f>COUNTIFS('2023년 신조차 고장관리 세부현황'!$D:$D,"2023",'2023년 신조차 고장관리 세부현황'!$C:$C,$AJ63,'2023년 신조차 고장관리 세부현황'!$L:$L,'처리 현황'!BC$29)</f>
        <v>0</v>
      </c>
      <c r="BD63" s="187">
        <f>COUNTIFS('2023년 신조차 고장관리 세부현황'!$D:$D,"2023",'2023년 신조차 고장관리 세부현황'!$C:$C,$AJ63,'2023년 신조차 고장관리 세부현황'!$L:$L,'처리 현황'!BD$29)</f>
        <v>0</v>
      </c>
    </row>
    <row r="64" spans="35:56" x14ac:dyDescent="0.4">
      <c r="AI64" s="187">
        <v>9</v>
      </c>
      <c r="AJ64">
        <v>35</v>
      </c>
      <c r="AL64" s="187">
        <f>COUNTIFS('2023년 신조차 고장관리 세부현황'!$D:$D,"2023",'2023년 신조차 고장관리 세부현황'!$C:$C,$AJ64)</f>
        <v>0</v>
      </c>
      <c r="AM64" s="187">
        <f>COUNTIFS('2023년 신조차 고장관리 세부현황'!$D:$D,"2023",'2023년 신조차 고장관리 세부현황'!$C:$C,$AJ64,'2023년 신조차 고장관리 세부현황'!$V:$V,'처리 현황'!AM$29)</f>
        <v>0</v>
      </c>
      <c r="AN64" s="187">
        <f>COUNTIFS('2023년 신조차 고장관리 세부현황'!$D:$D,"2023",'2023년 신조차 고장관리 세부현황'!$C:$C,$AJ64,'2023년 신조차 고장관리 세부현황'!$V:$V,'처리 현황'!AN$29)</f>
        <v>0</v>
      </c>
      <c r="AO64" s="187">
        <f>COUNTIFS('2023년 신조차 고장관리 세부현황'!$D:$D,"2023",'2023년 신조차 고장관리 세부현황'!$C:$C,$AJ64,'2023년 신조차 고장관리 세부현황'!$V:$V,'처리 현황'!AO$29)</f>
        <v>0</v>
      </c>
      <c r="AP64" s="187">
        <f>COUNTIFS('2023년 신조차 고장관리 세부현황'!$D:$D,"2023",'2023년 신조차 고장관리 세부현황'!$C:$C,$AJ64,'2023년 신조차 고장관리 세부현황'!$V:$V,'처리 현황'!AP$29)</f>
        <v>0</v>
      </c>
      <c r="AQ64" s="187">
        <f>COUNTIFS('2023년 신조차 고장관리 세부현황'!$D:$D,"2023",'2023년 신조차 고장관리 세부현황'!$C:$C,$AJ64,'2023년 신조차 고장관리 세부현황'!$V:$V,'처리 현황'!AQ$29)</f>
        <v>0</v>
      </c>
      <c r="AR64" s="190">
        <f t="shared" si="7"/>
        <v>0</v>
      </c>
      <c r="AX64" s="187">
        <f>COUNTIFS('2023년 신조차 고장관리 세부현황'!$D:$D,"2023",'2023년 신조차 고장관리 세부현황'!$C:$C,$AJ64,'2023년 신조차 고장관리 세부현황'!$L:$L,'처리 현황'!AX$29)</f>
        <v>0</v>
      </c>
      <c r="AY64" s="187">
        <f>COUNTIFS('2023년 신조차 고장관리 세부현황'!$D:$D,"2023",'2023년 신조차 고장관리 세부현황'!$C:$C,$AJ64,'2023년 신조차 고장관리 세부현황'!$L:$L,'처리 현황'!AY$29)</f>
        <v>0</v>
      </c>
      <c r="AZ64" s="187">
        <f>COUNTIFS('2023년 신조차 고장관리 세부현황'!$D:$D,"2023",'2023년 신조차 고장관리 세부현황'!$C:$C,$AJ64,'2023년 신조차 고장관리 세부현황'!$L:$L,'처리 현황'!AZ$29)</f>
        <v>0</v>
      </c>
      <c r="BA64" s="187">
        <f>COUNTIFS('2023년 신조차 고장관리 세부현황'!$D:$D,"2023",'2023년 신조차 고장관리 세부현황'!$C:$C,$AJ64,'2023년 신조차 고장관리 세부현황'!$L:$L,'처리 현황'!BA$29)</f>
        <v>0</v>
      </c>
      <c r="BB64" s="187">
        <f>COUNTIFS('2023년 신조차 고장관리 세부현황'!$D:$D,"2023",'2023년 신조차 고장관리 세부현황'!$C:$C,$AJ64,'2023년 신조차 고장관리 세부현황'!$L:$L,'처리 현황'!BB$29)</f>
        <v>0</v>
      </c>
      <c r="BC64" s="187">
        <f>COUNTIFS('2023년 신조차 고장관리 세부현황'!$D:$D,"2023",'2023년 신조차 고장관리 세부현황'!$C:$C,$AJ64,'2023년 신조차 고장관리 세부현황'!$L:$L,'처리 현황'!BC$29)</f>
        <v>0</v>
      </c>
      <c r="BD64" s="187">
        <f>COUNTIFS('2023년 신조차 고장관리 세부현황'!$D:$D,"2023",'2023년 신조차 고장관리 세부현황'!$C:$C,$AJ64,'2023년 신조차 고장관리 세부현황'!$L:$L,'처리 현황'!BD$29)</f>
        <v>0</v>
      </c>
    </row>
    <row r="65" spans="35:56" x14ac:dyDescent="0.4">
      <c r="AI65" s="187">
        <v>9</v>
      </c>
      <c r="AJ65">
        <v>36</v>
      </c>
      <c r="AL65" s="187">
        <f>COUNTIFS('2023년 신조차 고장관리 세부현황'!$D:$D,"2023",'2023년 신조차 고장관리 세부현황'!$C:$C,$AJ65)</f>
        <v>0</v>
      </c>
      <c r="AM65" s="187">
        <f>COUNTIFS('2023년 신조차 고장관리 세부현황'!$D:$D,"2023",'2023년 신조차 고장관리 세부현황'!$C:$C,$AJ65,'2023년 신조차 고장관리 세부현황'!$V:$V,'처리 현황'!AM$29)</f>
        <v>0</v>
      </c>
      <c r="AN65" s="187">
        <f>COUNTIFS('2023년 신조차 고장관리 세부현황'!$D:$D,"2023",'2023년 신조차 고장관리 세부현황'!$C:$C,$AJ65,'2023년 신조차 고장관리 세부현황'!$V:$V,'처리 현황'!AN$29)</f>
        <v>0</v>
      </c>
      <c r="AO65" s="187">
        <f>COUNTIFS('2023년 신조차 고장관리 세부현황'!$D:$D,"2023",'2023년 신조차 고장관리 세부현황'!$C:$C,$AJ65,'2023년 신조차 고장관리 세부현황'!$V:$V,'처리 현황'!AO$29)</f>
        <v>0</v>
      </c>
      <c r="AP65" s="187">
        <f>COUNTIFS('2023년 신조차 고장관리 세부현황'!$D:$D,"2023",'2023년 신조차 고장관리 세부현황'!$C:$C,$AJ65,'2023년 신조차 고장관리 세부현황'!$V:$V,'처리 현황'!AP$29)</f>
        <v>0</v>
      </c>
      <c r="AQ65" s="187">
        <f>COUNTIFS('2023년 신조차 고장관리 세부현황'!$D:$D,"2023",'2023년 신조차 고장관리 세부현황'!$C:$C,$AJ65,'2023년 신조차 고장관리 세부현황'!$V:$V,'처리 현황'!AQ$29)</f>
        <v>0</v>
      </c>
      <c r="AR65" s="190">
        <f t="shared" si="7"/>
        <v>0</v>
      </c>
      <c r="AX65" s="187">
        <f>COUNTIFS('2023년 신조차 고장관리 세부현황'!$D:$D,"2023",'2023년 신조차 고장관리 세부현황'!$C:$C,$AJ65,'2023년 신조차 고장관리 세부현황'!$L:$L,'처리 현황'!AX$29)</f>
        <v>0</v>
      </c>
      <c r="AY65" s="187">
        <f>COUNTIFS('2023년 신조차 고장관리 세부현황'!$D:$D,"2023",'2023년 신조차 고장관리 세부현황'!$C:$C,$AJ65,'2023년 신조차 고장관리 세부현황'!$L:$L,'처리 현황'!AY$29)</f>
        <v>0</v>
      </c>
      <c r="AZ65" s="187">
        <f>COUNTIFS('2023년 신조차 고장관리 세부현황'!$D:$D,"2023",'2023년 신조차 고장관리 세부현황'!$C:$C,$AJ65,'2023년 신조차 고장관리 세부현황'!$L:$L,'처리 현황'!AZ$29)</f>
        <v>0</v>
      </c>
      <c r="BA65" s="187">
        <f>COUNTIFS('2023년 신조차 고장관리 세부현황'!$D:$D,"2023",'2023년 신조차 고장관리 세부현황'!$C:$C,$AJ65,'2023년 신조차 고장관리 세부현황'!$L:$L,'처리 현황'!BA$29)</f>
        <v>0</v>
      </c>
      <c r="BB65" s="187">
        <f>COUNTIFS('2023년 신조차 고장관리 세부현황'!$D:$D,"2023",'2023년 신조차 고장관리 세부현황'!$C:$C,$AJ65,'2023년 신조차 고장관리 세부현황'!$L:$L,'처리 현황'!BB$29)</f>
        <v>0</v>
      </c>
      <c r="BC65" s="187">
        <f>COUNTIFS('2023년 신조차 고장관리 세부현황'!$D:$D,"2023",'2023년 신조차 고장관리 세부현황'!$C:$C,$AJ65,'2023년 신조차 고장관리 세부현황'!$L:$L,'처리 현황'!BC$29)</f>
        <v>0</v>
      </c>
      <c r="BD65" s="187">
        <f>COUNTIFS('2023년 신조차 고장관리 세부현황'!$D:$D,"2023",'2023년 신조차 고장관리 세부현황'!$C:$C,$AJ65,'2023년 신조차 고장관리 세부현황'!$L:$L,'처리 현황'!BD$29)</f>
        <v>0</v>
      </c>
    </row>
    <row r="66" spans="35:56" x14ac:dyDescent="0.4">
      <c r="AI66" s="187">
        <v>9</v>
      </c>
      <c r="AJ66">
        <v>37</v>
      </c>
      <c r="AL66" s="187">
        <f>COUNTIFS('2023년 신조차 고장관리 세부현황'!$D:$D,"2023",'2023년 신조차 고장관리 세부현황'!$C:$C,$AJ66)</f>
        <v>0</v>
      </c>
      <c r="AM66" s="187">
        <f>COUNTIFS('2023년 신조차 고장관리 세부현황'!$D:$D,"2023",'2023년 신조차 고장관리 세부현황'!$C:$C,$AJ66,'2023년 신조차 고장관리 세부현황'!$V:$V,'처리 현황'!AM$29)</f>
        <v>0</v>
      </c>
      <c r="AN66" s="187">
        <f>COUNTIFS('2023년 신조차 고장관리 세부현황'!$D:$D,"2023",'2023년 신조차 고장관리 세부현황'!$C:$C,$AJ66,'2023년 신조차 고장관리 세부현황'!$V:$V,'처리 현황'!AN$29)</f>
        <v>0</v>
      </c>
      <c r="AO66" s="187">
        <f>COUNTIFS('2023년 신조차 고장관리 세부현황'!$D:$D,"2023",'2023년 신조차 고장관리 세부현황'!$C:$C,$AJ66,'2023년 신조차 고장관리 세부현황'!$V:$V,'처리 현황'!AO$29)</f>
        <v>0</v>
      </c>
      <c r="AP66" s="187">
        <f>COUNTIFS('2023년 신조차 고장관리 세부현황'!$D:$D,"2023",'2023년 신조차 고장관리 세부현황'!$C:$C,$AJ66,'2023년 신조차 고장관리 세부현황'!$V:$V,'처리 현황'!AP$29)</f>
        <v>0</v>
      </c>
      <c r="AQ66" s="187">
        <f>COUNTIFS('2023년 신조차 고장관리 세부현황'!$D:$D,"2023",'2023년 신조차 고장관리 세부현황'!$C:$C,$AJ66,'2023년 신조차 고장관리 세부현황'!$V:$V,'처리 현황'!AQ$29)</f>
        <v>0</v>
      </c>
      <c r="AR66" s="190">
        <f t="shared" si="7"/>
        <v>0</v>
      </c>
      <c r="AX66" s="187">
        <f>COUNTIFS('2023년 신조차 고장관리 세부현황'!$D:$D,"2023",'2023년 신조차 고장관리 세부현황'!$C:$C,$AJ66,'2023년 신조차 고장관리 세부현황'!$L:$L,'처리 현황'!AX$29)</f>
        <v>0</v>
      </c>
      <c r="AY66" s="187">
        <f>COUNTIFS('2023년 신조차 고장관리 세부현황'!$D:$D,"2023",'2023년 신조차 고장관리 세부현황'!$C:$C,$AJ66,'2023년 신조차 고장관리 세부현황'!$L:$L,'처리 현황'!AY$29)</f>
        <v>0</v>
      </c>
      <c r="AZ66" s="187">
        <f>COUNTIFS('2023년 신조차 고장관리 세부현황'!$D:$D,"2023",'2023년 신조차 고장관리 세부현황'!$C:$C,$AJ66,'2023년 신조차 고장관리 세부현황'!$L:$L,'처리 현황'!AZ$29)</f>
        <v>0</v>
      </c>
      <c r="BA66" s="187">
        <f>COUNTIFS('2023년 신조차 고장관리 세부현황'!$D:$D,"2023",'2023년 신조차 고장관리 세부현황'!$C:$C,$AJ66,'2023년 신조차 고장관리 세부현황'!$L:$L,'처리 현황'!BA$29)</f>
        <v>0</v>
      </c>
      <c r="BB66" s="187">
        <f>COUNTIFS('2023년 신조차 고장관리 세부현황'!$D:$D,"2023",'2023년 신조차 고장관리 세부현황'!$C:$C,$AJ66,'2023년 신조차 고장관리 세부현황'!$L:$L,'처리 현황'!BB$29)</f>
        <v>0</v>
      </c>
      <c r="BC66" s="187">
        <f>COUNTIFS('2023년 신조차 고장관리 세부현황'!$D:$D,"2023",'2023년 신조차 고장관리 세부현황'!$C:$C,$AJ66,'2023년 신조차 고장관리 세부현황'!$L:$L,'처리 현황'!BC$29)</f>
        <v>0</v>
      </c>
      <c r="BD66" s="187">
        <f>COUNTIFS('2023년 신조차 고장관리 세부현황'!$D:$D,"2023",'2023년 신조차 고장관리 세부현황'!$C:$C,$AJ66,'2023년 신조차 고장관리 세부현황'!$L:$L,'처리 현황'!BD$29)</f>
        <v>0</v>
      </c>
    </row>
    <row r="67" spans="35:56" x14ac:dyDescent="0.4">
      <c r="AI67" s="187">
        <v>9</v>
      </c>
      <c r="AJ67">
        <v>38</v>
      </c>
      <c r="AL67" s="187">
        <f>COUNTIFS('2023년 신조차 고장관리 세부현황'!$D:$D,"2023",'2023년 신조차 고장관리 세부현황'!$C:$C,$AJ67)</f>
        <v>0</v>
      </c>
      <c r="AM67" s="187">
        <f>COUNTIFS('2023년 신조차 고장관리 세부현황'!$D:$D,"2023",'2023년 신조차 고장관리 세부현황'!$C:$C,$AJ67,'2023년 신조차 고장관리 세부현황'!$V:$V,'처리 현황'!AM$29)</f>
        <v>0</v>
      </c>
      <c r="AN67" s="187">
        <f>COUNTIFS('2023년 신조차 고장관리 세부현황'!$D:$D,"2023",'2023년 신조차 고장관리 세부현황'!$C:$C,$AJ67,'2023년 신조차 고장관리 세부현황'!$V:$V,'처리 현황'!AN$29)</f>
        <v>0</v>
      </c>
      <c r="AO67" s="187">
        <f>COUNTIFS('2023년 신조차 고장관리 세부현황'!$D:$D,"2023",'2023년 신조차 고장관리 세부현황'!$C:$C,$AJ67,'2023년 신조차 고장관리 세부현황'!$V:$V,'처리 현황'!AO$29)</f>
        <v>0</v>
      </c>
      <c r="AP67" s="187">
        <f>COUNTIFS('2023년 신조차 고장관리 세부현황'!$D:$D,"2023",'2023년 신조차 고장관리 세부현황'!$C:$C,$AJ67,'2023년 신조차 고장관리 세부현황'!$V:$V,'처리 현황'!AP$29)</f>
        <v>0</v>
      </c>
      <c r="AQ67" s="187">
        <f>COUNTIFS('2023년 신조차 고장관리 세부현황'!$D:$D,"2023",'2023년 신조차 고장관리 세부현황'!$C:$C,$AJ67,'2023년 신조차 고장관리 세부현황'!$V:$V,'처리 현황'!AQ$29)</f>
        <v>0</v>
      </c>
      <c r="AR67" s="190">
        <f t="shared" si="7"/>
        <v>0</v>
      </c>
      <c r="AX67" s="187">
        <f>COUNTIFS('2023년 신조차 고장관리 세부현황'!$D:$D,"2023",'2023년 신조차 고장관리 세부현황'!$C:$C,$AJ67,'2023년 신조차 고장관리 세부현황'!$L:$L,'처리 현황'!AX$29)</f>
        <v>0</v>
      </c>
      <c r="AY67" s="187">
        <f>COUNTIFS('2023년 신조차 고장관리 세부현황'!$D:$D,"2023",'2023년 신조차 고장관리 세부현황'!$C:$C,$AJ67,'2023년 신조차 고장관리 세부현황'!$L:$L,'처리 현황'!AY$29)</f>
        <v>0</v>
      </c>
      <c r="AZ67" s="187">
        <f>COUNTIFS('2023년 신조차 고장관리 세부현황'!$D:$D,"2023",'2023년 신조차 고장관리 세부현황'!$C:$C,$AJ67,'2023년 신조차 고장관리 세부현황'!$L:$L,'처리 현황'!AZ$29)</f>
        <v>0</v>
      </c>
      <c r="BA67" s="187">
        <f>COUNTIFS('2023년 신조차 고장관리 세부현황'!$D:$D,"2023",'2023년 신조차 고장관리 세부현황'!$C:$C,$AJ67,'2023년 신조차 고장관리 세부현황'!$L:$L,'처리 현황'!BA$29)</f>
        <v>0</v>
      </c>
      <c r="BB67" s="187">
        <f>COUNTIFS('2023년 신조차 고장관리 세부현황'!$D:$D,"2023",'2023년 신조차 고장관리 세부현황'!$C:$C,$AJ67,'2023년 신조차 고장관리 세부현황'!$L:$L,'처리 현황'!BB$29)</f>
        <v>0</v>
      </c>
      <c r="BC67" s="187">
        <f>COUNTIFS('2023년 신조차 고장관리 세부현황'!$D:$D,"2023",'2023년 신조차 고장관리 세부현황'!$C:$C,$AJ67,'2023년 신조차 고장관리 세부현황'!$L:$L,'처리 현황'!BC$29)</f>
        <v>0</v>
      </c>
      <c r="BD67" s="187">
        <f>COUNTIFS('2023년 신조차 고장관리 세부현황'!$D:$D,"2023",'2023년 신조차 고장관리 세부현황'!$C:$C,$AJ67,'2023년 신조차 고장관리 세부현황'!$L:$L,'처리 현황'!BD$29)</f>
        <v>0</v>
      </c>
    </row>
    <row r="68" spans="35:56" x14ac:dyDescent="0.4">
      <c r="AI68" s="187">
        <v>9</v>
      </c>
      <c r="AJ68">
        <v>39</v>
      </c>
      <c r="AL68" s="187">
        <f>COUNTIFS('2023년 신조차 고장관리 세부현황'!$D:$D,"2023",'2023년 신조차 고장관리 세부현황'!$C:$C,$AJ68)</f>
        <v>0</v>
      </c>
      <c r="AM68" s="187">
        <f>COUNTIFS('2023년 신조차 고장관리 세부현황'!$D:$D,"2023",'2023년 신조차 고장관리 세부현황'!$C:$C,$AJ68,'2023년 신조차 고장관리 세부현황'!$V:$V,'처리 현황'!AM$29)</f>
        <v>0</v>
      </c>
      <c r="AN68" s="187">
        <f>COUNTIFS('2023년 신조차 고장관리 세부현황'!$D:$D,"2023",'2023년 신조차 고장관리 세부현황'!$C:$C,$AJ68,'2023년 신조차 고장관리 세부현황'!$V:$V,'처리 현황'!AN$29)</f>
        <v>0</v>
      </c>
      <c r="AO68" s="187">
        <f>COUNTIFS('2023년 신조차 고장관리 세부현황'!$D:$D,"2023",'2023년 신조차 고장관리 세부현황'!$C:$C,$AJ68,'2023년 신조차 고장관리 세부현황'!$V:$V,'처리 현황'!AO$29)</f>
        <v>0</v>
      </c>
      <c r="AP68" s="187">
        <f>COUNTIFS('2023년 신조차 고장관리 세부현황'!$D:$D,"2023",'2023년 신조차 고장관리 세부현황'!$C:$C,$AJ68,'2023년 신조차 고장관리 세부현황'!$V:$V,'처리 현황'!AP$29)</f>
        <v>0</v>
      </c>
      <c r="AQ68" s="187">
        <f>COUNTIFS('2023년 신조차 고장관리 세부현황'!$D:$D,"2023",'2023년 신조차 고장관리 세부현황'!$C:$C,$AJ68,'2023년 신조차 고장관리 세부현황'!$V:$V,'처리 현황'!AQ$29)</f>
        <v>0</v>
      </c>
      <c r="AR68" s="190">
        <f t="shared" si="7"/>
        <v>0</v>
      </c>
      <c r="AX68" s="187">
        <f>COUNTIFS('2023년 신조차 고장관리 세부현황'!$D:$D,"2023",'2023년 신조차 고장관리 세부현황'!$C:$C,$AJ68,'2023년 신조차 고장관리 세부현황'!$L:$L,'처리 현황'!AX$29)</f>
        <v>0</v>
      </c>
      <c r="AY68" s="187">
        <f>COUNTIFS('2023년 신조차 고장관리 세부현황'!$D:$D,"2023",'2023년 신조차 고장관리 세부현황'!$C:$C,$AJ68,'2023년 신조차 고장관리 세부현황'!$L:$L,'처리 현황'!AY$29)</f>
        <v>0</v>
      </c>
      <c r="AZ68" s="187">
        <f>COUNTIFS('2023년 신조차 고장관리 세부현황'!$D:$D,"2023",'2023년 신조차 고장관리 세부현황'!$C:$C,$AJ68,'2023년 신조차 고장관리 세부현황'!$L:$L,'처리 현황'!AZ$29)</f>
        <v>0</v>
      </c>
      <c r="BA68" s="187">
        <f>COUNTIFS('2023년 신조차 고장관리 세부현황'!$D:$D,"2023",'2023년 신조차 고장관리 세부현황'!$C:$C,$AJ68,'2023년 신조차 고장관리 세부현황'!$L:$L,'처리 현황'!BA$29)</f>
        <v>0</v>
      </c>
      <c r="BB68" s="187">
        <f>COUNTIFS('2023년 신조차 고장관리 세부현황'!$D:$D,"2023",'2023년 신조차 고장관리 세부현황'!$C:$C,$AJ68,'2023년 신조차 고장관리 세부현황'!$L:$L,'처리 현황'!BB$29)</f>
        <v>0</v>
      </c>
      <c r="BC68" s="187">
        <f>COUNTIFS('2023년 신조차 고장관리 세부현황'!$D:$D,"2023",'2023년 신조차 고장관리 세부현황'!$C:$C,$AJ68,'2023년 신조차 고장관리 세부현황'!$L:$L,'처리 현황'!BC$29)</f>
        <v>0</v>
      </c>
      <c r="BD68" s="187">
        <f>COUNTIFS('2023년 신조차 고장관리 세부현황'!$D:$D,"2023",'2023년 신조차 고장관리 세부현황'!$C:$C,$AJ68,'2023년 신조차 고장관리 세부현황'!$L:$L,'처리 현황'!BD$29)</f>
        <v>0</v>
      </c>
    </row>
    <row r="69" spans="35:56" x14ac:dyDescent="0.4">
      <c r="AI69" s="187">
        <v>10</v>
      </c>
      <c r="AJ69">
        <v>40</v>
      </c>
      <c r="AL69" s="187">
        <f>COUNTIFS('2023년 신조차 고장관리 세부현황'!$D:$D,"2023",'2023년 신조차 고장관리 세부현황'!$C:$C,$AJ69)</f>
        <v>0</v>
      </c>
      <c r="AM69" s="187">
        <f>COUNTIFS('2023년 신조차 고장관리 세부현황'!$D:$D,"2023",'2023년 신조차 고장관리 세부현황'!$C:$C,$AJ69,'2023년 신조차 고장관리 세부현황'!$V:$V,'처리 현황'!AM$29)</f>
        <v>0</v>
      </c>
      <c r="AN69" s="187">
        <f>COUNTIFS('2023년 신조차 고장관리 세부현황'!$D:$D,"2023",'2023년 신조차 고장관리 세부현황'!$C:$C,$AJ69,'2023년 신조차 고장관리 세부현황'!$V:$V,'처리 현황'!AN$29)</f>
        <v>0</v>
      </c>
      <c r="AO69" s="187">
        <f>COUNTIFS('2023년 신조차 고장관리 세부현황'!$D:$D,"2023",'2023년 신조차 고장관리 세부현황'!$C:$C,$AJ69,'2023년 신조차 고장관리 세부현황'!$V:$V,'처리 현황'!AO$29)</f>
        <v>0</v>
      </c>
      <c r="AP69" s="187">
        <f>COUNTIFS('2023년 신조차 고장관리 세부현황'!$D:$D,"2023",'2023년 신조차 고장관리 세부현황'!$C:$C,$AJ69,'2023년 신조차 고장관리 세부현황'!$V:$V,'처리 현황'!AP$29)</f>
        <v>0</v>
      </c>
      <c r="AQ69" s="187">
        <f>COUNTIFS('2023년 신조차 고장관리 세부현황'!$D:$D,"2023",'2023년 신조차 고장관리 세부현황'!$C:$C,$AJ69,'2023년 신조차 고장관리 세부현황'!$V:$V,'처리 현황'!AQ$29)</f>
        <v>0</v>
      </c>
      <c r="AR69" s="190">
        <f t="shared" si="7"/>
        <v>0</v>
      </c>
      <c r="AX69" s="187">
        <f>COUNTIFS('2023년 신조차 고장관리 세부현황'!$D:$D,"2023",'2023년 신조차 고장관리 세부현황'!$C:$C,$AJ69,'2023년 신조차 고장관리 세부현황'!$L:$L,'처리 현황'!AX$29)</f>
        <v>0</v>
      </c>
      <c r="AY69" s="187">
        <f>COUNTIFS('2023년 신조차 고장관리 세부현황'!$D:$D,"2023",'2023년 신조차 고장관리 세부현황'!$C:$C,$AJ69,'2023년 신조차 고장관리 세부현황'!$L:$L,'처리 현황'!AY$29)</f>
        <v>0</v>
      </c>
      <c r="AZ69" s="187">
        <f>COUNTIFS('2023년 신조차 고장관리 세부현황'!$D:$D,"2023",'2023년 신조차 고장관리 세부현황'!$C:$C,$AJ69,'2023년 신조차 고장관리 세부현황'!$L:$L,'처리 현황'!AZ$29)</f>
        <v>0</v>
      </c>
      <c r="BA69" s="187">
        <f>COUNTIFS('2023년 신조차 고장관리 세부현황'!$D:$D,"2023",'2023년 신조차 고장관리 세부현황'!$C:$C,$AJ69,'2023년 신조차 고장관리 세부현황'!$L:$L,'처리 현황'!BA$29)</f>
        <v>0</v>
      </c>
      <c r="BB69" s="187">
        <f>COUNTIFS('2023년 신조차 고장관리 세부현황'!$D:$D,"2023",'2023년 신조차 고장관리 세부현황'!$C:$C,$AJ69,'2023년 신조차 고장관리 세부현황'!$L:$L,'처리 현황'!BB$29)</f>
        <v>0</v>
      </c>
      <c r="BC69" s="187">
        <f>COUNTIFS('2023년 신조차 고장관리 세부현황'!$D:$D,"2023",'2023년 신조차 고장관리 세부현황'!$C:$C,$AJ69,'2023년 신조차 고장관리 세부현황'!$L:$L,'처리 현황'!BC$29)</f>
        <v>0</v>
      </c>
      <c r="BD69" s="187">
        <f>COUNTIFS('2023년 신조차 고장관리 세부현황'!$D:$D,"2023",'2023년 신조차 고장관리 세부현황'!$C:$C,$AJ69,'2023년 신조차 고장관리 세부현황'!$L:$L,'처리 현황'!BD$29)</f>
        <v>0</v>
      </c>
    </row>
    <row r="70" spans="35:56" x14ac:dyDescent="0.4">
      <c r="AI70" s="187">
        <v>10</v>
      </c>
      <c r="AJ70">
        <v>41</v>
      </c>
      <c r="AL70" s="187">
        <f>COUNTIFS('2023년 신조차 고장관리 세부현황'!$D:$D,"2023",'2023년 신조차 고장관리 세부현황'!$C:$C,$AJ70)</f>
        <v>0</v>
      </c>
      <c r="AM70" s="187">
        <f>COUNTIFS('2023년 신조차 고장관리 세부현황'!$D:$D,"2023",'2023년 신조차 고장관리 세부현황'!$C:$C,$AJ70,'2023년 신조차 고장관리 세부현황'!$V:$V,'처리 현황'!AM$29)</f>
        <v>0</v>
      </c>
      <c r="AN70" s="187">
        <f>COUNTIFS('2023년 신조차 고장관리 세부현황'!$D:$D,"2023",'2023년 신조차 고장관리 세부현황'!$C:$C,$AJ70,'2023년 신조차 고장관리 세부현황'!$V:$V,'처리 현황'!AN$29)</f>
        <v>0</v>
      </c>
      <c r="AO70" s="187">
        <f>COUNTIFS('2023년 신조차 고장관리 세부현황'!$D:$D,"2023",'2023년 신조차 고장관리 세부현황'!$C:$C,$AJ70,'2023년 신조차 고장관리 세부현황'!$V:$V,'처리 현황'!AO$29)</f>
        <v>0</v>
      </c>
      <c r="AP70" s="187">
        <f>COUNTIFS('2023년 신조차 고장관리 세부현황'!$D:$D,"2023",'2023년 신조차 고장관리 세부현황'!$C:$C,$AJ70,'2023년 신조차 고장관리 세부현황'!$V:$V,'처리 현황'!AP$29)</f>
        <v>0</v>
      </c>
      <c r="AQ70" s="187">
        <f>COUNTIFS('2023년 신조차 고장관리 세부현황'!$D:$D,"2023",'2023년 신조차 고장관리 세부현황'!$C:$C,$AJ70,'2023년 신조차 고장관리 세부현황'!$V:$V,'처리 현황'!AQ$29)</f>
        <v>0</v>
      </c>
      <c r="AR70" s="190">
        <f t="shared" si="7"/>
        <v>0</v>
      </c>
      <c r="AX70" s="187">
        <f>COUNTIFS('2023년 신조차 고장관리 세부현황'!$D:$D,"2023",'2023년 신조차 고장관리 세부현황'!$C:$C,$AJ70,'2023년 신조차 고장관리 세부현황'!$L:$L,'처리 현황'!AX$29)</f>
        <v>0</v>
      </c>
      <c r="AY70" s="187">
        <f>COUNTIFS('2023년 신조차 고장관리 세부현황'!$D:$D,"2023",'2023년 신조차 고장관리 세부현황'!$C:$C,$AJ70,'2023년 신조차 고장관리 세부현황'!$L:$L,'처리 현황'!AY$29)</f>
        <v>0</v>
      </c>
      <c r="AZ70" s="187">
        <f>COUNTIFS('2023년 신조차 고장관리 세부현황'!$D:$D,"2023",'2023년 신조차 고장관리 세부현황'!$C:$C,$AJ70,'2023년 신조차 고장관리 세부현황'!$L:$L,'처리 현황'!AZ$29)</f>
        <v>0</v>
      </c>
      <c r="BA70" s="187">
        <f>COUNTIFS('2023년 신조차 고장관리 세부현황'!$D:$D,"2023",'2023년 신조차 고장관리 세부현황'!$C:$C,$AJ70,'2023년 신조차 고장관리 세부현황'!$L:$L,'처리 현황'!BA$29)</f>
        <v>0</v>
      </c>
      <c r="BB70" s="187">
        <f>COUNTIFS('2023년 신조차 고장관리 세부현황'!$D:$D,"2023",'2023년 신조차 고장관리 세부현황'!$C:$C,$AJ70,'2023년 신조차 고장관리 세부현황'!$L:$L,'처리 현황'!BB$29)</f>
        <v>0</v>
      </c>
      <c r="BC70" s="187">
        <f>COUNTIFS('2023년 신조차 고장관리 세부현황'!$D:$D,"2023",'2023년 신조차 고장관리 세부현황'!$C:$C,$AJ70,'2023년 신조차 고장관리 세부현황'!$L:$L,'처리 현황'!BC$29)</f>
        <v>0</v>
      </c>
      <c r="BD70" s="187">
        <f>COUNTIFS('2023년 신조차 고장관리 세부현황'!$D:$D,"2023",'2023년 신조차 고장관리 세부현황'!$C:$C,$AJ70,'2023년 신조차 고장관리 세부현황'!$L:$L,'처리 현황'!BD$29)</f>
        <v>0</v>
      </c>
    </row>
    <row r="71" spans="35:56" x14ac:dyDescent="0.4">
      <c r="AI71" s="187">
        <v>10</v>
      </c>
      <c r="AJ71">
        <v>42</v>
      </c>
      <c r="AL71" s="187">
        <f>COUNTIFS('2023년 신조차 고장관리 세부현황'!$D:$D,"2023",'2023년 신조차 고장관리 세부현황'!$C:$C,$AJ71)</f>
        <v>0</v>
      </c>
      <c r="AM71" s="187">
        <f>COUNTIFS('2023년 신조차 고장관리 세부현황'!$D:$D,"2023",'2023년 신조차 고장관리 세부현황'!$C:$C,$AJ71,'2023년 신조차 고장관리 세부현황'!$V:$V,'처리 현황'!AM$29)</f>
        <v>0</v>
      </c>
      <c r="AN71" s="187">
        <f>COUNTIFS('2023년 신조차 고장관리 세부현황'!$D:$D,"2023",'2023년 신조차 고장관리 세부현황'!$C:$C,$AJ71,'2023년 신조차 고장관리 세부현황'!$V:$V,'처리 현황'!AN$29)</f>
        <v>0</v>
      </c>
      <c r="AO71" s="187">
        <f>COUNTIFS('2023년 신조차 고장관리 세부현황'!$D:$D,"2023",'2023년 신조차 고장관리 세부현황'!$C:$C,$AJ71,'2023년 신조차 고장관리 세부현황'!$V:$V,'처리 현황'!AO$29)</f>
        <v>0</v>
      </c>
      <c r="AP71" s="187">
        <f>COUNTIFS('2023년 신조차 고장관리 세부현황'!$D:$D,"2023",'2023년 신조차 고장관리 세부현황'!$C:$C,$AJ71,'2023년 신조차 고장관리 세부현황'!$V:$V,'처리 현황'!AP$29)</f>
        <v>0</v>
      </c>
      <c r="AQ71" s="187">
        <f>COUNTIFS('2023년 신조차 고장관리 세부현황'!$D:$D,"2023",'2023년 신조차 고장관리 세부현황'!$C:$C,$AJ71,'2023년 신조차 고장관리 세부현황'!$V:$V,'처리 현황'!AQ$29)</f>
        <v>0</v>
      </c>
      <c r="AR71" s="190">
        <f t="shared" si="7"/>
        <v>0</v>
      </c>
      <c r="AX71" s="187">
        <f>COUNTIFS('2023년 신조차 고장관리 세부현황'!$D:$D,"2023",'2023년 신조차 고장관리 세부현황'!$C:$C,$AJ71,'2023년 신조차 고장관리 세부현황'!$L:$L,'처리 현황'!AX$29)</f>
        <v>0</v>
      </c>
      <c r="AY71" s="187">
        <f>COUNTIFS('2023년 신조차 고장관리 세부현황'!$D:$D,"2023",'2023년 신조차 고장관리 세부현황'!$C:$C,$AJ71,'2023년 신조차 고장관리 세부현황'!$L:$L,'처리 현황'!AY$29)</f>
        <v>0</v>
      </c>
      <c r="AZ71" s="187">
        <f>COUNTIFS('2023년 신조차 고장관리 세부현황'!$D:$D,"2023",'2023년 신조차 고장관리 세부현황'!$C:$C,$AJ71,'2023년 신조차 고장관리 세부현황'!$L:$L,'처리 현황'!AZ$29)</f>
        <v>0</v>
      </c>
      <c r="BA71" s="187">
        <f>COUNTIFS('2023년 신조차 고장관리 세부현황'!$D:$D,"2023",'2023년 신조차 고장관리 세부현황'!$C:$C,$AJ71,'2023년 신조차 고장관리 세부현황'!$L:$L,'처리 현황'!BA$29)</f>
        <v>0</v>
      </c>
      <c r="BB71" s="187">
        <f>COUNTIFS('2023년 신조차 고장관리 세부현황'!$D:$D,"2023",'2023년 신조차 고장관리 세부현황'!$C:$C,$AJ71,'2023년 신조차 고장관리 세부현황'!$L:$L,'처리 현황'!BB$29)</f>
        <v>0</v>
      </c>
      <c r="BC71" s="187">
        <f>COUNTIFS('2023년 신조차 고장관리 세부현황'!$D:$D,"2023",'2023년 신조차 고장관리 세부현황'!$C:$C,$AJ71,'2023년 신조차 고장관리 세부현황'!$L:$L,'처리 현황'!BC$29)</f>
        <v>0</v>
      </c>
      <c r="BD71" s="187">
        <f>COUNTIFS('2023년 신조차 고장관리 세부현황'!$D:$D,"2023",'2023년 신조차 고장관리 세부현황'!$C:$C,$AJ71,'2023년 신조차 고장관리 세부현황'!$L:$L,'처리 현황'!BD$29)</f>
        <v>0</v>
      </c>
    </row>
    <row r="72" spans="35:56" x14ac:dyDescent="0.4">
      <c r="AI72" s="187">
        <v>10</v>
      </c>
      <c r="AJ72">
        <v>43</v>
      </c>
      <c r="AL72" s="187">
        <f>COUNTIFS('2023년 신조차 고장관리 세부현황'!$D:$D,"2023",'2023년 신조차 고장관리 세부현황'!$C:$C,$AJ72)</f>
        <v>0</v>
      </c>
      <c r="AM72" s="187">
        <f>COUNTIFS('2023년 신조차 고장관리 세부현황'!$D:$D,"2023",'2023년 신조차 고장관리 세부현황'!$C:$C,$AJ72,'2023년 신조차 고장관리 세부현황'!$V:$V,'처리 현황'!AM$29)</f>
        <v>0</v>
      </c>
      <c r="AN72" s="187">
        <f>COUNTIFS('2023년 신조차 고장관리 세부현황'!$D:$D,"2023",'2023년 신조차 고장관리 세부현황'!$C:$C,$AJ72,'2023년 신조차 고장관리 세부현황'!$V:$V,'처리 현황'!AN$29)</f>
        <v>0</v>
      </c>
      <c r="AO72" s="187">
        <f>COUNTIFS('2023년 신조차 고장관리 세부현황'!$D:$D,"2023",'2023년 신조차 고장관리 세부현황'!$C:$C,$AJ72,'2023년 신조차 고장관리 세부현황'!$V:$V,'처리 현황'!AO$29)</f>
        <v>0</v>
      </c>
      <c r="AP72" s="187">
        <f>COUNTIFS('2023년 신조차 고장관리 세부현황'!$D:$D,"2023",'2023년 신조차 고장관리 세부현황'!$C:$C,$AJ72,'2023년 신조차 고장관리 세부현황'!$V:$V,'처리 현황'!AP$29)</f>
        <v>0</v>
      </c>
      <c r="AQ72" s="187">
        <f>COUNTIFS('2023년 신조차 고장관리 세부현황'!$D:$D,"2023",'2023년 신조차 고장관리 세부현황'!$C:$C,$AJ72,'2023년 신조차 고장관리 세부현황'!$V:$V,'처리 현황'!AQ$29)</f>
        <v>0</v>
      </c>
      <c r="AR72" s="190">
        <f t="shared" si="7"/>
        <v>0</v>
      </c>
      <c r="AX72" s="187">
        <f>COUNTIFS('2023년 신조차 고장관리 세부현황'!$D:$D,"2023",'2023년 신조차 고장관리 세부현황'!$C:$C,$AJ72,'2023년 신조차 고장관리 세부현황'!$L:$L,'처리 현황'!AX$29)</f>
        <v>0</v>
      </c>
      <c r="AY72" s="187">
        <f>COUNTIFS('2023년 신조차 고장관리 세부현황'!$D:$D,"2023",'2023년 신조차 고장관리 세부현황'!$C:$C,$AJ72,'2023년 신조차 고장관리 세부현황'!$L:$L,'처리 현황'!AY$29)</f>
        <v>0</v>
      </c>
      <c r="AZ72" s="187">
        <f>COUNTIFS('2023년 신조차 고장관리 세부현황'!$D:$D,"2023",'2023년 신조차 고장관리 세부현황'!$C:$C,$AJ72,'2023년 신조차 고장관리 세부현황'!$L:$L,'처리 현황'!AZ$29)</f>
        <v>0</v>
      </c>
      <c r="BA72" s="187">
        <f>COUNTIFS('2023년 신조차 고장관리 세부현황'!$D:$D,"2023",'2023년 신조차 고장관리 세부현황'!$C:$C,$AJ72,'2023년 신조차 고장관리 세부현황'!$L:$L,'처리 현황'!BA$29)</f>
        <v>0</v>
      </c>
      <c r="BB72" s="187">
        <f>COUNTIFS('2023년 신조차 고장관리 세부현황'!$D:$D,"2023",'2023년 신조차 고장관리 세부현황'!$C:$C,$AJ72,'2023년 신조차 고장관리 세부현황'!$L:$L,'처리 현황'!BB$29)</f>
        <v>0</v>
      </c>
      <c r="BC72" s="187">
        <f>COUNTIFS('2023년 신조차 고장관리 세부현황'!$D:$D,"2023",'2023년 신조차 고장관리 세부현황'!$C:$C,$AJ72,'2023년 신조차 고장관리 세부현황'!$L:$L,'처리 현황'!BC$29)</f>
        <v>0</v>
      </c>
      <c r="BD72" s="187">
        <f>COUNTIFS('2023년 신조차 고장관리 세부현황'!$D:$D,"2023",'2023년 신조차 고장관리 세부현황'!$C:$C,$AJ72,'2023년 신조차 고장관리 세부현황'!$L:$L,'처리 현황'!BD$29)</f>
        <v>0</v>
      </c>
    </row>
    <row r="73" spans="35:56" x14ac:dyDescent="0.4">
      <c r="AI73" s="187">
        <v>11</v>
      </c>
      <c r="AJ73">
        <v>44</v>
      </c>
      <c r="AL73" s="187">
        <f>COUNTIFS('2023년 신조차 고장관리 세부현황'!$D:$D,"2023",'2023년 신조차 고장관리 세부현황'!$C:$C,$AJ73)</f>
        <v>0</v>
      </c>
      <c r="AM73" s="187">
        <f>COUNTIFS('2023년 신조차 고장관리 세부현황'!$D:$D,"2023",'2023년 신조차 고장관리 세부현황'!$C:$C,$AJ73,'2023년 신조차 고장관리 세부현황'!$V:$V,'처리 현황'!AM$29)</f>
        <v>0</v>
      </c>
      <c r="AN73" s="187">
        <f>COUNTIFS('2023년 신조차 고장관리 세부현황'!$D:$D,"2023",'2023년 신조차 고장관리 세부현황'!$C:$C,$AJ73,'2023년 신조차 고장관리 세부현황'!$V:$V,'처리 현황'!AN$29)</f>
        <v>0</v>
      </c>
      <c r="AO73" s="187">
        <f>COUNTIFS('2023년 신조차 고장관리 세부현황'!$D:$D,"2023",'2023년 신조차 고장관리 세부현황'!$C:$C,$AJ73,'2023년 신조차 고장관리 세부현황'!$V:$V,'처리 현황'!AO$29)</f>
        <v>0</v>
      </c>
      <c r="AP73" s="187">
        <f>COUNTIFS('2023년 신조차 고장관리 세부현황'!$D:$D,"2023",'2023년 신조차 고장관리 세부현황'!$C:$C,$AJ73,'2023년 신조차 고장관리 세부현황'!$V:$V,'처리 현황'!AP$29)</f>
        <v>0</v>
      </c>
      <c r="AQ73" s="187">
        <f>COUNTIFS('2023년 신조차 고장관리 세부현황'!$D:$D,"2023",'2023년 신조차 고장관리 세부현황'!$C:$C,$AJ73,'2023년 신조차 고장관리 세부현황'!$V:$V,'처리 현황'!AQ$29)</f>
        <v>0</v>
      </c>
      <c r="AR73" s="190">
        <f t="shared" si="7"/>
        <v>0</v>
      </c>
      <c r="AX73" s="187">
        <f>COUNTIFS('2023년 신조차 고장관리 세부현황'!$D:$D,"2023",'2023년 신조차 고장관리 세부현황'!$C:$C,$AJ73,'2023년 신조차 고장관리 세부현황'!$L:$L,'처리 현황'!AX$29)</f>
        <v>0</v>
      </c>
      <c r="AY73" s="187">
        <f>COUNTIFS('2023년 신조차 고장관리 세부현황'!$D:$D,"2023",'2023년 신조차 고장관리 세부현황'!$C:$C,$AJ73,'2023년 신조차 고장관리 세부현황'!$L:$L,'처리 현황'!AY$29)</f>
        <v>0</v>
      </c>
      <c r="AZ73" s="187">
        <f>COUNTIFS('2023년 신조차 고장관리 세부현황'!$D:$D,"2023",'2023년 신조차 고장관리 세부현황'!$C:$C,$AJ73,'2023년 신조차 고장관리 세부현황'!$L:$L,'처리 현황'!AZ$29)</f>
        <v>0</v>
      </c>
      <c r="BA73" s="187">
        <f>COUNTIFS('2023년 신조차 고장관리 세부현황'!$D:$D,"2023",'2023년 신조차 고장관리 세부현황'!$C:$C,$AJ73,'2023년 신조차 고장관리 세부현황'!$L:$L,'처리 현황'!BA$29)</f>
        <v>0</v>
      </c>
      <c r="BB73" s="187">
        <f>COUNTIFS('2023년 신조차 고장관리 세부현황'!$D:$D,"2023",'2023년 신조차 고장관리 세부현황'!$C:$C,$AJ73,'2023년 신조차 고장관리 세부현황'!$L:$L,'처리 현황'!BB$29)</f>
        <v>0</v>
      </c>
      <c r="BC73" s="187">
        <f>COUNTIFS('2023년 신조차 고장관리 세부현황'!$D:$D,"2023",'2023년 신조차 고장관리 세부현황'!$C:$C,$AJ73,'2023년 신조차 고장관리 세부현황'!$L:$L,'처리 현황'!BC$29)</f>
        <v>0</v>
      </c>
      <c r="BD73" s="187">
        <f>COUNTIFS('2023년 신조차 고장관리 세부현황'!$D:$D,"2023",'2023년 신조차 고장관리 세부현황'!$C:$C,$AJ73,'2023년 신조차 고장관리 세부현황'!$L:$L,'처리 현황'!BD$29)</f>
        <v>0</v>
      </c>
    </row>
    <row r="74" spans="35:56" x14ac:dyDescent="0.4">
      <c r="AI74" s="187">
        <v>11</v>
      </c>
      <c r="AJ74">
        <v>45</v>
      </c>
      <c r="AL74" s="187">
        <f>COUNTIFS('2023년 신조차 고장관리 세부현황'!$D:$D,"2023",'2023년 신조차 고장관리 세부현황'!$C:$C,$AJ74)</f>
        <v>0</v>
      </c>
      <c r="AM74" s="187">
        <f>COUNTIFS('2023년 신조차 고장관리 세부현황'!$D:$D,"2023",'2023년 신조차 고장관리 세부현황'!$C:$C,$AJ74,'2023년 신조차 고장관리 세부현황'!$V:$V,'처리 현황'!AM$29)</f>
        <v>0</v>
      </c>
      <c r="AN74" s="187">
        <f>COUNTIFS('2023년 신조차 고장관리 세부현황'!$D:$D,"2023",'2023년 신조차 고장관리 세부현황'!$C:$C,$AJ74,'2023년 신조차 고장관리 세부현황'!$V:$V,'처리 현황'!AN$29)</f>
        <v>0</v>
      </c>
      <c r="AO74" s="187">
        <f>COUNTIFS('2023년 신조차 고장관리 세부현황'!$D:$D,"2023",'2023년 신조차 고장관리 세부현황'!$C:$C,$AJ74,'2023년 신조차 고장관리 세부현황'!$V:$V,'처리 현황'!AO$29)</f>
        <v>0</v>
      </c>
      <c r="AP74" s="187">
        <f>COUNTIFS('2023년 신조차 고장관리 세부현황'!$D:$D,"2023",'2023년 신조차 고장관리 세부현황'!$C:$C,$AJ74,'2023년 신조차 고장관리 세부현황'!$V:$V,'처리 현황'!AP$29)</f>
        <v>0</v>
      </c>
      <c r="AQ74" s="187">
        <f>COUNTIFS('2023년 신조차 고장관리 세부현황'!$D:$D,"2023",'2023년 신조차 고장관리 세부현황'!$C:$C,$AJ74,'2023년 신조차 고장관리 세부현황'!$V:$V,'처리 현황'!AQ$29)</f>
        <v>0</v>
      </c>
      <c r="AR74" s="190">
        <f t="shared" si="7"/>
        <v>0</v>
      </c>
      <c r="AX74" s="187">
        <f>COUNTIFS('2023년 신조차 고장관리 세부현황'!$D:$D,"2023",'2023년 신조차 고장관리 세부현황'!$C:$C,$AJ74,'2023년 신조차 고장관리 세부현황'!$L:$L,'처리 현황'!AX$29)</f>
        <v>0</v>
      </c>
      <c r="AY74" s="187">
        <f>COUNTIFS('2023년 신조차 고장관리 세부현황'!$D:$D,"2023",'2023년 신조차 고장관리 세부현황'!$C:$C,$AJ74,'2023년 신조차 고장관리 세부현황'!$L:$L,'처리 현황'!AY$29)</f>
        <v>0</v>
      </c>
      <c r="AZ74" s="187">
        <f>COUNTIFS('2023년 신조차 고장관리 세부현황'!$D:$D,"2023",'2023년 신조차 고장관리 세부현황'!$C:$C,$AJ74,'2023년 신조차 고장관리 세부현황'!$L:$L,'처리 현황'!AZ$29)</f>
        <v>0</v>
      </c>
      <c r="BA74" s="187">
        <f>COUNTIFS('2023년 신조차 고장관리 세부현황'!$D:$D,"2023",'2023년 신조차 고장관리 세부현황'!$C:$C,$AJ74,'2023년 신조차 고장관리 세부현황'!$L:$L,'처리 현황'!BA$29)</f>
        <v>0</v>
      </c>
      <c r="BB74" s="187">
        <f>COUNTIFS('2023년 신조차 고장관리 세부현황'!$D:$D,"2023",'2023년 신조차 고장관리 세부현황'!$C:$C,$AJ74,'2023년 신조차 고장관리 세부현황'!$L:$L,'처리 현황'!BB$29)</f>
        <v>0</v>
      </c>
      <c r="BC74" s="187">
        <f>COUNTIFS('2023년 신조차 고장관리 세부현황'!$D:$D,"2023",'2023년 신조차 고장관리 세부현황'!$C:$C,$AJ74,'2023년 신조차 고장관리 세부현황'!$L:$L,'처리 현황'!BC$29)</f>
        <v>0</v>
      </c>
      <c r="BD74" s="187">
        <f>COUNTIFS('2023년 신조차 고장관리 세부현황'!$D:$D,"2023",'2023년 신조차 고장관리 세부현황'!$C:$C,$AJ74,'2023년 신조차 고장관리 세부현황'!$L:$L,'처리 현황'!BD$29)</f>
        <v>0</v>
      </c>
    </row>
    <row r="75" spans="35:56" x14ac:dyDescent="0.4">
      <c r="AI75" s="187">
        <v>11</v>
      </c>
      <c r="AJ75">
        <v>46</v>
      </c>
      <c r="AL75" s="187">
        <f>COUNTIFS('2023년 신조차 고장관리 세부현황'!$D:$D,"2023",'2023년 신조차 고장관리 세부현황'!$C:$C,$AJ75)</f>
        <v>0</v>
      </c>
      <c r="AM75" s="187">
        <f>COUNTIFS('2023년 신조차 고장관리 세부현황'!$D:$D,"2023",'2023년 신조차 고장관리 세부현황'!$C:$C,$AJ75,'2023년 신조차 고장관리 세부현황'!$V:$V,'처리 현황'!AM$29)</f>
        <v>0</v>
      </c>
      <c r="AN75" s="187">
        <f>COUNTIFS('2023년 신조차 고장관리 세부현황'!$D:$D,"2023",'2023년 신조차 고장관리 세부현황'!$C:$C,$AJ75,'2023년 신조차 고장관리 세부현황'!$V:$V,'처리 현황'!AN$29)</f>
        <v>0</v>
      </c>
      <c r="AO75" s="187">
        <f>COUNTIFS('2023년 신조차 고장관리 세부현황'!$D:$D,"2023",'2023년 신조차 고장관리 세부현황'!$C:$C,$AJ75,'2023년 신조차 고장관리 세부현황'!$V:$V,'처리 현황'!AO$29)</f>
        <v>0</v>
      </c>
      <c r="AP75" s="187">
        <f>COUNTIFS('2023년 신조차 고장관리 세부현황'!$D:$D,"2023",'2023년 신조차 고장관리 세부현황'!$C:$C,$AJ75,'2023년 신조차 고장관리 세부현황'!$V:$V,'처리 현황'!AP$29)</f>
        <v>0</v>
      </c>
      <c r="AQ75" s="187">
        <f>COUNTIFS('2023년 신조차 고장관리 세부현황'!$D:$D,"2023",'2023년 신조차 고장관리 세부현황'!$C:$C,$AJ75,'2023년 신조차 고장관리 세부현황'!$V:$V,'처리 현황'!AQ$29)</f>
        <v>0</v>
      </c>
      <c r="AR75" s="190">
        <f t="shared" si="7"/>
        <v>0</v>
      </c>
      <c r="AX75" s="187">
        <f>COUNTIFS('2023년 신조차 고장관리 세부현황'!$D:$D,"2023",'2023년 신조차 고장관리 세부현황'!$C:$C,$AJ75,'2023년 신조차 고장관리 세부현황'!$L:$L,'처리 현황'!AX$29)</f>
        <v>0</v>
      </c>
      <c r="AY75" s="187">
        <f>COUNTIFS('2023년 신조차 고장관리 세부현황'!$D:$D,"2023",'2023년 신조차 고장관리 세부현황'!$C:$C,$AJ75,'2023년 신조차 고장관리 세부현황'!$L:$L,'처리 현황'!AY$29)</f>
        <v>0</v>
      </c>
      <c r="AZ75" s="187">
        <f>COUNTIFS('2023년 신조차 고장관리 세부현황'!$D:$D,"2023",'2023년 신조차 고장관리 세부현황'!$C:$C,$AJ75,'2023년 신조차 고장관리 세부현황'!$L:$L,'처리 현황'!AZ$29)</f>
        <v>0</v>
      </c>
      <c r="BA75" s="187">
        <f>COUNTIFS('2023년 신조차 고장관리 세부현황'!$D:$D,"2023",'2023년 신조차 고장관리 세부현황'!$C:$C,$AJ75,'2023년 신조차 고장관리 세부현황'!$L:$L,'처리 현황'!BA$29)</f>
        <v>0</v>
      </c>
      <c r="BB75" s="187">
        <f>COUNTIFS('2023년 신조차 고장관리 세부현황'!$D:$D,"2023",'2023년 신조차 고장관리 세부현황'!$C:$C,$AJ75,'2023년 신조차 고장관리 세부현황'!$L:$L,'처리 현황'!BB$29)</f>
        <v>0</v>
      </c>
      <c r="BC75" s="187">
        <f>COUNTIFS('2023년 신조차 고장관리 세부현황'!$D:$D,"2023",'2023년 신조차 고장관리 세부현황'!$C:$C,$AJ75,'2023년 신조차 고장관리 세부현황'!$L:$L,'처리 현황'!BC$29)</f>
        <v>0</v>
      </c>
      <c r="BD75" s="187">
        <f>COUNTIFS('2023년 신조차 고장관리 세부현황'!$D:$D,"2023",'2023년 신조차 고장관리 세부현황'!$C:$C,$AJ75,'2023년 신조차 고장관리 세부현황'!$L:$L,'처리 현황'!BD$29)</f>
        <v>0</v>
      </c>
    </row>
    <row r="76" spans="35:56" x14ac:dyDescent="0.4">
      <c r="AI76" s="187">
        <v>11</v>
      </c>
      <c r="AJ76">
        <v>47</v>
      </c>
      <c r="AL76" s="187">
        <f>COUNTIFS('2023년 신조차 고장관리 세부현황'!$D:$D,"2023",'2023년 신조차 고장관리 세부현황'!$C:$C,$AJ76)</f>
        <v>0</v>
      </c>
      <c r="AM76" s="187">
        <f>COUNTIFS('2023년 신조차 고장관리 세부현황'!$D:$D,"2023",'2023년 신조차 고장관리 세부현황'!$C:$C,$AJ76,'2023년 신조차 고장관리 세부현황'!$V:$V,'처리 현황'!AM$29)</f>
        <v>0</v>
      </c>
      <c r="AN76" s="187">
        <f>COUNTIFS('2023년 신조차 고장관리 세부현황'!$D:$D,"2023",'2023년 신조차 고장관리 세부현황'!$C:$C,$AJ76,'2023년 신조차 고장관리 세부현황'!$V:$V,'처리 현황'!AN$29)</f>
        <v>0</v>
      </c>
      <c r="AO76" s="187">
        <f>COUNTIFS('2023년 신조차 고장관리 세부현황'!$D:$D,"2023",'2023년 신조차 고장관리 세부현황'!$C:$C,$AJ76,'2023년 신조차 고장관리 세부현황'!$V:$V,'처리 현황'!AO$29)</f>
        <v>0</v>
      </c>
      <c r="AP76" s="187">
        <f>COUNTIFS('2023년 신조차 고장관리 세부현황'!$D:$D,"2023",'2023년 신조차 고장관리 세부현황'!$C:$C,$AJ76,'2023년 신조차 고장관리 세부현황'!$V:$V,'처리 현황'!AP$29)</f>
        <v>0</v>
      </c>
      <c r="AQ76" s="187">
        <f>COUNTIFS('2023년 신조차 고장관리 세부현황'!$D:$D,"2023",'2023년 신조차 고장관리 세부현황'!$C:$C,$AJ76,'2023년 신조차 고장관리 세부현황'!$V:$V,'처리 현황'!AQ$29)</f>
        <v>0</v>
      </c>
      <c r="AR76" s="190">
        <f t="shared" si="7"/>
        <v>0</v>
      </c>
      <c r="AX76" s="187">
        <f>COUNTIFS('2023년 신조차 고장관리 세부현황'!$D:$D,"2023",'2023년 신조차 고장관리 세부현황'!$C:$C,$AJ76,'2023년 신조차 고장관리 세부현황'!$L:$L,'처리 현황'!AX$29)</f>
        <v>0</v>
      </c>
      <c r="AY76" s="187">
        <f>COUNTIFS('2023년 신조차 고장관리 세부현황'!$D:$D,"2023",'2023년 신조차 고장관리 세부현황'!$C:$C,$AJ76,'2023년 신조차 고장관리 세부현황'!$L:$L,'처리 현황'!AY$29)</f>
        <v>0</v>
      </c>
      <c r="AZ76" s="187">
        <f>COUNTIFS('2023년 신조차 고장관리 세부현황'!$D:$D,"2023",'2023년 신조차 고장관리 세부현황'!$C:$C,$AJ76,'2023년 신조차 고장관리 세부현황'!$L:$L,'처리 현황'!AZ$29)</f>
        <v>0</v>
      </c>
      <c r="BA76" s="187">
        <f>COUNTIFS('2023년 신조차 고장관리 세부현황'!$D:$D,"2023",'2023년 신조차 고장관리 세부현황'!$C:$C,$AJ76,'2023년 신조차 고장관리 세부현황'!$L:$L,'처리 현황'!BA$29)</f>
        <v>0</v>
      </c>
      <c r="BB76" s="187">
        <f>COUNTIFS('2023년 신조차 고장관리 세부현황'!$D:$D,"2023",'2023년 신조차 고장관리 세부현황'!$C:$C,$AJ76,'2023년 신조차 고장관리 세부현황'!$L:$L,'처리 현황'!BB$29)</f>
        <v>0</v>
      </c>
      <c r="BC76" s="187">
        <f>COUNTIFS('2023년 신조차 고장관리 세부현황'!$D:$D,"2023",'2023년 신조차 고장관리 세부현황'!$C:$C,$AJ76,'2023년 신조차 고장관리 세부현황'!$L:$L,'처리 현황'!BC$29)</f>
        <v>0</v>
      </c>
      <c r="BD76" s="187">
        <f>COUNTIFS('2023년 신조차 고장관리 세부현황'!$D:$D,"2023",'2023년 신조차 고장관리 세부현황'!$C:$C,$AJ76,'2023년 신조차 고장관리 세부현황'!$L:$L,'처리 현황'!BD$29)</f>
        <v>0</v>
      </c>
    </row>
    <row r="77" spans="35:56" x14ac:dyDescent="0.4">
      <c r="AI77" s="187">
        <v>12</v>
      </c>
      <c r="AJ77">
        <v>48</v>
      </c>
      <c r="AL77" s="187">
        <f>COUNTIFS('2023년 신조차 고장관리 세부현황'!$D:$D,"2023",'2023년 신조차 고장관리 세부현황'!$C:$C,$AJ77)</f>
        <v>0</v>
      </c>
      <c r="AM77" s="187">
        <f>COUNTIFS('2023년 신조차 고장관리 세부현황'!$D:$D,"2023",'2023년 신조차 고장관리 세부현황'!$C:$C,$AJ77,'2023년 신조차 고장관리 세부현황'!$V:$V,'처리 현황'!AM$29)</f>
        <v>0</v>
      </c>
      <c r="AN77" s="187">
        <f>COUNTIFS('2023년 신조차 고장관리 세부현황'!$D:$D,"2023",'2023년 신조차 고장관리 세부현황'!$C:$C,$AJ77,'2023년 신조차 고장관리 세부현황'!$V:$V,'처리 현황'!AN$29)</f>
        <v>0</v>
      </c>
      <c r="AO77" s="187">
        <f>COUNTIFS('2023년 신조차 고장관리 세부현황'!$D:$D,"2023",'2023년 신조차 고장관리 세부현황'!$C:$C,$AJ77,'2023년 신조차 고장관리 세부현황'!$V:$V,'처리 현황'!AO$29)</f>
        <v>0</v>
      </c>
      <c r="AP77" s="187">
        <f>COUNTIFS('2023년 신조차 고장관리 세부현황'!$D:$D,"2023",'2023년 신조차 고장관리 세부현황'!$C:$C,$AJ77,'2023년 신조차 고장관리 세부현황'!$V:$V,'처리 현황'!AP$29)</f>
        <v>0</v>
      </c>
      <c r="AQ77" s="187">
        <f>COUNTIFS('2023년 신조차 고장관리 세부현황'!$D:$D,"2023",'2023년 신조차 고장관리 세부현황'!$C:$C,$AJ77,'2023년 신조차 고장관리 세부현황'!$V:$V,'처리 현황'!AQ$29)</f>
        <v>0</v>
      </c>
      <c r="AR77" s="190">
        <f t="shared" si="7"/>
        <v>0</v>
      </c>
      <c r="AX77" s="187">
        <f>COUNTIFS('2023년 신조차 고장관리 세부현황'!$D:$D,"2023",'2023년 신조차 고장관리 세부현황'!$C:$C,$AJ77,'2023년 신조차 고장관리 세부현황'!$L:$L,'처리 현황'!AX$29)</f>
        <v>0</v>
      </c>
      <c r="AY77" s="187">
        <f>COUNTIFS('2023년 신조차 고장관리 세부현황'!$D:$D,"2023",'2023년 신조차 고장관리 세부현황'!$C:$C,$AJ77,'2023년 신조차 고장관리 세부현황'!$L:$L,'처리 현황'!AY$29)</f>
        <v>0</v>
      </c>
      <c r="AZ77" s="187">
        <f>COUNTIFS('2023년 신조차 고장관리 세부현황'!$D:$D,"2023",'2023년 신조차 고장관리 세부현황'!$C:$C,$AJ77,'2023년 신조차 고장관리 세부현황'!$L:$L,'처리 현황'!AZ$29)</f>
        <v>0</v>
      </c>
      <c r="BA77" s="187">
        <f>COUNTIFS('2023년 신조차 고장관리 세부현황'!$D:$D,"2023",'2023년 신조차 고장관리 세부현황'!$C:$C,$AJ77,'2023년 신조차 고장관리 세부현황'!$L:$L,'처리 현황'!BA$29)</f>
        <v>0</v>
      </c>
      <c r="BB77" s="187">
        <f>COUNTIFS('2023년 신조차 고장관리 세부현황'!$D:$D,"2023",'2023년 신조차 고장관리 세부현황'!$C:$C,$AJ77,'2023년 신조차 고장관리 세부현황'!$L:$L,'처리 현황'!BB$29)</f>
        <v>0</v>
      </c>
      <c r="BC77" s="187">
        <f>COUNTIFS('2023년 신조차 고장관리 세부현황'!$D:$D,"2023",'2023년 신조차 고장관리 세부현황'!$C:$C,$AJ77,'2023년 신조차 고장관리 세부현황'!$L:$L,'처리 현황'!BC$29)</f>
        <v>0</v>
      </c>
      <c r="BD77" s="187">
        <f>COUNTIFS('2023년 신조차 고장관리 세부현황'!$D:$D,"2023",'2023년 신조차 고장관리 세부현황'!$C:$C,$AJ77,'2023년 신조차 고장관리 세부현황'!$L:$L,'처리 현황'!BD$29)</f>
        <v>0</v>
      </c>
    </row>
    <row r="78" spans="35:56" x14ac:dyDescent="0.4">
      <c r="AI78" s="187">
        <v>12</v>
      </c>
      <c r="AJ78">
        <v>49</v>
      </c>
      <c r="AL78" s="187">
        <f>COUNTIFS('2023년 신조차 고장관리 세부현황'!$D:$D,"2023",'2023년 신조차 고장관리 세부현황'!$C:$C,$AJ78)</f>
        <v>0</v>
      </c>
      <c r="AM78" s="187">
        <f>COUNTIFS('2023년 신조차 고장관리 세부현황'!$D:$D,"2023",'2023년 신조차 고장관리 세부현황'!$C:$C,$AJ78,'2023년 신조차 고장관리 세부현황'!$V:$V,'처리 현황'!AM$29)</f>
        <v>0</v>
      </c>
      <c r="AN78" s="187">
        <f>COUNTIFS('2023년 신조차 고장관리 세부현황'!$D:$D,"2023",'2023년 신조차 고장관리 세부현황'!$C:$C,$AJ78,'2023년 신조차 고장관리 세부현황'!$V:$V,'처리 현황'!AN$29)</f>
        <v>0</v>
      </c>
      <c r="AO78" s="187">
        <f>COUNTIFS('2023년 신조차 고장관리 세부현황'!$D:$D,"2023",'2023년 신조차 고장관리 세부현황'!$C:$C,$AJ78,'2023년 신조차 고장관리 세부현황'!$V:$V,'처리 현황'!AO$29)</f>
        <v>0</v>
      </c>
      <c r="AP78" s="187">
        <f>COUNTIFS('2023년 신조차 고장관리 세부현황'!$D:$D,"2023",'2023년 신조차 고장관리 세부현황'!$C:$C,$AJ78,'2023년 신조차 고장관리 세부현황'!$V:$V,'처리 현황'!AP$29)</f>
        <v>0</v>
      </c>
      <c r="AQ78" s="187">
        <f>COUNTIFS('2023년 신조차 고장관리 세부현황'!$D:$D,"2023",'2023년 신조차 고장관리 세부현황'!$C:$C,$AJ78,'2023년 신조차 고장관리 세부현황'!$V:$V,'처리 현황'!AQ$29)</f>
        <v>0</v>
      </c>
      <c r="AR78" s="190">
        <f t="shared" si="7"/>
        <v>0</v>
      </c>
      <c r="AX78" s="187">
        <f>COUNTIFS('2023년 신조차 고장관리 세부현황'!$D:$D,"2023",'2023년 신조차 고장관리 세부현황'!$C:$C,$AJ78,'2023년 신조차 고장관리 세부현황'!$L:$L,'처리 현황'!AX$29)</f>
        <v>0</v>
      </c>
      <c r="AY78" s="187">
        <f>COUNTIFS('2023년 신조차 고장관리 세부현황'!$D:$D,"2023",'2023년 신조차 고장관리 세부현황'!$C:$C,$AJ78,'2023년 신조차 고장관리 세부현황'!$L:$L,'처리 현황'!AY$29)</f>
        <v>0</v>
      </c>
      <c r="AZ78" s="187">
        <f>COUNTIFS('2023년 신조차 고장관리 세부현황'!$D:$D,"2023",'2023년 신조차 고장관리 세부현황'!$C:$C,$AJ78,'2023년 신조차 고장관리 세부현황'!$L:$L,'처리 현황'!AZ$29)</f>
        <v>0</v>
      </c>
      <c r="BA78" s="187">
        <f>COUNTIFS('2023년 신조차 고장관리 세부현황'!$D:$D,"2023",'2023년 신조차 고장관리 세부현황'!$C:$C,$AJ78,'2023년 신조차 고장관리 세부현황'!$L:$L,'처리 현황'!BA$29)</f>
        <v>0</v>
      </c>
      <c r="BB78" s="187">
        <f>COUNTIFS('2023년 신조차 고장관리 세부현황'!$D:$D,"2023",'2023년 신조차 고장관리 세부현황'!$C:$C,$AJ78,'2023년 신조차 고장관리 세부현황'!$L:$L,'처리 현황'!BB$29)</f>
        <v>0</v>
      </c>
      <c r="BC78" s="187">
        <f>COUNTIFS('2023년 신조차 고장관리 세부현황'!$D:$D,"2023",'2023년 신조차 고장관리 세부현황'!$C:$C,$AJ78,'2023년 신조차 고장관리 세부현황'!$L:$L,'처리 현황'!BC$29)</f>
        <v>0</v>
      </c>
      <c r="BD78" s="187">
        <f>COUNTIFS('2023년 신조차 고장관리 세부현황'!$D:$D,"2023",'2023년 신조차 고장관리 세부현황'!$C:$C,$AJ78,'2023년 신조차 고장관리 세부현황'!$L:$L,'처리 현황'!BD$29)</f>
        <v>0</v>
      </c>
    </row>
    <row r="79" spans="35:56" x14ac:dyDescent="0.4">
      <c r="AI79" s="187">
        <v>12</v>
      </c>
      <c r="AJ79">
        <v>50</v>
      </c>
      <c r="AL79" s="187">
        <f>COUNTIFS('2023년 신조차 고장관리 세부현황'!$D:$D,"2023",'2023년 신조차 고장관리 세부현황'!$C:$C,$AJ79)</f>
        <v>0</v>
      </c>
      <c r="AM79" s="187">
        <f>COUNTIFS('2023년 신조차 고장관리 세부현황'!$D:$D,"2023",'2023년 신조차 고장관리 세부현황'!$C:$C,$AJ79,'2023년 신조차 고장관리 세부현황'!$V:$V,'처리 현황'!AM$29)</f>
        <v>0</v>
      </c>
      <c r="AN79" s="187">
        <f>COUNTIFS('2023년 신조차 고장관리 세부현황'!$D:$D,"2023",'2023년 신조차 고장관리 세부현황'!$C:$C,$AJ79,'2023년 신조차 고장관리 세부현황'!$V:$V,'처리 현황'!AN$29)</f>
        <v>0</v>
      </c>
      <c r="AO79" s="187">
        <f>COUNTIFS('2023년 신조차 고장관리 세부현황'!$D:$D,"2023",'2023년 신조차 고장관리 세부현황'!$C:$C,$AJ79,'2023년 신조차 고장관리 세부현황'!$V:$V,'처리 현황'!AO$29)</f>
        <v>0</v>
      </c>
      <c r="AP79" s="187">
        <f>COUNTIFS('2023년 신조차 고장관리 세부현황'!$D:$D,"2023",'2023년 신조차 고장관리 세부현황'!$C:$C,$AJ79,'2023년 신조차 고장관리 세부현황'!$V:$V,'처리 현황'!AP$29)</f>
        <v>0</v>
      </c>
      <c r="AQ79" s="187">
        <f>COUNTIFS('2023년 신조차 고장관리 세부현황'!$D:$D,"2023",'2023년 신조차 고장관리 세부현황'!$C:$C,$AJ79,'2023년 신조차 고장관리 세부현황'!$V:$V,'처리 현황'!AQ$29)</f>
        <v>0</v>
      </c>
      <c r="AR79" s="190">
        <f t="shared" si="7"/>
        <v>0</v>
      </c>
      <c r="AX79" s="187">
        <f>COUNTIFS('2023년 신조차 고장관리 세부현황'!$D:$D,"2023",'2023년 신조차 고장관리 세부현황'!$C:$C,$AJ79,'2023년 신조차 고장관리 세부현황'!$L:$L,'처리 현황'!AX$29)</f>
        <v>0</v>
      </c>
      <c r="AY79" s="187">
        <f>COUNTIFS('2023년 신조차 고장관리 세부현황'!$D:$D,"2023",'2023년 신조차 고장관리 세부현황'!$C:$C,$AJ79,'2023년 신조차 고장관리 세부현황'!$L:$L,'처리 현황'!AY$29)</f>
        <v>0</v>
      </c>
      <c r="AZ79" s="187">
        <f>COUNTIFS('2023년 신조차 고장관리 세부현황'!$D:$D,"2023",'2023년 신조차 고장관리 세부현황'!$C:$C,$AJ79,'2023년 신조차 고장관리 세부현황'!$L:$L,'처리 현황'!AZ$29)</f>
        <v>0</v>
      </c>
      <c r="BA79" s="187">
        <f>COUNTIFS('2023년 신조차 고장관리 세부현황'!$D:$D,"2023",'2023년 신조차 고장관리 세부현황'!$C:$C,$AJ79,'2023년 신조차 고장관리 세부현황'!$L:$L,'처리 현황'!BA$29)</f>
        <v>0</v>
      </c>
      <c r="BB79" s="187">
        <f>COUNTIFS('2023년 신조차 고장관리 세부현황'!$D:$D,"2023",'2023년 신조차 고장관리 세부현황'!$C:$C,$AJ79,'2023년 신조차 고장관리 세부현황'!$L:$L,'처리 현황'!BB$29)</f>
        <v>0</v>
      </c>
      <c r="BC79" s="187">
        <f>COUNTIFS('2023년 신조차 고장관리 세부현황'!$D:$D,"2023",'2023년 신조차 고장관리 세부현황'!$C:$C,$AJ79,'2023년 신조차 고장관리 세부현황'!$L:$L,'처리 현황'!BC$29)</f>
        <v>0</v>
      </c>
      <c r="BD79" s="187">
        <f>COUNTIFS('2023년 신조차 고장관리 세부현황'!$D:$D,"2023",'2023년 신조차 고장관리 세부현황'!$C:$C,$AJ79,'2023년 신조차 고장관리 세부현황'!$L:$L,'처리 현황'!BD$29)</f>
        <v>0</v>
      </c>
    </row>
    <row r="80" spans="35:56" x14ac:dyDescent="0.4">
      <c r="AI80" s="187">
        <v>12</v>
      </c>
      <c r="AJ80">
        <v>51</v>
      </c>
      <c r="AL80" s="187">
        <f>COUNTIFS('2023년 신조차 고장관리 세부현황'!$D:$D,"2023",'2023년 신조차 고장관리 세부현황'!$C:$C,$AJ80)</f>
        <v>0</v>
      </c>
      <c r="AM80" s="187">
        <f>COUNTIFS('2023년 신조차 고장관리 세부현황'!$D:$D,"2023",'2023년 신조차 고장관리 세부현황'!$C:$C,$AJ80,'2023년 신조차 고장관리 세부현황'!$V:$V,'처리 현황'!AM$29)</f>
        <v>0</v>
      </c>
      <c r="AN80" s="187">
        <f>COUNTIFS('2023년 신조차 고장관리 세부현황'!$D:$D,"2023",'2023년 신조차 고장관리 세부현황'!$C:$C,$AJ80,'2023년 신조차 고장관리 세부현황'!$V:$V,'처리 현황'!AN$29)</f>
        <v>0</v>
      </c>
      <c r="AO80" s="187">
        <f>COUNTIFS('2023년 신조차 고장관리 세부현황'!$D:$D,"2023",'2023년 신조차 고장관리 세부현황'!$C:$C,$AJ80,'2023년 신조차 고장관리 세부현황'!$V:$V,'처리 현황'!AO$29)</f>
        <v>0</v>
      </c>
      <c r="AP80" s="187">
        <f>COUNTIFS('2023년 신조차 고장관리 세부현황'!$D:$D,"2023",'2023년 신조차 고장관리 세부현황'!$C:$C,$AJ80,'2023년 신조차 고장관리 세부현황'!$V:$V,'처리 현황'!AP$29)</f>
        <v>0</v>
      </c>
      <c r="AQ80" s="187">
        <f>COUNTIFS('2023년 신조차 고장관리 세부현황'!$D:$D,"2023",'2023년 신조차 고장관리 세부현황'!$C:$C,$AJ80,'2023년 신조차 고장관리 세부현황'!$V:$V,'처리 현황'!AQ$29)</f>
        <v>0</v>
      </c>
      <c r="AR80" s="190">
        <f t="shared" si="7"/>
        <v>0</v>
      </c>
      <c r="AX80" s="187">
        <f>COUNTIFS('2023년 신조차 고장관리 세부현황'!$D:$D,"2023",'2023년 신조차 고장관리 세부현황'!$C:$C,$AJ80,'2023년 신조차 고장관리 세부현황'!$L:$L,'처리 현황'!AX$29)</f>
        <v>0</v>
      </c>
      <c r="AY80" s="187">
        <f>COUNTIFS('2023년 신조차 고장관리 세부현황'!$D:$D,"2023",'2023년 신조차 고장관리 세부현황'!$C:$C,$AJ80,'2023년 신조차 고장관리 세부현황'!$L:$L,'처리 현황'!AY$29)</f>
        <v>0</v>
      </c>
      <c r="AZ80" s="187">
        <f>COUNTIFS('2023년 신조차 고장관리 세부현황'!$D:$D,"2023",'2023년 신조차 고장관리 세부현황'!$C:$C,$AJ80,'2023년 신조차 고장관리 세부현황'!$L:$L,'처리 현황'!AZ$29)</f>
        <v>0</v>
      </c>
      <c r="BA80" s="187">
        <f>COUNTIFS('2023년 신조차 고장관리 세부현황'!$D:$D,"2023",'2023년 신조차 고장관리 세부현황'!$C:$C,$AJ80,'2023년 신조차 고장관리 세부현황'!$L:$L,'처리 현황'!BA$29)</f>
        <v>0</v>
      </c>
      <c r="BB80" s="187">
        <f>COUNTIFS('2023년 신조차 고장관리 세부현황'!$D:$D,"2023",'2023년 신조차 고장관리 세부현황'!$C:$C,$AJ80,'2023년 신조차 고장관리 세부현황'!$L:$L,'처리 현황'!BB$29)</f>
        <v>0</v>
      </c>
      <c r="BC80" s="187">
        <f>COUNTIFS('2023년 신조차 고장관리 세부현황'!$D:$D,"2023",'2023년 신조차 고장관리 세부현황'!$C:$C,$AJ80,'2023년 신조차 고장관리 세부현황'!$L:$L,'처리 현황'!BC$29)</f>
        <v>0</v>
      </c>
      <c r="BD80" s="187">
        <f>COUNTIFS('2023년 신조차 고장관리 세부현황'!$D:$D,"2023",'2023년 신조차 고장관리 세부현황'!$C:$C,$AJ80,'2023년 신조차 고장관리 세부현황'!$L:$L,'처리 현황'!BD$29)</f>
        <v>0</v>
      </c>
    </row>
    <row r="81" spans="34:64" x14ac:dyDescent="0.4">
      <c r="AI81" s="187">
        <v>12</v>
      </c>
      <c r="AJ81">
        <v>52</v>
      </c>
      <c r="AL81" s="187">
        <f>COUNTIFS('2023년 신조차 고장관리 세부현황'!$D:$D,"2023",'2023년 신조차 고장관리 세부현황'!$C:$C,$AJ81)</f>
        <v>0</v>
      </c>
      <c r="AM81" s="187">
        <f>COUNTIFS('2023년 신조차 고장관리 세부현황'!$D:$D,"2023",'2023년 신조차 고장관리 세부현황'!$C:$C,$AJ81,'2023년 신조차 고장관리 세부현황'!$V:$V,'처리 현황'!AM$29)</f>
        <v>0</v>
      </c>
      <c r="AN81" s="187">
        <f>COUNTIFS('2023년 신조차 고장관리 세부현황'!$D:$D,"2023",'2023년 신조차 고장관리 세부현황'!$C:$C,$AJ81,'2023년 신조차 고장관리 세부현황'!$V:$V,'처리 현황'!AN$29)</f>
        <v>0</v>
      </c>
      <c r="AO81" s="187">
        <f>COUNTIFS('2023년 신조차 고장관리 세부현황'!$D:$D,"2023",'2023년 신조차 고장관리 세부현황'!$C:$C,$AJ81,'2023년 신조차 고장관리 세부현황'!$V:$V,'처리 현황'!AO$29)</f>
        <v>0</v>
      </c>
      <c r="AP81" s="187">
        <f>COUNTIFS('2023년 신조차 고장관리 세부현황'!$D:$D,"2023",'2023년 신조차 고장관리 세부현황'!$C:$C,$AJ81,'2023년 신조차 고장관리 세부현황'!$V:$V,'처리 현황'!AP$29)</f>
        <v>0</v>
      </c>
      <c r="AQ81" s="187">
        <f>COUNTIFS('2023년 신조차 고장관리 세부현황'!$D:$D,"2023",'2023년 신조차 고장관리 세부현황'!$C:$C,$AJ81,'2023년 신조차 고장관리 세부현황'!$V:$V,'처리 현황'!AQ$29)</f>
        <v>0</v>
      </c>
      <c r="AR81" s="190">
        <f t="shared" si="7"/>
        <v>0</v>
      </c>
      <c r="AX81" s="187">
        <f>COUNTIFS('2023년 신조차 고장관리 세부현황'!$D:$D,"2023",'2023년 신조차 고장관리 세부현황'!$C:$C,$AJ81,'2023년 신조차 고장관리 세부현황'!$L:$L,'처리 현황'!AX$29)</f>
        <v>0</v>
      </c>
      <c r="AY81" s="187">
        <f>COUNTIFS('2023년 신조차 고장관리 세부현황'!$D:$D,"2023",'2023년 신조차 고장관리 세부현황'!$C:$C,$AJ81,'2023년 신조차 고장관리 세부현황'!$L:$L,'처리 현황'!AY$29)</f>
        <v>0</v>
      </c>
      <c r="AZ81" s="187">
        <f>COUNTIFS('2023년 신조차 고장관리 세부현황'!$D:$D,"2023",'2023년 신조차 고장관리 세부현황'!$C:$C,$AJ81,'2023년 신조차 고장관리 세부현황'!$L:$L,'처리 현황'!AZ$29)</f>
        <v>0</v>
      </c>
      <c r="BA81" s="187">
        <f>COUNTIFS('2023년 신조차 고장관리 세부현황'!$D:$D,"2023",'2023년 신조차 고장관리 세부현황'!$C:$C,$AJ81,'2023년 신조차 고장관리 세부현황'!$L:$L,'처리 현황'!BA$29)</f>
        <v>0</v>
      </c>
      <c r="BB81" s="187">
        <f>COUNTIFS('2023년 신조차 고장관리 세부현황'!$D:$D,"2023",'2023년 신조차 고장관리 세부현황'!$C:$C,$AJ81,'2023년 신조차 고장관리 세부현황'!$L:$L,'처리 현황'!BB$29)</f>
        <v>0</v>
      </c>
      <c r="BC81" s="187">
        <f>COUNTIFS('2023년 신조차 고장관리 세부현황'!$D:$D,"2023",'2023년 신조차 고장관리 세부현황'!$C:$C,$AJ81,'2023년 신조차 고장관리 세부현황'!$L:$L,'처리 현황'!BC$29)</f>
        <v>0</v>
      </c>
      <c r="BD81" s="187">
        <f>COUNTIFS('2023년 신조차 고장관리 세부현황'!$D:$D,"2023",'2023년 신조차 고장관리 세부현황'!$C:$C,$AJ81,'2023년 신조차 고장관리 세부현황'!$L:$L,'처리 현황'!BD$29)</f>
        <v>0</v>
      </c>
      <c r="BG81" s="122" t="s">
        <v>73</v>
      </c>
      <c r="BH81" s="123" t="s">
        <v>74</v>
      </c>
      <c r="BI81" s="123" t="s">
        <v>75</v>
      </c>
      <c r="BJ81" s="123" t="s">
        <v>76</v>
      </c>
      <c r="BK81" s="123" t="s">
        <v>77</v>
      </c>
      <c r="BL81" s="124" t="s">
        <v>78</v>
      </c>
    </row>
    <row r="82" spans="34:64" ht="18" thickBot="1" x14ac:dyDescent="0.45">
      <c r="AI82" s="187">
        <v>12</v>
      </c>
      <c r="AJ82">
        <v>53</v>
      </c>
      <c r="AL82" s="187">
        <f>COUNTIFS('2023년 신조차 고장관리 세부현황'!$D:$D,"2023",'2023년 신조차 고장관리 세부현황'!$C:$C,$AJ82)</f>
        <v>0</v>
      </c>
      <c r="AM82" s="187">
        <f>COUNTIFS('2023년 신조차 고장관리 세부현황'!$D:$D,"2023",'2023년 신조차 고장관리 세부현황'!$C:$C,$AJ82,'2023년 신조차 고장관리 세부현황'!$V:$V,'처리 현황'!AM$29)</f>
        <v>0</v>
      </c>
      <c r="AN82" s="187">
        <f>COUNTIFS('2023년 신조차 고장관리 세부현황'!$D:$D,"2023",'2023년 신조차 고장관리 세부현황'!$C:$C,$AJ82,'2023년 신조차 고장관리 세부현황'!$V:$V,'처리 현황'!AN$29)</f>
        <v>0</v>
      </c>
      <c r="AO82" s="187">
        <f>COUNTIFS('2023년 신조차 고장관리 세부현황'!$D:$D,"2023",'2023년 신조차 고장관리 세부현황'!$C:$C,$AJ82,'2023년 신조차 고장관리 세부현황'!$V:$V,'처리 현황'!AO$29)</f>
        <v>0</v>
      </c>
      <c r="AP82" s="187">
        <f>COUNTIFS('2023년 신조차 고장관리 세부현황'!$D:$D,"2023",'2023년 신조차 고장관리 세부현황'!$C:$C,$AJ82,'2023년 신조차 고장관리 세부현황'!$V:$V,'처리 현황'!AP$29)</f>
        <v>0</v>
      </c>
      <c r="AQ82" s="187">
        <f>COUNTIFS('2023년 신조차 고장관리 세부현황'!$D:$D,"2023",'2023년 신조차 고장관리 세부현황'!$C:$C,$AJ82,'2023년 신조차 고장관리 세부현황'!$V:$V,'처리 현황'!AQ$29)</f>
        <v>0</v>
      </c>
      <c r="AR82" s="190">
        <f t="shared" si="7"/>
        <v>0</v>
      </c>
      <c r="AX82" s="187">
        <f>COUNTIFS('2023년 신조차 고장관리 세부현황'!$D:$D,"2023",'2023년 신조차 고장관리 세부현황'!$C:$C,$AJ82,'2023년 신조차 고장관리 세부현황'!$L:$L,'처리 현황'!AX$29)</f>
        <v>0</v>
      </c>
      <c r="AY82" s="187">
        <f>COUNTIFS('2023년 신조차 고장관리 세부현황'!$D:$D,"2023",'2023년 신조차 고장관리 세부현황'!$C:$C,$AJ82,'2023년 신조차 고장관리 세부현황'!$L:$L,'처리 현황'!AY$29)</f>
        <v>0</v>
      </c>
      <c r="AZ82" s="187">
        <f>COUNTIFS('2023년 신조차 고장관리 세부현황'!$D:$D,"2023",'2023년 신조차 고장관리 세부현황'!$C:$C,$AJ82,'2023년 신조차 고장관리 세부현황'!$L:$L,'처리 현황'!AZ$29)</f>
        <v>0</v>
      </c>
      <c r="BA82" s="187">
        <f>COUNTIFS('2023년 신조차 고장관리 세부현황'!$D:$D,"2023",'2023년 신조차 고장관리 세부현황'!$C:$C,$AJ82,'2023년 신조차 고장관리 세부현황'!$L:$L,'처리 현황'!BA$29)</f>
        <v>0</v>
      </c>
      <c r="BB82" s="187">
        <f>COUNTIFS('2023년 신조차 고장관리 세부현황'!$D:$D,"2023",'2023년 신조차 고장관리 세부현황'!$C:$C,$AJ82,'2023년 신조차 고장관리 세부현황'!$L:$L,'처리 현황'!BB$29)</f>
        <v>0</v>
      </c>
      <c r="BC82" s="187">
        <f>COUNTIFS('2023년 신조차 고장관리 세부현황'!$D:$D,"2023",'2023년 신조차 고장관리 세부현황'!$C:$C,$AJ82,'2023년 신조차 고장관리 세부현황'!$L:$L,'처리 현황'!BC$29)</f>
        <v>0</v>
      </c>
      <c r="BD82" s="187">
        <f>COUNTIFS('2023년 신조차 고장관리 세부현황'!$D:$D,"2023",'2023년 신조차 고장관리 세부현황'!$C:$C,$AJ82,'2023년 신조차 고장관리 세부현황'!$L:$L,'처리 현황'!BD$29)</f>
        <v>0</v>
      </c>
      <c r="BG82" s="107">
        <v>8</v>
      </c>
      <c r="BH82" s="135">
        <v>61</v>
      </c>
      <c r="BI82" s="107">
        <v>26</v>
      </c>
      <c r="BJ82">
        <v>84</v>
      </c>
      <c r="BK82">
        <v>65</v>
      </c>
      <c r="BL82">
        <v>29</v>
      </c>
    </row>
    <row r="83" spans="34:64" ht="18" thickTop="1" x14ac:dyDescent="0.4">
      <c r="AH83" s="192" t="s">
        <v>310</v>
      </c>
      <c r="AI83" s="192"/>
      <c r="AJ83" s="192"/>
      <c r="AK83" s="192"/>
      <c r="AL83" s="189"/>
      <c r="AM83" s="189"/>
      <c r="AN83" s="189"/>
      <c r="AO83" s="189"/>
      <c r="AP83" s="189"/>
      <c r="AQ83" s="189"/>
      <c r="AR83" s="189"/>
      <c r="AS83" s="189"/>
      <c r="AT83" s="189"/>
      <c r="AU83" s="189"/>
      <c r="AV83" s="189"/>
      <c r="AW83" s="189"/>
      <c r="AX83" s="189">
        <f>SUM(AX30:AX82)</f>
        <v>0</v>
      </c>
      <c r="AY83" s="189">
        <f t="shared" ref="AY83:BD83" si="8">SUM(AY30:AY82)</f>
        <v>0</v>
      </c>
      <c r="AZ83" s="189">
        <f t="shared" si="8"/>
        <v>3</v>
      </c>
      <c r="BA83" s="189">
        <f t="shared" si="8"/>
        <v>11</v>
      </c>
      <c r="BB83" s="189">
        <f t="shared" si="8"/>
        <v>20</v>
      </c>
      <c r="BC83" s="189">
        <f t="shared" si="8"/>
        <v>8</v>
      </c>
      <c r="BD83" s="189">
        <f t="shared" si="8"/>
        <v>0</v>
      </c>
    </row>
  </sheetData>
  <mergeCells count="5">
    <mergeCell ref="A4:A15"/>
    <mergeCell ref="A16:A27"/>
    <mergeCell ref="AH4:AH15"/>
    <mergeCell ref="AH16:AH27"/>
    <mergeCell ref="AH30:AH41"/>
  </mergeCells>
  <phoneticPr fontId="3"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125"/>
  <sheetViews>
    <sheetView workbookViewId="0">
      <pane xSplit="2" ySplit="4" topLeftCell="C1108" activePane="bottomRight" state="frozen"/>
      <selection pane="topRight" activeCell="C1" sqref="C1"/>
      <selection pane="bottomLeft" activeCell="A5" sqref="A5"/>
      <selection pane="bottomRight" activeCell="J1118" sqref="J1118"/>
    </sheetView>
  </sheetViews>
  <sheetFormatPr defaultRowHeight="17.399999999999999" x14ac:dyDescent="0.4"/>
  <sheetData>
    <row r="3" spans="2:5" x14ac:dyDescent="0.4">
      <c r="B3" s="344"/>
    </row>
    <row r="4" spans="2:5" x14ac:dyDescent="0.4">
      <c r="B4" s="345" t="s">
        <v>0</v>
      </c>
      <c r="C4" s="171" t="s">
        <v>174</v>
      </c>
      <c r="D4" s="343" t="s">
        <v>533</v>
      </c>
      <c r="E4" s="343" t="s">
        <v>534</v>
      </c>
    </row>
    <row r="5" spans="2:5" x14ac:dyDescent="0.4">
      <c r="B5" s="211">
        <v>1</v>
      </c>
      <c r="C5" s="82" t="s">
        <v>691</v>
      </c>
      <c r="D5" s="82">
        <v>34135</v>
      </c>
      <c r="E5" s="85" t="s">
        <v>535</v>
      </c>
    </row>
    <row r="6" spans="2:5" x14ac:dyDescent="0.4">
      <c r="B6" s="211">
        <v>2</v>
      </c>
      <c r="C6" s="82" t="s">
        <v>691</v>
      </c>
      <c r="D6" s="82">
        <v>38116</v>
      </c>
      <c r="E6" s="85" t="s">
        <v>536</v>
      </c>
    </row>
    <row r="7" spans="2:5" x14ac:dyDescent="0.4">
      <c r="B7" s="211">
        <v>3</v>
      </c>
      <c r="C7" s="82" t="s">
        <v>691</v>
      </c>
      <c r="D7" s="82">
        <v>34132</v>
      </c>
      <c r="E7" s="85" t="s">
        <v>538</v>
      </c>
    </row>
    <row r="8" spans="2:5" x14ac:dyDescent="0.4">
      <c r="B8" s="211">
        <v>4</v>
      </c>
      <c r="C8" s="82" t="s">
        <v>691</v>
      </c>
      <c r="D8" s="82">
        <v>34135</v>
      </c>
      <c r="E8" s="85" t="s">
        <v>535</v>
      </c>
    </row>
    <row r="9" spans="2:5" x14ac:dyDescent="0.4">
      <c r="B9" s="211">
        <v>5</v>
      </c>
      <c r="C9" s="82" t="s">
        <v>691</v>
      </c>
      <c r="D9" s="82">
        <v>34135</v>
      </c>
      <c r="E9" s="85" t="s">
        <v>535</v>
      </c>
    </row>
    <row r="10" spans="2:5" x14ac:dyDescent="0.4">
      <c r="B10" s="211">
        <v>6</v>
      </c>
      <c r="C10" s="82" t="s">
        <v>691</v>
      </c>
      <c r="D10" s="82">
        <v>34135</v>
      </c>
      <c r="E10" s="85" t="s">
        <v>535</v>
      </c>
    </row>
    <row r="11" spans="2:5" x14ac:dyDescent="0.4">
      <c r="B11" s="211">
        <v>7</v>
      </c>
      <c r="C11" s="82" t="s">
        <v>691</v>
      </c>
      <c r="D11" s="82">
        <v>34132</v>
      </c>
      <c r="E11" s="85" t="s">
        <v>538</v>
      </c>
    </row>
    <row r="12" spans="2:5" x14ac:dyDescent="0.4">
      <c r="B12" s="213">
        <v>8</v>
      </c>
      <c r="C12" s="82" t="s">
        <v>691</v>
      </c>
      <c r="D12" s="82">
        <v>31204</v>
      </c>
      <c r="E12" s="85" t="s">
        <v>538</v>
      </c>
    </row>
    <row r="13" spans="2:5" x14ac:dyDescent="0.4">
      <c r="B13" s="213">
        <v>9</v>
      </c>
      <c r="C13" s="82" t="s">
        <v>691</v>
      </c>
      <c r="D13" s="82" t="s">
        <v>528</v>
      </c>
      <c r="E13" s="85" t="s">
        <v>528</v>
      </c>
    </row>
    <row r="14" spans="2:5" x14ac:dyDescent="0.4">
      <c r="B14" s="213">
        <v>10</v>
      </c>
      <c r="C14" s="82" t="s">
        <v>691</v>
      </c>
      <c r="D14" s="82">
        <v>31212</v>
      </c>
      <c r="E14" s="85" t="s">
        <v>538</v>
      </c>
    </row>
    <row r="15" spans="2:5" x14ac:dyDescent="0.4">
      <c r="B15" s="211">
        <v>11</v>
      </c>
      <c r="C15" s="82" t="s">
        <v>691</v>
      </c>
      <c r="D15" s="82">
        <v>31206</v>
      </c>
      <c r="E15" s="85" t="s">
        <v>538</v>
      </c>
    </row>
    <row r="16" spans="2:5" x14ac:dyDescent="0.4">
      <c r="B16" s="213">
        <v>12</v>
      </c>
      <c r="C16" s="82" t="s">
        <v>691</v>
      </c>
      <c r="D16" s="82">
        <v>34131</v>
      </c>
      <c r="E16" s="85" t="s">
        <v>537</v>
      </c>
    </row>
    <row r="17" spans="2:5" x14ac:dyDescent="0.4">
      <c r="B17" s="211">
        <v>13</v>
      </c>
      <c r="C17" s="82" t="s">
        <v>691</v>
      </c>
      <c r="D17" s="82">
        <v>31210</v>
      </c>
      <c r="E17" s="85" t="s">
        <v>538</v>
      </c>
    </row>
    <row r="18" spans="2:5" x14ac:dyDescent="0.4">
      <c r="B18" s="211">
        <v>14</v>
      </c>
      <c r="C18" s="82" t="s">
        <v>691</v>
      </c>
      <c r="D18" s="82">
        <v>34136</v>
      </c>
      <c r="E18" s="85" t="s">
        <v>538</v>
      </c>
    </row>
    <row r="19" spans="2:5" x14ac:dyDescent="0.4">
      <c r="B19" s="211">
        <v>15</v>
      </c>
      <c r="C19" s="82" t="s">
        <v>691</v>
      </c>
      <c r="D19" s="82">
        <v>31208</v>
      </c>
      <c r="E19" s="85" t="s">
        <v>538</v>
      </c>
    </row>
    <row r="20" spans="2:5" x14ac:dyDescent="0.4">
      <c r="B20" s="213">
        <v>16</v>
      </c>
      <c r="C20" s="82" t="s">
        <v>691</v>
      </c>
      <c r="D20" s="82">
        <v>31204</v>
      </c>
      <c r="E20" s="85" t="s">
        <v>538</v>
      </c>
    </row>
    <row r="21" spans="2:5" x14ac:dyDescent="0.4">
      <c r="B21" s="211">
        <v>17</v>
      </c>
      <c r="C21" s="82" t="s">
        <v>691</v>
      </c>
      <c r="D21" s="82">
        <v>34135</v>
      </c>
      <c r="E21" s="85" t="s">
        <v>535</v>
      </c>
    </row>
    <row r="22" spans="2:5" x14ac:dyDescent="0.4">
      <c r="B22" s="211">
        <v>18</v>
      </c>
      <c r="C22" s="82" t="s">
        <v>691</v>
      </c>
      <c r="D22" s="82">
        <v>34134</v>
      </c>
      <c r="E22" s="85" t="s">
        <v>538</v>
      </c>
    </row>
    <row r="23" spans="2:5" x14ac:dyDescent="0.4">
      <c r="B23" s="211">
        <v>19</v>
      </c>
      <c r="C23" s="82" t="s">
        <v>691</v>
      </c>
      <c r="D23" s="82">
        <v>38111</v>
      </c>
      <c r="E23" s="85" t="s">
        <v>536</v>
      </c>
    </row>
    <row r="24" spans="2:5" x14ac:dyDescent="0.4">
      <c r="B24" s="211">
        <v>20</v>
      </c>
      <c r="C24" s="82" t="s">
        <v>691</v>
      </c>
      <c r="D24" s="82">
        <v>31209</v>
      </c>
      <c r="E24" s="85" t="s">
        <v>538</v>
      </c>
    </row>
    <row r="25" spans="2:5" x14ac:dyDescent="0.4">
      <c r="B25" s="211">
        <v>21</v>
      </c>
      <c r="C25" s="82" t="s">
        <v>691</v>
      </c>
      <c r="D25" s="82">
        <v>34136</v>
      </c>
      <c r="E25" s="85" t="s">
        <v>538</v>
      </c>
    </row>
    <row r="26" spans="2:5" x14ac:dyDescent="0.4">
      <c r="B26" s="211">
        <v>22</v>
      </c>
      <c r="C26" s="82" t="s">
        <v>691</v>
      </c>
      <c r="D26" s="82">
        <v>31210</v>
      </c>
      <c r="E26" s="85" t="s">
        <v>538</v>
      </c>
    </row>
    <row r="27" spans="2:5" x14ac:dyDescent="0.4">
      <c r="B27" s="214">
        <v>23</v>
      </c>
      <c r="C27" s="69" t="s">
        <v>691</v>
      </c>
      <c r="D27" s="69">
        <v>31209</v>
      </c>
      <c r="E27" s="85" t="s">
        <v>538</v>
      </c>
    </row>
    <row r="28" spans="2:5" x14ac:dyDescent="0.4">
      <c r="B28" s="214">
        <v>24</v>
      </c>
      <c r="C28" s="69" t="s">
        <v>691</v>
      </c>
      <c r="D28" s="69">
        <v>38117</v>
      </c>
      <c r="E28" s="85" t="s">
        <v>536</v>
      </c>
    </row>
    <row r="29" spans="2:5" x14ac:dyDescent="0.4">
      <c r="B29" s="215">
        <v>25</v>
      </c>
      <c r="C29" s="69" t="s">
        <v>691</v>
      </c>
      <c r="D29" s="82">
        <v>31209</v>
      </c>
      <c r="E29" s="85" t="s">
        <v>538</v>
      </c>
    </row>
    <row r="30" spans="2:5" x14ac:dyDescent="0.4">
      <c r="B30" s="211">
        <v>26</v>
      </c>
      <c r="C30" s="82" t="s">
        <v>691</v>
      </c>
      <c r="D30" s="82">
        <v>34133</v>
      </c>
      <c r="E30" s="85" t="s">
        <v>538</v>
      </c>
    </row>
    <row r="31" spans="2:5" x14ac:dyDescent="0.4">
      <c r="B31" s="213">
        <v>27</v>
      </c>
      <c r="C31" s="82" t="s">
        <v>691</v>
      </c>
      <c r="D31" s="82">
        <v>34131</v>
      </c>
      <c r="E31" s="85" t="s">
        <v>537</v>
      </c>
    </row>
    <row r="32" spans="2:5" x14ac:dyDescent="0.4">
      <c r="B32" s="211">
        <v>28</v>
      </c>
      <c r="C32" s="82" t="s">
        <v>691</v>
      </c>
      <c r="D32" s="82">
        <v>34133</v>
      </c>
      <c r="E32" s="85" t="s">
        <v>538</v>
      </c>
    </row>
    <row r="33" spans="2:5" x14ac:dyDescent="0.4">
      <c r="B33" s="211">
        <v>29</v>
      </c>
      <c r="C33" s="82" t="s">
        <v>691</v>
      </c>
      <c r="D33" s="82">
        <v>31211</v>
      </c>
      <c r="E33" s="85" t="s">
        <v>538</v>
      </c>
    </row>
    <row r="34" spans="2:5" x14ac:dyDescent="0.4">
      <c r="B34" s="211">
        <v>30</v>
      </c>
      <c r="C34" s="82" t="s">
        <v>691</v>
      </c>
      <c r="D34" s="82">
        <v>34134</v>
      </c>
      <c r="E34" s="85" t="s">
        <v>538</v>
      </c>
    </row>
    <row r="35" spans="2:5" x14ac:dyDescent="0.4">
      <c r="B35" s="211">
        <v>31</v>
      </c>
      <c r="C35" s="82" t="s">
        <v>691</v>
      </c>
      <c r="D35" s="82">
        <v>31908</v>
      </c>
      <c r="E35" s="85" t="s">
        <v>535</v>
      </c>
    </row>
    <row r="36" spans="2:5" x14ac:dyDescent="0.4">
      <c r="B36" s="211">
        <v>32</v>
      </c>
      <c r="C36" s="82" t="s">
        <v>691</v>
      </c>
      <c r="D36" s="82">
        <v>31214</v>
      </c>
      <c r="E36" s="85" t="s">
        <v>537</v>
      </c>
    </row>
    <row r="37" spans="2:5" x14ac:dyDescent="0.4">
      <c r="B37" s="213">
        <v>33</v>
      </c>
      <c r="C37" s="82" t="s">
        <v>691</v>
      </c>
      <c r="D37" s="82">
        <v>31215</v>
      </c>
      <c r="E37" s="85" t="s">
        <v>537</v>
      </c>
    </row>
    <row r="38" spans="2:5" x14ac:dyDescent="0.4">
      <c r="B38" s="211">
        <v>34</v>
      </c>
      <c r="C38" s="82" t="s">
        <v>691</v>
      </c>
      <c r="D38" s="82">
        <v>34133</v>
      </c>
      <c r="E38" s="85" t="s">
        <v>538</v>
      </c>
    </row>
    <row r="39" spans="2:5" x14ac:dyDescent="0.4">
      <c r="B39" s="211">
        <v>35</v>
      </c>
      <c r="C39" s="82" t="s">
        <v>691</v>
      </c>
      <c r="D39" s="82">
        <v>31210</v>
      </c>
      <c r="E39" s="85" t="s">
        <v>538</v>
      </c>
    </row>
    <row r="40" spans="2:5" x14ac:dyDescent="0.4">
      <c r="B40" s="213">
        <v>36</v>
      </c>
      <c r="C40" s="82" t="s">
        <v>691</v>
      </c>
      <c r="D40" s="82">
        <v>31204</v>
      </c>
      <c r="E40" s="85" t="s">
        <v>538</v>
      </c>
    </row>
    <row r="41" spans="2:5" x14ac:dyDescent="0.4">
      <c r="B41" s="211">
        <v>37</v>
      </c>
      <c r="C41" s="82" t="s">
        <v>691</v>
      </c>
      <c r="D41" s="82">
        <v>31214</v>
      </c>
      <c r="E41" s="85" t="s">
        <v>537</v>
      </c>
    </row>
    <row r="42" spans="2:5" x14ac:dyDescent="0.4">
      <c r="B42" s="211">
        <v>38</v>
      </c>
      <c r="C42" s="82" t="s">
        <v>691</v>
      </c>
      <c r="D42" s="82">
        <v>31214</v>
      </c>
      <c r="E42" s="85" t="s">
        <v>537</v>
      </c>
    </row>
    <row r="43" spans="2:5" x14ac:dyDescent="0.4">
      <c r="B43" s="215">
        <v>39</v>
      </c>
      <c r="C43" s="69" t="s">
        <v>691</v>
      </c>
      <c r="D43" s="69">
        <v>31210</v>
      </c>
      <c r="E43" s="85" t="s">
        <v>538</v>
      </c>
    </row>
    <row r="44" spans="2:5" x14ac:dyDescent="0.4">
      <c r="B44" s="213">
        <v>40</v>
      </c>
      <c r="C44" s="82" t="s">
        <v>691</v>
      </c>
      <c r="D44" s="82">
        <v>31215</v>
      </c>
      <c r="E44" s="85" t="s">
        <v>537</v>
      </c>
    </row>
    <row r="45" spans="2:5" x14ac:dyDescent="0.4">
      <c r="B45" s="211">
        <v>41</v>
      </c>
      <c r="C45" s="82" t="s">
        <v>691</v>
      </c>
      <c r="D45" s="82">
        <v>31210</v>
      </c>
      <c r="E45" s="85" t="s">
        <v>538</v>
      </c>
    </row>
    <row r="46" spans="2:5" x14ac:dyDescent="0.4">
      <c r="B46" s="211">
        <v>42</v>
      </c>
      <c r="C46" s="82" t="s">
        <v>691</v>
      </c>
      <c r="D46" s="82">
        <v>31211</v>
      </c>
      <c r="E46" s="85" t="s">
        <v>538</v>
      </c>
    </row>
    <row r="47" spans="2:5" x14ac:dyDescent="0.4">
      <c r="B47" s="211">
        <v>43</v>
      </c>
      <c r="C47" s="82" t="s">
        <v>691</v>
      </c>
      <c r="D47" s="82">
        <v>38112</v>
      </c>
      <c r="E47" s="85" t="s">
        <v>536</v>
      </c>
    </row>
    <row r="48" spans="2:5" x14ac:dyDescent="0.4">
      <c r="B48" s="211">
        <v>44</v>
      </c>
      <c r="C48" s="82" t="s">
        <v>691</v>
      </c>
      <c r="D48" s="82">
        <v>31208</v>
      </c>
      <c r="E48" s="85" t="s">
        <v>538</v>
      </c>
    </row>
    <row r="49" spans="2:5" x14ac:dyDescent="0.4">
      <c r="B49" s="211">
        <v>45</v>
      </c>
      <c r="C49" s="82" t="s">
        <v>691</v>
      </c>
      <c r="D49" s="82">
        <v>31213</v>
      </c>
      <c r="E49" s="85" t="s">
        <v>538</v>
      </c>
    </row>
    <row r="50" spans="2:5" x14ac:dyDescent="0.4">
      <c r="B50" s="211">
        <v>46</v>
      </c>
      <c r="C50" s="82" t="s">
        <v>691</v>
      </c>
      <c r="D50" s="82">
        <v>31215</v>
      </c>
      <c r="E50" s="85" t="s">
        <v>537</v>
      </c>
    </row>
    <row r="51" spans="2:5" x14ac:dyDescent="0.4">
      <c r="B51" s="211">
        <v>47</v>
      </c>
      <c r="C51" s="82" t="s">
        <v>691</v>
      </c>
      <c r="D51" s="82">
        <v>31209</v>
      </c>
      <c r="E51" s="85" t="s">
        <v>538</v>
      </c>
    </row>
    <row r="52" spans="2:5" x14ac:dyDescent="0.4">
      <c r="B52" s="213">
        <v>48</v>
      </c>
      <c r="C52" s="82" t="s">
        <v>691</v>
      </c>
      <c r="D52" s="82">
        <v>31210</v>
      </c>
      <c r="E52" s="85" t="s">
        <v>538</v>
      </c>
    </row>
    <row r="53" spans="2:5" x14ac:dyDescent="0.4">
      <c r="B53" s="213">
        <v>49</v>
      </c>
      <c r="C53" s="82" t="s">
        <v>691</v>
      </c>
      <c r="D53" s="82">
        <v>31214</v>
      </c>
      <c r="E53" s="85" t="s">
        <v>537</v>
      </c>
    </row>
    <row r="54" spans="2:5" x14ac:dyDescent="0.4">
      <c r="B54" s="213">
        <v>50</v>
      </c>
      <c r="C54" s="82" t="s">
        <v>691</v>
      </c>
      <c r="D54" s="82">
        <v>34137</v>
      </c>
      <c r="E54" s="85" t="s">
        <v>535</v>
      </c>
    </row>
    <row r="55" spans="2:5" x14ac:dyDescent="0.4">
      <c r="B55" s="213">
        <v>51</v>
      </c>
      <c r="C55" s="82" t="s">
        <v>691</v>
      </c>
      <c r="D55" s="82">
        <v>35175</v>
      </c>
      <c r="E55" s="85">
        <v>0</v>
      </c>
    </row>
    <row r="56" spans="2:5" x14ac:dyDescent="0.4">
      <c r="B56" s="213">
        <v>52</v>
      </c>
      <c r="C56" s="82" t="s">
        <v>691</v>
      </c>
      <c r="D56" s="82">
        <v>31209</v>
      </c>
      <c r="E56" s="85" t="s">
        <v>538</v>
      </c>
    </row>
    <row r="57" spans="2:5" x14ac:dyDescent="0.4">
      <c r="B57" s="213">
        <v>53</v>
      </c>
      <c r="C57" s="82" t="s">
        <v>691</v>
      </c>
      <c r="D57" s="82">
        <v>31209</v>
      </c>
      <c r="E57" s="85" t="s">
        <v>538</v>
      </c>
    </row>
    <row r="58" spans="2:5" x14ac:dyDescent="0.4">
      <c r="B58" s="213">
        <v>54</v>
      </c>
      <c r="C58" s="82" t="s">
        <v>691</v>
      </c>
      <c r="D58" s="82">
        <v>31210</v>
      </c>
      <c r="E58" s="85" t="s">
        <v>538</v>
      </c>
    </row>
    <row r="59" spans="2:5" x14ac:dyDescent="0.4">
      <c r="B59" s="213">
        <v>55</v>
      </c>
      <c r="C59" s="82" t="s">
        <v>691</v>
      </c>
      <c r="D59" s="82">
        <v>31211</v>
      </c>
      <c r="E59" s="85" t="s">
        <v>538</v>
      </c>
    </row>
    <row r="60" spans="2:5" x14ac:dyDescent="0.4">
      <c r="B60" s="213">
        <v>56</v>
      </c>
      <c r="C60" s="82" t="s">
        <v>691</v>
      </c>
      <c r="D60" s="82">
        <v>31207</v>
      </c>
      <c r="E60" s="85" t="s">
        <v>538</v>
      </c>
    </row>
    <row r="61" spans="2:5" x14ac:dyDescent="0.4">
      <c r="B61" s="213">
        <v>57</v>
      </c>
      <c r="C61" s="82" t="s">
        <v>691</v>
      </c>
      <c r="D61" s="82">
        <v>31204</v>
      </c>
      <c r="E61" s="85" t="s">
        <v>538</v>
      </c>
    </row>
    <row r="62" spans="2:5" x14ac:dyDescent="0.4">
      <c r="B62" s="215">
        <v>58</v>
      </c>
      <c r="C62" s="69" t="s">
        <v>691</v>
      </c>
      <c r="D62" s="69">
        <v>39104</v>
      </c>
      <c r="E62" s="85">
        <v>0</v>
      </c>
    </row>
    <row r="63" spans="2:5" x14ac:dyDescent="0.4">
      <c r="B63" s="213">
        <v>59</v>
      </c>
      <c r="C63" s="82" t="s">
        <v>691</v>
      </c>
      <c r="D63" s="82">
        <v>31211</v>
      </c>
      <c r="E63" s="85" t="s">
        <v>538</v>
      </c>
    </row>
    <row r="64" spans="2:5" x14ac:dyDescent="0.4">
      <c r="B64" s="211">
        <v>60</v>
      </c>
      <c r="C64" s="82" t="s">
        <v>691</v>
      </c>
      <c r="D64" s="82">
        <v>31212</v>
      </c>
      <c r="E64" s="85" t="s">
        <v>538</v>
      </c>
    </row>
    <row r="65" spans="2:5" x14ac:dyDescent="0.4">
      <c r="B65" s="214">
        <v>61</v>
      </c>
      <c r="C65" s="69" t="s">
        <v>691</v>
      </c>
      <c r="D65" s="69">
        <v>35176</v>
      </c>
      <c r="E65" s="85">
        <v>0</v>
      </c>
    </row>
    <row r="66" spans="2:5" x14ac:dyDescent="0.4">
      <c r="B66" s="213">
        <v>62</v>
      </c>
      <c r="C66" s="82" t="s">
        <v>691</v>
      </c>
      <c r="D66" s="82">
        <v>31205</v>
      </c>
      <c r="E66" s="85" t="s">
        <v>538</v>
      </c>
    </row>
    <row r="67" spans="2:5" x14ac:dyDescent="0.4">
      <c r="B67" s="211">
        <v>63</v>
      </c>
      <c r="C67" s="82" t="s">
        <v>691</v>
      </c>
      <c r="D67" s="82">
        <v>31211</v>
      </c>
      <c r="E67" s="85" t="s">
        <v>538</v>
      </c>
    </row>
    <row r="68" spans="2:5" x14ac:dyDescent="0.4">
      <c r="B68" s="211">
        <v>64</v>
      </c>
      <c r="C68" s="82" t="s">
        <v>691</v>
      </c>
      <c r="D68" s="82">
        <v>35176</v>
      </c>
      <c r="E68" s="85">
        <v>0</v>
      </c>
    </row>
    <row r="69" spans="2:5" x14ac:dyDescent="0.4">
      <c r="B69" s="211">
        <v>65</v>
      </c>
      <c r="C69" s="82" t="s">
        <v>691</v>
      </c>
      <c r="D69" s="82">
        <v>34135</v>
      </c>
      <c r="E69" s="85" t="s">
        <v>535</v>
      </c>
    </row>
    <row r="70" spans="2:5" x14ac:dyDescent="0.4">
      <c r="B70" s="211">
        <v>66</v>
      </c>
      <c r="C70" s="82" t="s">
        <v>691</v>
      </c>
      <c r="D70" s="82">
        <v>34136</v>
      </c>
      <c r="E70" s="85" t="s">
        <v>538</v>
      </c>
    </row>
    <row r="71" spans="2:5" x14ac:dyDescent="0.4">
      <c r="B71" s="213">
        <v>67</v>
      </c>
      <c r="C71" s="82" t="s">
        <v>691</v>
      </c>
      <c r="D71" s="82">
        <v>31205</v>
      </c>
      <c r="E71" s="85" t="s">
        <v>538</v>
      </c>
    </row>
    <row r="72" spans="2:5" x14ac:dyDescent="0.4">
      <c r="B72" s="211">
        <v>68</v>
      </c>
      <c r="C72" s="82" t="s">
        <v>691</v>
      </c>
      <c r="D72" s="82">
        <v>39101</v>
      </c>
      <c r="E72" s="85">
        <v>0</v>
      </c>
    </row>
    <row r="73" spans="2:5" x14ac:dyDescent="0.4">
      <c r="B73" s="211">
        <v>69</v>
      </c>
      <c r="C73" s="82" t="s">
        <v>691</v>
      </c>
      <c r="D73" s="82" t="e">
        <v>#VALUE!</v>
      </c>
      <c r="E73" s="85" t="e">
        <v>#VALUE!</v>
      </c>
    </row>
    <row r="74" spans="2:5" x14ac:dyDescent="0.4">
      <c r="B74" s="214">
        <v>70</v>
      </c>
      <c r="C74" s="69" t="s">
        <v>691</v>
      </c>
      <c r="D74" s="69">
        <v>35177</v>
      </c>
      <c r="E74" s="85">
        <v>0</v>
      </c>
    </row>
    <row r="75" spans="2:5" x14ac:dyDescent="0.4">
      <c r="B75" s="211">
        <v>71</v>
      </c>
      <c r="C75" s="82" t="s">
        <v>691</v>
      </c>
      <c r="D75" s="82">
        <v>34134</v>
      </c>
      <c r="E75" s="85" t="s">
        <v>538</v>
      </c>
    </row>
    <row r="76" spans="2:5" x14ac:dyDescent="0.4">
      <c r="B76" s="214">
        <v>72</v>
      </c>
      <c r="C76" s="69" t="s">
        <v>691</v>
      </c>
      <c r="D76" s="69">
        <v>39101</v>
      </c>
      <c r="E76" s="85">
        <v>0</v>
      </c>
    </row>
    <row r="77" spans="2:5" x14ac:dyDescent="0.4">
      <c r="B77" s="211">
        <v>73</v>
      </c>
      <c r="C77" s="82" t="s">
        <v>691</v>
      </c>
      <c r="D77" s="82">
        <v>31215</v>
      </c>
      <c r="E77" s="85" t="s">
        <v>537</v>
      </c>
    </row>
    <row r="78" spans="2:5" x14ac:dyDescent="0.4">
      <c r="B78" s="211">
        <v>74</v>
      </c>
      <c r="C78" s="82" t="s">
        <v>691</v>
      </c>
      <c r="D78" s="82">
        <v>35147</v>
      </c>
      <c r="E78" s="85" t="s">
        <v>539</v>
      </c>
    </row>
    <row r="79" spans="2:5" x14ac:dyDescent="0.4">
      <c r="B79" s="211">
        <v>75</v>
      </c>
      <c r="C79" s="82" t="s">
        <v>691</v>
      </c>
      <c r="D79" s="82">
        <v>31214</v>
      </c>
      <c r="E79" s="85" t="s">
        <v>537</v>
      </c>
    </row>
    <row r="80" spans="2:5" x14ac:dyDescent="0.4">
      <c r="B80" s="211">
        <v>76</v>
      </c>
      <c r="C80" s="82" t="s">
        <v>691</v>
      </c>
      <c r="D80" s="82">
        <v>35145</v>
      </c>
      <c r="E80" s="85" t="s">
        <v>539</v>
      </c>
    </row>
    <row r="81" spans="2:5" x14ac:dyDescent="0.4">
      <c r="B81" s="211">
        <v>77</v>
      </c>
      <c r="C81" s="82" t="s">
        <v>691</v>
      </c>
      <c r="D81" s="82" t="e">
        <v>#VALUE!</v>
      </c>
      <c r="E81" s="85" t="e">
        <v>#VALUE!</v>
      </c>
    </row>
    <row r="82" spans="2:5" x14ac:dyDescent="0.4">
      <c r="B82" s="211">
        <v>78</v>
      </c>
      <c r="C82" s="82" t="s">
        <v>691</v>
      </c>
      <c r="D82" s="82">
        <v>35145</v>
      </c>
      <c r="E82" s="85" t="s">
        <v>539</v>
      </c>
    </row>
    <row r="83" spans="2:5" x14ac:dyDescent="0.4">
      <c r="B83" s="211">
        <v>79</v>
      </c>
      <c r="C83" s="82" t="s">
        <v>691</v>
      </c>
      <c r="D83" s="82">
        <v>35145</v>
      </c>
      <c r="E83" s="85" t="s">
        <v>539</v>
      </c>
    </row>
    <row r="84" spans="2:5" x14ac:dyDescent="0.4">
      <c r="B84" s="211">
        <v>80</v>
      </c>
      <c r="C84" s="82" t="s">
        <v>691</v>
      </c>
      <c r="D84" s="82">
        <v>35147</v>
      </c>
      <c r="E84" s="85" t="s">
        <v>539</v>
      </c>
    </row>
    <row r="85" spans="2:5" x14ac:dyDescent="0.4">
      <c r="B85" s="211">
        <v>81</v>
      </c>
      <c r="C85" s="82" t="s">
        <v>691</v>
      </c>
      <c r="D85" s="82">
        <v>35144</v>
      </c>
      <c r="E85" s="85" t="s">
        <v>539</v>
      </c>
    </row>
    <row r="86" spans="2:5" x14ac:dyDescent="0.4">
      <c r="B86" s="211">
        <v>82</v>
      </c>
      <c r="C86" s="82" t="s">
        <v>691</v>
      </c>
      <c r="D86" s="82">
        <v>34136</v>
      </c>
      <c r="E86" s="85" t="s">
        <v>538</v>
      </c>
    </row>
    <row r="87" spans="2:5" x14ac:dyDescent="0.4">
      <c r="B87" s="211">
        <v>83</v>
      </c>
      <c r="C87" s="82" t="s">
        <v>691</v>
      </c>
      <c r="D87" s="82">
        <v>35145</v>
      </c>
      <c r="E87" s="85" t="s">
        <v>539</v>
      </c>
    </row>
    <row r="88" spans="2:5" x14ac:dyDescent="0.4">
      <c r="B88" s="211">
        <v>84</v>
      </c>
      <c r="C88" s="82" t="s">
        <v>691</v>
      </c>
      <c r="D88" s="82">
        <v>34134</v>
      </c>
      <c r="E88" s="85" t="s">
        <v>538</v>
      </c>
    </row>
    <row r="89" spans="2:5" x14ac:dyDescent="0.4">
      <c r="B89" s="211">
        <v>85</v>
      </c>
      <c r="C89" s="82" t="s">
        <v>691</v>
      </c>
      <c r="D89" s="82">
        <v>34137</v>
      </c>
      <c r="E89" s="85" t="s">
        <v>535</v>
      </c>
    </row>
    <row r="90" spans="2:5" x14ac:dyDescent="0.4">
      <c r="B90" s="211">
        <v>86</v>
      </c>
      <c r="C90" s="82" t="s">
        <v>691</v>
      </c>
      <c r="D90" s="82" t="e">
        <v>#VALUE!</v>
      </c>
      <c r="E90" s="85" t="e">
        <v>#VALUE!</v>
      </c>
    </row>
    <row r="91" spans="2:5" x14ac:dyDescent="0.4">
      <c r="B91" s="211">
        <v>87</v>
      </c>
      <c r="C91" s="82" t="s">
        <v>691</v>
      </c>
      <c r="D91" s="82">
        <v>35146</v>
      </c>
      <c r="E91" s="85" t="s">
        <v>539</v>
      </c>
    </row>
    <row r="92" spans="2:5" x14ac:dyDescent="0.4">
      <c r="B92" s="211">
        <v>88</v>
      </c>
      <c r="C92" s="82" t="s">
        <v>691</v>
      </c>
      <c r="D92" s="82">
        <v>35147</v>
      </c>
      <c r="E92" s="85" t="s">
        <v>539</v>
      </c>
    </row>
    <row r="93" spans="2:5" x14ac:dyDescent="0.4">
      <c r="B93" s="213">
        <v>89</v>
      </c>
      <c r="C93" s="82" t="s">
        <v>691</v>
      </c>
      <c r="D93" s="82">
        <v>31207</v>
      </c>
      <c r="E93" s="85" t="s">
        <v>538</v>
      </c>
    </row>
    <row r="94" spans="2:5" x14ac:dyDescent="0.4">
      <c r="B94" s="211">
        <v>90</v>
      </c>
      <c r="C94" s="82" t="s">
        <v>691</v>
      </c>
      <c r="D94" s="82" t="e">
        <v>#VALUE!</v>
      </c>
      <c r="E94" s="85" t="e">
        <v>#VALUE!</v>
      </c>
    </row>
    <row r="95" spans="2:5" x14ac:dyDescent="0.4">
      <c r="B95" s="211">
        <v>91</v>
      </c>
      <c r="C95" s="82" t="s">
        <v>691</v>
      </c>
      <c r="D95" s="82" t="e">
        <v>#VALUE!</v>
      </c>
      <c r="E95" s="85" t="e">
        <v>#VALUE!</v>
      </c>
    </row>
    <row r="96" spans="2:5" x14ac:dyDescent="0.4">
      <c r="B96" s="211">
        <v>92</v>
      </c>
      <c r="C96" s="82" t="s">
        <v>691</v>
      </c>
      <c r="D96" s="82" t="e">
        <v>#VALUE!</v>
      </c>
      <c r="E96" s="85" t="e">
        <v>#VALUE!</v>
      </c>
    </row>
    <row r="97" spans="2:5" x14ac:dyDescent="0.4">
      <c r="B97" s="214">
        <v>93</v>
      </c>
      <c r="C97" s="69" t="s">
        <v>691</v>
      </c>
      <c r="D97" s="82">
        <v>35145</v>
      </c>
      <c r="E97" s="85" t="s">
        <v>539</v>
      </c>
    </row>
    <row r="98" spans="2:5" x14ac:dyDescent="0.4">
      <c r="B98" s="211">
        <v>94</v>
      </c>
      <c r="C98" s="82" t="s">
        <v>691</v>
      </c>
      <c r="D98" s="82" t="e">
        <v>#VALUE!</v>
      </c>
      <c r="E98" s="85" t="e">
        <v>#VALUE!</v>
      </c>
    </row>
    <row r="99" spans="2:5" x14ac:dyDescent="0.4">
      <c r="B99" s="213">
        <v>95</v>
      </c>
      <c r="C99" s="82" t="s">
        <v>691</v>
      </c>
      <c r="D99" s="82">
        <v>31211</v>
      </c>
      <c r="E99" s="85" t="s">
        <v>538</v>
      </c>
    </row>
    <row r="100" spans="2:5" x14ac:dyDescent="0.4">
      <c r="B100" s="211">
        <v>96</v>
      </c>
      <c r="C100" s="82" t="s">
        <v>691</v>
      </c>
      <c r="D100" s="82">
        <v>31209</v>
      </c>
      <c r="E100" s="85" t="s">
        <v>538</v>
      </c>
    </row>
    <row r="101" spans="2:5" x14ac:dyDescent="0.4">
      <c r="B101" s="211">
        <v>97</v>
      </c>
      <c r="C101" s="82" t="s">
        <v>691</v>
      </c>
      <c r="D101" s="82">
        <v>35144</v>
      </c>
      <c r="E101" s="85" t="s">
        <v>539</v>
      </c>
    </row>
    <row r="102" spans="2:5" x14ac:dyDescent="0.4">
      <c r="B102" s="211">
        <v>98</v>
      </c>
      <c r="C102" s="82" t="s">
        <v>691</v>
      </c>
      <c r="D102" s="82">
        <v>35144</v>
      </c>
      <c r="E102" s="85" t="s">
        <v>539</v>
      </c>
    </row>
    <row r="103" spans="2:5" x14ac:dyDescent="0.4">
      <c r="B103" s="211">
        <v>99</v>
      </c>
      <c r="C103" s="82" t="s">
        <v>691</v>
      </c>
      <c r="D103" s="82">
        <v>35145</v>
      </c>
      <c r="E103" s="85" t="s">
        <v>539</v>
      </c>
    </row>
    <row r="104" spans="2:5" x14ac:dyDescent="0.4">
      <c r="B104" s="211">
        <v>100</v>
      </c>
      <c r="C104" s="82" t="s">
        <v>691</v>
      </c>
      <c r="D104" s="82">
        <v>34131</v>
      </c>
      <c r="E104" s="85" t="s">
        <v>537</v>
      </c>
    </row>
    <row r="105" spans="2:5" x14ac:dyDescent="0.4">
      <c r="B105" s="211">
        <v>101</v>
      </c>
      <c r="C105" s="82" t="s">
        <v>691</v>
      </c>
      <c r="D105" s="82">
        <v>35146</v>
      </c>
      <c r="E105" s="85" t="s">
        <v>539</v>
      </c>
    </row>
    <row r="106" spans="2:5" x14ac:dyDescent="0.4">
      <c r="B106" s="211">
        <v>102</v>
      </c>
      <c r="C106" s="82" t="s">
        <v>691</v>
      </c>
      <c r="D106" s="82">
        <v>31209</v>
      </c>
      <c r="E106" s="85" t="s">
        <v>538</v>
      </c>
    </row>
    <row r="107" spans="2:5" x14ac:dyDescent="0.4">
      <c r="B107" s="211">
        <v>103</v>
      </c>
      <c r="C107" s="82" t="s">
        <v>691</v>
      </c>
      <c r="D107" s="82">
        <v>34132</v>
      </c>
      <c r="E107" s="85" t="s">
        <v>538</v>
      </c>
    </row>
    <row r="108" spans="2:5" x14ac:dyDescent="0.4">
      <c r="B108" s="211">
        <v>104</v>
      </c>
      <c r="C108" s="82" t="s">
        <v>691</v>
      </c>
      <c r="D108" s="82">
        <v>31210</v>
      </c>
      <c r="E108" s="85" t="s">
        <v>538</v>
      </c>
    </row>
    <row r="109" spans="2:5" x14ac:dyDescent="0.4">
      <c r="B109" s="211">
        <v>105</v>
      </c>
      <c r="C109" s="82" t="s">
        <v>691</v>
      </c>
      <c r="D109" s="82" t="s">
        <v>528</v>
      </c>
      <c r="E109" s="85" t="s">
        <v>528</v>
      </c>
    </row>
    <row r="110" spans="2:5" x14ac:dyDescent="0.4">
      <c r="B110" s="211">
        <v>106</v>
      </c>
      <c r="C110" s="82" t="s">
        <v>691</v>
      </c>
      <c r="D110" s="82">
        <v>35146</v>
      </c>
      <c r="E110" s="85" t="s">
        <v>539</v>
      </c>
    </row>
    <row r="111" spans="2:5" x14ac:dyDescent="0.4">
      <c r="B111" s="211">
        <v>107</v>
      </c>
      <c r="C111" s="82" t="s">
        <v>691</v>
      </c>
      <c r="D111" s="82">
        <v>35146</v>
      </c>
      <c r="E111" s="85" t="s">
        <v>539</v>
      </c>
    </row>
    <row r="112" spans="2:5" x14ac:dyDescent="0.4">
      <c r="B112" s="211">
        <v>108</v>
      </c>
      <c r="C112" s="82" t="s">
        <v>691</v>
      </c>
      <c r="D112" s="82">
        <v>35145</v>
      </c>
      <c r="E112" s="85" t="s">
        <v>539</v>
      </c>
    </row>
    <row r="113" spans="2:5" x14ac:dyDescent="0.4">
      <c r="B113" s="211">
        <v>109</v>
      </c>
      <c r="C113" s="82" t="s">
        <v>691</v>
      </c>
      <c r="D113" s="82">
        <v>35145</v>
      </c>
      <c r="E113" s="85" t="s">
        <v>539</v>
      </c>
    </row>
    <row r="114" spans="2:5" x14ac:dyDescent="0.4">
      <c r="B114" s="211">
        <v>110</v>
      </c>
      <c r="C114" s="82" t="s">
        <v>691</v>
      </c>
      <c r="D114" s="82">
        <v>35147</v>
      </c>
      <c r="E114" s="85" t="s">
        <v>539</v>
      </c>
    </row>
    <row r="115" spans="2:5" x14ac:dyDescent="0.4">
      <c r="B115" s="211">
        <v>111</v>
      </c>
      <c r="C115" s="82" t="s">
        <v>691</v>
      </c>
      <c r="D115" s="82">
        <v>31214</v>
      </c>
      <c r="E115" s="85" t="s">
        <v>537</v>
      </c>
    </row>
    <row r="116" spans="2:5" x14ac:dyDescent="0.4">
      <c r="B116" s="211">
        <v>112</v>
      </c>
      <c r="C116" s="82" t="s">
        <v>691</v>
      </c>
      <c r="D116" s="82">
        <v>35146</v>
      </c>
      <c r="E116" s="85" t="s">
        <v>539</v>
      </c>
    </row>
    <row r="117" spans="2:5" x14ac:dyDescent="0.4">
      <c r="B117" s="211">
        <v>113</v>
      </c>
      <c r="C117" s="82" t="s">
        <v>691</v>
      </c>
      <c r="D117" s="82">
        <v>34132</v>
      </c>
      <c r="E117" s="85" t="s">
        <v>538</v>
      </c>
    </row>
    <row r="118" spans="2:5" x14ac:dyDescent="0.4">
      <c r="B118" s="213">
        <v>114</v>
      </c>
      <c r="C118" s="82" t="s">
        <v>691</v>
      </c>
      <c r="D118" s="82">
        <v>31210</v>
      </c>
      <c r="E118" s="85" t="s">
        <v>538</v>
      </c>
    </row>
    <row r="119" spans="2:5" x14ac:dyDescent="0.4">
      <c r="B119" s="211">
        <v>115</v>
      </c>
      <c r="C119" s="82" t="s">
        <v>691</v>
      </c>
      <c r="D119" s="82">
        <v>34135</v>
      </c>
      <c r="E119" s="85" t="s">
        <v>535</v>
      </c>
    </row>
    <row r="120" spans="2:5" x14ac:dyDescent="0.4">
      <c r="B120" s="211">
        <v>116</v>
      </c>
      <c r="C120" s="82" t="s">
        <v>691</v>
      </c>
      <c r="D120" s="82">
        <v>31207</v>
      </c>
      <c r="E120" s="85" t="s">
        <v>538</v>
      </c>
    </row>
    <row r="121" spans="2:5" x14ac:dyDescent="0.4">
      <c r="B121" s="211">
        <v>117</v>
      </c>
      <c r="C121" s="82" t="s">
        <v>691</v>
      </c>
      <c r="D121" s="82">
        <v>31215</v>
      </c>
      <c r="E121" s="85" t="s">
        <v>537</v>
      </c>
    </row>
    <row r="122" spans="2:5" x14ac:dyDescent="0.4">
      <c r="B122" s="211">
        <v>118</v>
      </c>
      <c r="C122" s="82" t="s">
        <v>691</v>
      </c>
      <c r="D122" s="82">
        <v>31214</v>
      </c>
      <c r="E122" s="85" t="s">
        <v>537</v>
      </c>
    </row>
    <row r="123" spans="2:5" x14ac:dyDescent="0.4">
      <c r="B123" s="211">
        <v>119</v>
      </c>
      <c r="C123" s="82" t="s">
        <v>691</v>
      </c>
      <c r="D123" s="82">
        <v>31209</v>
      </c>
      <c r="E123" s="85" t="s">
        <v>538</v>
      </c>
    </row>
    <row r="124" spans="2:5" x14ac:dyDescent="0.4">
      <c r="B124" s="211">
        <v>120</v>
      </c>
      <c r="C124" s="82" t="s">
        <v>691</v>
      </c>
      <c r="D124" s="82">
        <v>34131</v>
      </c>
      <c r="E124" s="85" t="s">
        <v>537</v>
      </c>
    </row>
    <row r="125" spans="2:5" x14ac:dyDescent="0.4">
      <c r="B125" s="211">
        <v>121</v>
      </c>
      <c r="C125" s="82" t="s">
        <v>691</v>
      </c>
      <c r="D125" s="82">
        <v>31207</v>
      </c>
      <c r="E125" s="85" t="s">
        <v>538</v>
      </c>
    </row>
    <row r="126" spans="2:5" x14ac:dyDescent="0.4">
      <c r="B126" s="214">
        <v>122</v>
      </c>
      <c r="C126" s="69" t="s">
        <v>691</v>
      </c>
      <c r="D126" s="69">
        <v>39101</v>
      </c>
      <c r="E126" s="85">
        <v>0</v>
      </c>
    </row>
    <row r="127" spans="2:5" x14ac:dyDescent="0.4">
      <c r="B127" s="215">
        <v>123</v>
      </c>
      <c r="C127" s="69" t="s">
        <v>691</v>
      </c>
      <c r="D127" s="82">
        <v>34132</v>
      </c>
      <c r="E127" s="85" t="s">
        <v>538</v>
      </c>
    </row>
    <row r="128" spans="2:5" x14ac:dyDescent="0.4">
      <c r="B128" s="211">
        <v>124</v>
      </c>
      <c r="C128" s="82" t="s">
        <v>691</v>
      </c>
      <c r="D128" s="82">
        <v>35148</v>
      </c>
      <c r="E128" s="85" t="s">
        <v>539</v>
      </c>
    </row>
    <row r="129" spans="2:5" x14ac:dyDescent="0.4">
      <c r="B129" s="211">
        <v>125</v>
      </c>
      <c r="C129" s="82" t="s">
        <v>691</v>
      </c>
      <c r="D129" s="82">
        <v>35144</v>
      </c>
      <c r="E129" s="85" t="s">
        <v>539</v>
      </c>
    </row>
    <row r="130" spans="2:5" x14ac:dyDescent="0.4">
      <c r="B130" s="211">
        <v>126</v>
      </c>
      <c r="C130" s="82" t="s">
        <v>691</v>
      </c>
      <c r="D130" s="82">
        <v>35144</v>
      </c>
      <c r="E130" s="85" t="s">
        <v>539</v>
      </c>
    </row>
    <row r="131" spans="2:5" x14ac:dyDescent="0.4">
      <c r="B131" s="211">
        <v>127</v>
      </c>
      <c r="C131" s="82" t="s">
        <v>691</v>
      </c>
      <c r="D131" s="82">
        <v>35145</v>
      </c>
      <c r="E131" s="85" t="s">
        <v>539</v>
      </c>
    </row>
    <row r="132" spans="2:5" x14ac:dyDescent="0.4">
      <c r="B132" s="214">
        <v>128</v>
      </c>
      <c r="C132" s="69" t="s">
        <v>691</v>
      </c>
      <c r="D132" s="82">
        <v>35145</v>
      </c>
      <c r="E132" s="85" t="s">
        <v>539</v>
      </c>
    </row>
    <row r="133" spans="2:5" x14ac:dyDescent="0.4">
      <c r="B133" s="211">
        <v>129</v>
      </c>
      <c r="C133" s="82" t="s">
        <v>691</v>
      </c>
      <c r="D133" s="82">
        <v>35145</v>
      </c>
      <c r="E133" s="85" t="s">
        <v>539</v>
      </c>
    </row>
    <row r="134" spans="2:5" x14ac:dyDescent="0.4">
      <c r="B134" s="211">
        <v>130</v>
      </c>
      <c r="C134" s="82" t="s">
        <v>691</v>
      </c>
      <c r="D134" s="82">
        <v>35151</v>
      </c>
      <c r="E134" s="85" t="s">
        <v>539</v>
      </c>
    </row>
    <row r="135" spans="2:5" x14ac:dyDescent="0.4">
      <c r="B135" s="211">
        <v>131</v>
      </c>
      <c r="C135" s="82" t="s">
        <v>691</v>
      </c>
      <c r="D135" s="82">
        <v>35146</v>
      </c>
      <c r="E135" s="85" t="s">
        <v>539</v>
      </c>
    </row>
    <row r="136" spans="2:5" x14ac:dyDescent="0.4">
      <c r="B136" s="211">
        <v>132</v>
      </c>
      <c r="C136" s="82" t="s">
        <v>691</v>
      </c>
      <c r="D136" s="82">
        <v>35150</v>
      </c>
      <c r="E136" s="85" t="s">
        <v>539</v>
      </c>
    </row>
    <row r="137" spans="2:5" x14ac:dyDescent="0.4">
      <c r="B137" s="211">
        <v>133</v>
      </c>
      <c r="C137" s="82" t="s">
        <v>691</v>
      </c>
      <c r="D137" s="82">
        <v>35146</v>
      </c>
      <c r="E137" s="85" t="s">
        <v>539</v>
      </c>
    </row>
    <row r="138" spans="2:5" x14ac:dyDescent="0.4">
      <c r="B138" s="211">
        <v>134</v>
      </c>
      <c r="C138" s="82" t="s">
        <v>691</v>
      </c>
      <c r="D138" s="82">
        <v>35145</v>
      </c>
      <c r="E138" s="85" t="s">
        <v>539</v>
      </c>
    </row>
    <row r="139" spans="2:5" x14ac:dyDescent="0.4">
      <c r="B139" s="211">
        <v>135</v>
      </c>
      <c r="C139" s="82" t="s">
        <v>691</v>
      </c>
      <c r="D139" s="82">
        <v>35146</v>
      </c>
      <c r="E139" s="85" t="s">
        <v>539</v>
      </c>
    </row>
    <row r="140" spans="2:5" x14ac:dyDescent="0.4">
      <c r="B140" s="211">
        <v>136</v>
      </c>
      <c r="C140" s="82" t="s">
        <v>691</v>
      </c>
      <c r="D140" s="82">
        <v>35144</v>
      </c>
      <c r="E140" s="85" t="s">
        <v>539</v>
      </c>
    </row>
    <row r="141" spans="2:5" x14ac:dyDescent="0.4">
      <c r="B141" s="211">
        <v>137</v>
      </c>
      <c r="C141" s="82" t="s">
        <v>691</v>
      </c>
      <c r="D141" s="82">
        <v>35150</v>
      </c>
      <c r="E141" s="85" t="s">
        <v>539</v>
      </c>
    </row>
    <row r="142" spans="2:5" x14ac:dyDescent="0.4">
      <c r="B142" s="211">
        <v>138</v>
      </c>
      <c r="C142" s="82" t="s">
        <v>691</v>
      </c>
      <c r="D142" s="82">
        <v>35145</v>
      </c>
      <c r="E142" s="85" t="s">
        <v>539</v>
      </c>
    </row>
    <row r="143" spans="2:5" x14ac:dyDescent="0.4">
      <c r="B143" s="211">
        <v>139</v>
      </c>
      <c r="C143" s="82" t="s">
        <v>691</v>
      </c>
      <c r="D143" s="82">
        <v>35144</v>
      </c>
      <c r="E143" s="85" t="s">
        <v>539</v>
      </c>
    </row>
    <row r="144" spans="2:5" x14ac:dyDescent="0.4">
      <c r="B144" s="211">
        <v>140</v>
      </c>
      <c r="C144" s="82" t="s">
        <v>691</v>
      </c>
      <c r="D144" s="82">
        <v>35146</v>
      </c>
      <c r="E144" s="85" t="s">
        <v>539</v>
      </c>
    </row>
    <row r="145" spans="2:5" x14ac:dyDescent="0.4">
      <c r="B145" s="211">
        <v>141</v>
      </c>
      <c r="C145" s="82" t="s">
        <v>691</v>
      </c>
      <c r="D145" s="82">
        <v>35146</v>
      </c>
      <c r="E145" s="85" t="s">
        <v>539</v>
      </c>
    </row>
    <row r="146" spans="2:5" x14ac:dyDescent="0.4">
      <c r="B146" s="211">
        <v>142</v>
      </c>
      <c r="C146" s="82" t="s">
        <v>691</v>
      </c>
      <c r="D146" s="82">
        <v>35144</v>
      </c>
      <c r="E146" s="85" t="s">
        <v>539</v>
      </c>
    </row>
    <row r="147" spans="2:5" x14ac:dyDescent="0.4">
      <c r="B147" s="214">
        <v>143</v>
      </c>
      <c r="C147" s="69" t="s">
        <v>691</v>
      </c>
      <c r="D147" s="69">
        <v>35146</v>
      </c>
      <c r="E147" s="85" t="s">
        <v>539</v>
      </c>
    </row>
    <row r="148" spans="2:5" x14ac:dyDescent="0.4">
      <c r="B148" s="211">
        <v>144</v>
      </c>
      <c r="C148" s="82" t="s">
        <v>691</v>
      </c>
      <c r="D148" s="82">
        <v>31209</v>
      </c>
      <c r="E148" s="85" t="s">
        <v>538</v>
      </c>
    </row>
    <row r="149" spans="2:5" x14ac:dyDescent="0.4">
      <c r="B149" s="211">
        <v>145</v>
      </c>
      <c r="C149" s="82" t="s">
        <v>691</v>
      </c>
      <c r="D149" s="82">
        <v>31210</v>
      </c>
      <c r="E149" s="85" t="s">
        <v>538</v>
      </c>
    </row>
    <row r="150" spans="2:5" x14ac:dyDescent="0.4">
      <c r="B150" s="211">
        <v>146</v>
      </c>
      <c r="C150" s="82" t="s">
        <v>691</v>
      </c>
      <c r="D150" s="82">
        <v>34138</v>
      </c>
      <c r="E150" s="85" t="s">
        <v>535</v>
      </c>
    </row>
    <row r="151" spans="2:5" x14ac:dyDescent="0.4">
      <c r="B151" s="211">
        <v>147</v>
      </c>
      <c r="C151" s="82" t="s">
        <v>691</v>
      </c>
      <c r="D151" s="82">
        <v>31214</v>
      </c>
      <c r="E151" s="85" t="s">
        <v>537</v>
      </c>
    </row>
    <row r="152" spans="2:5" x14ac:dyDescent="0.4">
      <c r="B152" s="211">
        <v>148</v>
      </c>
      <c r="C152" s="82" t="s">
        <v>691</v>
      </c>
      <c r="D152" s="82">
        <v>34142</v>
      </c>
      <c r="E152" s="85" t="s">
        <v>535</v>
      </c>
    </row>
    <row r="153" spans="2:5" x14ac:dyDescent="0.4">
      <c r="B153" s="211">
        <v>149</v>
      </c>
      <c r="C153" s="82" t="s">
        <v>691</v>
      </c>
      <c r="D153" s="82">
        <v>35152</v>
      </c>
      <c r="E153" s="85" t="s">
        <v>539</v>
      </c>
    </row>
    <row r="154" spans="2:5" x14ac:dyDescent="0.4">
      <c r="B154" s="211">
        <v>150</v>
      </c>
      <c r="C154" s="82" t="s">
        <v>691</v>
      </c>
      <c r="D154" s="82">
        <v>35152</v>
      </c>
      <c r="E154" s="85" t="s">
        <v>539</v>
      </c>
    </row>
    <row r="155" spans="2:5" x14ac:dyDescent="0.4">
      <c r="B155" s="211">
        <v>151</v>
      </c>
      <c r="C155" s="82" t="s">
        <v>691</v>
      </c>
      <c r="D155" s="82">
        <v>34131</v>
      </c>
      <c r="E155" s="85" t="s">
        <v>537</v>
      </c>
    </row>
    <row r="156" spans="2:5" x14ac:dyDescent="0.4">
      <c r="B156" s="211">
        <v>152</v>
      </c>
      <c r="C156" s="82" t="s">
        <v>691</v>
      </c>
      <c r="D156" s="82">
        <v>35151</v>
      </c>
      <c r="E156" s="85" t="s">
        <v>539</v>
      </c>
    </row>
    <row r="157" spans="2:5" x14ac:dyDescent="0.4">
      <c r="B157" s="211">
        <v>153</v>
      </c>
      <c r="C157" s="82" t="s">
        <v>691</v>
      </c>
      <c r="D157" s="82">
        <v>34131</v>
      </c>
      <c r="E157" s="85" t="s">
        <v>537</v>
      </c>
    </row>
    <row r="158" spans="2:5" x14ac:dyDescent="0.4">
      <c r="B158" s="211">
        <v>154</v>
      </c>
      <c r="C158" s="82" t="s">
        <v>691</v>
      </c>
      <c r="D158" s="82">
        <v>34141</v>
      </c>
      <c r="E158" s="85" t="s">
        <v>537</v>
      </c>
    </row>
    <row r="159" spans="2:5" x14ac:dyDescent="0.4">
      <c r="B159" s="211">
        <v>155</v>
      </c>
      <c r="C159" s="82" t="s">
        <v>691</v>
      </c>
      <c r="D159" s="82">
        <v>31213</v>
      </c>
      <c r="E159" s="85" t="s">
        <v>538</v>
      </c>
    </row>
    <row r="160" spans="2:5" x14ac:dyDescent="0.4">
      <c r="B160" s="211">
        <v>156</v>
      </c>
      <c r="C160" s="82" t="s">
        <v>691</v>
      </c>
      <c r="D160" s="82">
        <v>31213</v>
      </c>
      <c r="E160" s="85" t="s">
        <v>538</v>
      </c>
    </row>
    <row r="161" spans="2:5" x14ac:dyDescent="0.4">
      <c r="B161" s="211">
        <v>157</v>
      </c>
      <c r="C161" s="82" t="s">
        <v>691</v>
      </c>
      <c r="D161" s="82">
        <v>34131</v>
      </c>
      <c r="E161" s="85" t="s">
        <v>537</v>
      </c>
    </row>
    <row r="162" spans="2:5" x14ac:dyDescent="0.4">
      <c r="B162" s="213">
        <v>158</v>
      </c>
      <c r="C162" s="82" t="s">
        <v>691</v>
      </c>
      <c r="D162" s="82">
        <v>34139</v>
      </c>
      <c r="E162" s="85" t="s">
        <v>535</v>
      </c>
    </row>
    <row r="163" spans="2:5" x14ac:dyDescent="0.4">
      <c r="B163" s="213">
        <v>159</v>
      </c>
      <c r="C163" s="82" t="s">
        <v>691</v>
      </c>
      <c r="D163" s="82">
        <v>34137</v>
      </c>
      <c r="E163" s="85" t="s">
        <v>535</v>
      </c>
    </row>
    <row r="164" spans="2:5" x14ac:dyDescent="0.4">
      <c r="B164" s="213">
        <v>160</v>
      </c>
      <c r="C164" s="82" t="s">
        <v>691</v>
      </c>
      <c r="D164" s="82">
        <v>34144</v>
      </c>
      <c r="E164" s="85" t="s">
        <v>538</v>
      </c>
    </row>
    <row r="165" spans="2:5" x14ac:dyDescent="0.4">
      <c r="B165" s="213">
        <v>161</v>
      </c>
      <c r="C165" s="82" t="s">
        <v>691</v>
      </c>
      <c r="D165" s="82">
        <v>34132</v>
      </c>
      <c r="E165" s="85" t="s">
        <v>538</v>
      </c>
    </row>
    <row r="166" spans="2:5" x14ac:dyDescent="0.4">
      <c r="B166" s="213">
        <v>162</v>
      </c>
      <c r="C166" s="82" t="s">
        <v>691</v>
      </c>
      <c r="D166" s="82">
        <v>34138</v>
      </c>
      <c r="E166" s="85" t="s">
        <v>535</v>
      </c>
    </row>
    <row r="167" spans="2:5" x14ac:dyDescent="0.4">
      <c r="B167" s="215">
        <v>163</v>
      </c>
      <c r="C167" s="69" t="s">
        <v>691</v>
      </c>
      <c r="D167" s="82">
        <v>34141</v>
      </c>
      <c r="E167" s="85" t="s">
        <v>537</v>
      </c>
    </row>
    <row r="168" spans="2:5" x14ac:dyDescent="0.4">
      <c r="B168" s="213">
        <v>164</v>
      </c>
      <c r="C168" s="82" t="s">
        <v>691</v>
      </c>
      <c r="D168" s="82">
        <v>31208</v>
      </c>
      <c r="E168" s="85" t="s">
        <v>538</v>
      </c>
    </row>
    <row r="169" spans="2:5" x14ac:dyDescent="0.4">
      <c r="B169" s="213">
        <v>165</v>
      </c>
      <c r="C169" s="82" t="s">
        <v>691</v>
      </c>
      <c r="D169" s="82">
        <v>35151</v>
      </c>
      <c r="E169" s="85" t="s">
        <v>539</v>
      </c>
    </row>
    <row r="170" spans="2:5" x14ac:dyDescent="0.4">
      <c r="B170" s="213">
        <v>166</v>
      </c>
      <c r="C170" s="82" t="s">
        <v>691</v>
      </c>
      <c r="D170" s="82">
        <v>31209</v>
      </c>
      <c r="E170" s="85" t="s">
        <v>538</v>
      </c>
    </row>
    <row r="171" spans="2:5" x14ac:dyDescent="0.4">
      <c r="B171" s="213">
        <v>167</v>
      </c>
      <c r="C171" s="82" t="s">
        <v>691</v>
      </c>
      <c r="D171" s="82">
        <v>34132</v>
      </c>
      <c r="E171" s="85" t="s">
        <v>538</v>
      </c>
    </row>
    <row r="172" spans="2:5" x14ac:dyDescent="0.4">
      <c r="B172" s="213">
        <v>168</v>
      </c>
      <c r="C172" s="82" t="s">
        <v>691</v>
      </c>
      <c r="D172" s="82">
        <v>34146</v>
      </c>
      <c r="E172" s="85" t="s">
        <v>535</v>
      </c>
    </row>
    <row r="173" spans="2:5" x14ac:dyDescent="0.4">
      <c r="B173" s="213">
        <v>169</v>
      </c>
      <c r="C173" s="82" t="s">
        <v>691</v>
      </c>
      <c r="D173" s="82">
        <v>34135</v>
      </c>
      <c r="E173" s="85" t="s">
        <v>535</v>
      </c>
    </row>
    <row r="174" spans="2:5" x14ac:dyDescent="0.4">
      <c r="B174" s="213">
        <v>170</v>
      </c>
      <c r="C174" s="82" t="s">
        <v>691</v>
      </c>
      <c r="D174" s="82">
        <v>34136</v>
      </c>
      <c r="E174" s="85" t="s">
        <v>538</v>
      </c>
    </row>
    <row r="175" spans="2:5" x14ac:dyDescent="0.4">
      <c r="B175" s="213">
        <v>171</v>
      </c>
      <c r="C175" s="82" t="s">
        <v>691</v>
      </c>
      <c r="D175" s="82">
        <v>31211</v>
      </c>
      <c r="E175" s="85" t="s">
        <v>538</v>
      </c>
    </row>
    <row r="176" spans="2:5" x14ac:dyDescent="0.4">
      <c r="B176" s="213">
        <v>172</v>
      </c>
      <c r="C176" s="82" t="s">
        <v>691</v>
      </c>
      <c r="D176" s="82">
        <v>34142</v>
      </c>
      <c r="E176" s="85" t="s">
        <v>535</v>
      </c>
    </row>
    <row r="177" spans="2:5" x14ac:dyDescent="0.4">
      <c r="B177" s="213">
        <v>173</v>
      </c>
      <c r="C177" s="82" t="s">
        <v>691</v>
      </c>
      <c r="D177" s="82">
        <v>34138</v>
      </c>
      <c r="E177" s="85" t="s">
        <v>535</v>
      </c>
    </row>
    <row r="178" spans="2:5" x14ac:dyDescent="0.4">
      <c r="B178" s="213">
        <v>174</v>
      </c>
      <c r="C178" s="82" t="s">
        <v>691</v>
      </c>
      <c r="D178" s="82">
        <v>34142</v>
      </c>
      <c r="E178" s="85" t="s">
        <v>535</v>
      </c>
    </row>
    <row r="179" spans="2:5" x14ac:dyDescent="0.4">
      <c r="B179" s="213">
        <v>175</v>
      </c>
      <c r="C179" s="82" t="s">
        <v>691</v>
      </c>
      <c r="D179" s="82">
        <v>34134</v>
      </c>
      <c r="E179" s="85" t="s">
        <v>538</v>
      </c>
    </row>
    <row r="180" spans="2:5" x14ac:dyDescent="0.4">
      <c r="B180" s="213">
        <v>176</v>
      </c>
      <c r="C180" s="82" t="s">
        <v>691</v>
      </c>
      <c r="D180" s="82">
        <v>31211</v>
      </c>
      <c r="E180" s="85" t="s">
        <v>538</v>
      </c>
    </row>
    <row r="181" spans="2:5" x14ac:dyDescent="0.4">
      <c r="B181" s="213">
        <v>177</v>
      </c>
      <c r="C181" s="82" t="s">
        <v>691</v>
      </c>
      <c r="D181" s="82">
        <v>34140</v>
      </c>
      <c r="E181" s="85" t="s">
        <v>535</v>
      </c>
    </row>
    <row r="182" spans="2:5" x14ac:dyDescent="0.4">
      <c r="B182" s="213">
        <v>178</v>
      </c>
      <c r="C182" s="82" t="s">
        <v>691</v>
      </c>
      <c r="D182" s="82">
        <v>34141</v>
      </c>
      <c r="E182" s="85" t="s">
        <v>537</v>
      </c>
    </row>
    <row r="183" spans="2:5" x14ac:dyDescent="0.4">
      <c r="B183" s="213">
        <v>179</v>
      </c>
      <c r="C183" s="82" t="s">
        <v>691</v>
      </c>
      <c r="D183" s="82">
        <v>34141</v>
      </c>
      <c r="E183" s="85" t="s">
        <v>537</v>
      </c>
    </row>
    <row r="184" spans="2:5" x14ac:dyDescent="0.4">
      <c r="B184" s="216">
        <v>180</v>
      </c>
      <c r="C184" s="69" t="s">
        <v>691</v>
      </c>
      <c r="D184" s="82">
        <v>31195</v>
      </c>
      <c r="E184" s="85" t="e">
        <v>#N/A</v>
      </c>
    </row>
    <row r="185" spans="2:5" x14ac:dyDescent="0.4">
      <c r="B185" s="212">
        <v>181</v>
      </c>
      <c r="C185" s="82" t="s">
        <v>691</v>
      </c>
      <c r="D185" s="82">
        <v>31210</v>
      </c>
      <c r="E185" s="85" t="s">
        <v>538</v>
      </c>
    </row>
    <row r="186" spans="2:5" x14ac:dyDescent="0.4">
      <c r="B186" s="212">
        <v>182</v>
      </c>
      <c r="C186" s="82" t="s">
        <v>691</v>
      </c>
      <c r="D186" s="82">
        <v>34132</v>
      </c>
      <c r="E186" s="85" t="s">
        <v>538</v>
      </c>
    </row>
    <row r="187" spans="2:5" x14ac:dyDescent="0.4">
      <c r="B187" s="212">
        <v>183</v>
      </c>
      <c r="C187" s="82" t="s">
        <v>691</v>
      </c>
      <c r="D187" s="82">
        <v>31209</v>
      </c>
      <c r="E187" s="85" t="s">
        <v>538</v>
      </c>
    </row>
    <row r="188" spans="2:5" x14ac:dyDescent="0.4">
      <c r="B188" s="212">
        <v>184</v>
      </c>
      <c r="C188" s="82" t="s">
        <v>691</v>
      </c>
      <c r="D188" s="82">
        <v>31213</v>
      </c>
      <c r="E188" s="85" t="s">
        <v>538</v>
      </c>
    </row>
    <row r="189" spans="2:5" x14ac:dyDescent="0.4">
      <c r="B189" s="212">
        <v>185</v>
      </c>
      <c r="C189" s="82" t="s">
        <v>691</v>
      </c>
      <c r="D189" s="82">
        <v>31211</v>
      </c>
      <c r="E189" s="85" t="s">
        <v>538</v>
      </c>
    </row>
    <row r="190" spans="2:5" x14ac:dyDescent="0.4">
      <c r="B190" s="212">
        <v>186</v>
      </c>
      <c r="C190" s="82" t="s">
        <v>691</v>
      </c>
      <c r="D190" s="82">
        <v>31205</v>
      </c>
      <c r="E190" s="85" t="s">
        <v>538</v>
      </c>
    </row>
    <row r="191" spans="2:5" x14ac:dyDescent="0.4">
      <c r="B191" s="212">
        <v>187</v>
      </c>
      <c r="C191" s="82" t="s">
        <v>691</v>
      </c>
      <c r="D191" s="82">
        <v>35144</v>
      </c>
      <c r="E191" s="85" t="s">
        <v>539</v>
      </c>
    </row>
    <row r="192" spans="2:5" x14ac:dyDescent="0.4">
      <c r="B192" s="212">
        <v>188</v>
      </c>
      <c r="C192" s="82" t="s">
        <v>691</v>
      </c>
      <c r="D192" s="82">
        <v>35153</v>
      </c>
      <c r="E192" s="85" t="s">
        <v>539</v>
      </c>
    </row>
    <row r="193" spans="2:5" x14ac:dyDescent="0.4">
      <c r="B193" s="212">
        <v>189</v>
      </c>
      <c r="C193" s="82" t="s">
        <v>691</v>
      </c>
      <c r="D193" s="82">
        <v>34135</v>
      </c>
      <c r="E193" s="85" t="s">
        <v>535</v>
      </c>
    </row>
    <row r="194" spans="2:5" x14ac:dyDescent="0.4">
      <c r="B194" s="212">
        <v>190</v>
      </c>
      <c r="C194" s="82" t="s">
        <v>691</v>
      </c>
      <c r="D194" s="82">
        <v>34142</v>
      </c>
      <c r="E194" s="85" t="s">
        <v>535</v>
      </c>
    </row>
    <row r="195" spans="2:5" x14ac:dyDescent="0.4">
      <c r="B195" s="211">
        <v>191</v>
      </c>
      <c r="C195" s="82" t="s">
        <v>691</v>
      </c>
      <c r="D195" s="2">
        <v>31209</v>
      </c>
      <c r="E195" s="85" t="s">
        <v>538</v>
      </c>
    </row>
    <row r="196" spans="2:5" x14ac:dyDescent="0.4">
      <c r="B196" s="211">
        <v>192</v>
      </c>
      <c r="C196" s="82" t="s">
        <v>691</v>
      </c>
      <c r="D196" s="2">
        <v>31212</v>
      </c>
      <c r="E196" s="85" t="s">
        <v>538</v>
      </c>
    </row>
    <row r="197" spans="2:5" x14ac:dyDescent="0.4">
      <c r="B197" s="211">
        <v>193</v>
      </c>
      <c r="C197" s="82" t="s">
        <v>691</v>
      </c>
      <c r="D197" s="2">
        <v>34144</v>
      </c>
      <c r="E197" s="85" t="s">
        <v>538</v>
      </c>
    </row>
    <row r="198" spans="2:5" x14ac:dyDescent="0.4">
      <c r="B198" s="211">
        <v>194</v>
      </c>
      <c r="C198" s="82" t="s">
        <v>691</v>
      </c>
      <c r="D198" s="2">
        <v>34137</v>
      </c>
      <c r="E198" s="85" t="s">
        <v>535</v>
      </c>
    </row>
    <row r="199" spans="2:5" x14ac:dyDescent="0.4">
      <c r="B199" s="212">
        <v>195</v>
      </c>
      <c r="C199" s="82" t="s">
        <v>691</v>
      </c>
      <c r="D199" s="2">
        <v>31206</v>
      </c>
      <c r="E199" s="85" t="s">
        <v>538</v>
      </c>
    </row>
    <row r="200" spans="2:5" x14ac:dyDescent="0.4">
      <c r="B200" s="212">
        <v>196</v>
      </c>
      <c r="C200" s="82" t="s">
        <v>691</v>
      </c>
      <c r="D200" s="2">
        <v>31212</v>
      </c>
      <c r="E200" s="85" t="s">
        <v>538</v>
      </c>
    </row>
    <row r="201" spans="2:5" x14ac:dyDescent="0.4">
      <c r="B201" s="212">
        <v>197</v>
      </c>
      <c r="C201" s="82" t="s">
        <v>691</v>
      </c>
      <c r="D201" s="2">
        <v>34131</v>
      </c>
      <c r="E201" s="85" t="s">
        <v>537</v>
      </c>
    </row>
    <row r="202" spans="2:5" x14ac:dyDescent="0.4">
      <c r="B202" s="212">
        <v>198</v>
      </c>
      <c r="C202" s="82" t="s">
        <v>691</v>
      </c>
      <c r="D202" s="2">
        <v>34136</v>
      </c>
      <c r="E202" s="85" t="s">
        <v>538</v>
      </c>
    </row>
    <row r="203" spans="2:5" x14ac:dyDescent="0.4">
      <c r="B203" s="211">
        <v>199</v>
      </c>
      <c r="C203" s="82" t="s">
        <v>691</v>
      </c>
      <c r="D203" s="2">
        <v>31910</v>
      </c>
      <c r="E203" s="85" t="s">
        <v>535</v>
      </c>
    </row>
    <row r="204" spans="2:5" x14ac:dyDescent="0.4">
      <c r="B204" s="211">
        <v>200</v>
      </c>
      <c r="C204" s="82" t="s">
        <v>691</v>
      </c>
      <c r="D204" s="2">
        <v>31212</v>
      </c>
      <c r="E204" s="85" t="s">
        <v>538</v>
      </c>
    </row>
    <row r="205" spans="2:5" x14ac:dyDescent="0.4">
      <c r="B205" s="211">
        <v>201</v>
      </c>
      <c r="C205" s="82" t="s">
        <v>691</v>
      </c>
      <c r="D205" s="2">
        <v>34132</v>
      </c>
      <c r="E205" s="85" t="s">
        <v>538</v>
      </c>
    </row>
    <row r="206" spans="2:5" x14ac:dyDescent="0.4">
      <c r="B206" s="211">
        <v>202</v>
      </c>
      <c r="C206" s="82" t="s">
        <v>691</v>
      </c>
      <c r="D206" s="2">
        <v>31908</v>
      </c>
      <c r="E206" s="85" t="s">
        <v>535</v>
      </c>
    </row>
    <row r="207" spans="2:5" x14ac:dyDescent="0.4">
      <c r="B207" s="211">
        <v>203</v>
      </c>
      <c r="C207" s="82" t="s">
        <v>691</v>
      </c>
      <c r="D207" s="2">
        <v>35148</v>
      </c>
      <c r="E207" s="85" t="s">
        <v>539</v>
      </c>
    </row>
    <row r="208" spans="2:5" x14ac:dyDescent="0.4">
      <c r="B208" s="211">
        <v>204</v>
      </c>
      <c r="C208" s="82" t="s">
        <v>691</v>
      </c>
      <c r="D208" s="2">
        <v>31205</v>
      </c>
      <c r="E208" s="85" t="s">
        <v>538</v>
      </c>
    </row>
    <row r="209" spans="2:5" x14ac:dyDescent="0.4">
      <c r="B209" s="211">
        <v>205</v>
      </c>
      <c r="C209" s="82" t="s">
        <v>691</v>
      </c>
      <c r="D209" s="2">
        <v>34144</v>
      </c>
      <c r="E209" s="85" t="s">
        <v>538</v>
      </c>
    </row>
    <row r="210" spans="2:5" x14ac:dyDescent="0.4">
      <c r="B210" s="211">
        <v>206</v>
      </c>
      <c r="C210" s="82" t="s">
        <v>691</v>
      </c>
      <c r="D210" s="2">
        <v>31207</v>
      </c>
      <c r="E210" s="85" t="s">
        <v>538</v>
      </c>
    </row>
    <row r="211" spans="2:5" x14ac:dyDescent="0.4">
      <c r="B211" s="211">
        <v>207</v>
      </c>
      <c r="C211" s="82" t="s">
        <v>691</v>
      </c>
      <c r="D211" s="2">
        <v>34142</v>
      </c>
      <c r="E211" s="85" t="s">
        <v>535</v>
      </c>
    </row>
    <row r="212" spans="2:5" x14ac:dyDescent="0.4">
      <c r="B212" s="211">
        <v>208</v>
      </c>
      <c r="C212" s="82" t="s">
        <v>691</v>
      </c>
      <c r="D212" s="2">
        <v>34132</v>
      </c>
      <c r="E212" s="85" t="s">
        <v>538</v>
      </c>
    </row>
    <row r="213" spans="2:5" x14ac:dyDescent="0.4">
      <c r="B213" s="211">
        <v>209</v>
      </c>
      <c r="C213" s="82" t="s">
        <v>691</v>
      </c>
      <c r="D213" s="2">
        <v>31214</v>
      </c>
      <c r="E213" s="85" t="s">
        <v>537</v>
      </c>
    </row>
    <row r="214" spans="2:5" x14ac:dyDescent="0.4">
      <c r="B214" s="211">
        <v>210</v>
      </c>
      <c r="C214" s="82" t="s">
        <v>691</v>
      </c>
      <c r="D214" s="2">
        <v>34135</v>
      </c>
      <c r="E214" s="85" t="s">
        <v>535</v>
      </c>
    </row>
    <row r="215" spans="2:5" x14ac:dyDescent="0.4">
      <c r="B215" s="211">
        <v>211</v>
      </c>
      <c r="C215" s="82" t="s">
        <v>691</v>
      </c>
      <c r="D215" s="2">
        <v>35149</v>
      </c>
      <c r="E215" s="85" t="s">
        <v>539</v>
      </c>
    </row>
    <row r="216" spans="2:5" x14ac:dyDescent="0.4">
      <c r="B216" s="211">
        <v>212</v>
      </c>
      <c r="C216" s="82" t="s">
        <v>691</v>
      </c>
      <c r="D216" s="2">
        <v>31211</v>
      </c>
      <c r="E216" s="85" t="s">
        <v>538</v>
      </c>
    </row>
    <row r="217" spans="2:5" x14ac:dyDescent="0.4">
      <c r="B217" s="211">
        <v>213</v>
      </c>
      <c r="C217" s="82" t="s">
        <v>691</v>
      </c>
      <c r="D217" s="2">
        <v>34142</v>
      </c>
      <c r="E217" s="85" t="s">
        <v>535</v>
      </c>
    </row>
    <row r="218" spans="2:5" x14ac:dyDescent="0.4">
      <c r="B218" s="211">
        <v>214</v>
      </c>
      <c r="C218" s="82" t="s">
        <v>691</v>
      </c>
      <c r="D218" s="2">
        <v>34144</v>
      </c>
      <c r="E218" s="85" t="s">
        <v>538</v>
      </c>
    </row>
    <row r="219" spans="2:5" x14ac:dyDescent="0.4">
      <c r="B219" s="211">
        <v>215</v>
      </c>
      <c r="C219" s="82" t="s">
        <v>691</v>
      </c>
      <c r="D219" s="2">
        <v>34144</v>
      </c>
      <c r="E219" s="85" t="s">
        <v>538</v>
      </c>
    </row>
    <row r="220" spans="2:5" x14ac:dyDescent="0.4">
      <c r="B220" s="211">
        <v>216</v>
      </c>
      <c r="C220" s="82" t="s">
        <v>691</v>
      </c>
      <c r="D220" s="2">
        <v>31211</v>
      </c>
      <c r="E220" s="85" t="s">
        <v>538</v>
      </c>
    </row>
    <row r="221" spans="2:5" x14ac:dyDescent="0.4">
      <c r="B221" s="211">
        <v>217</v>
      </c>
      <c r="C221" s="82" t="s">
        <v>691</v>
      </c>
      <c r="D221" s="2">
        <v>31205</v>
      </c>
      <c r="E221" s="85" t="s">
        <v>538</v>
      </c>
    </row>
    <row r="222" spans="2:5" x14ac:dyDescent="0.4">
      <c r="B222" s="211">
        <v>218</v>
      </c>
      <c r="C222" s="82" t="s">
        <v>691</v>
      </c>
      <c r="D222" s="2">
        <v>31204</v>
      </c>
      <c r="E222" s="85" t="s">
        <v>538</v>
      </c>
    </row>
    <row r="223" spans="2:5" x14ac:dyDescent="0.4">
      <c r="B223" s="211">
        <v>219</v>
      </c>
      <c r="C223" s="82" t="s">
        <v>691</v>
      </c>
      <c r="D223" s="2">
        <v>31212</v>
      </c>
      <c r="E223" s="85" t="s">
        <v>538</v>
      </c>
    </row>
    <row r="224" spans="2:5" x14ac:dyDescent="0.4">
      <c r="B224" s="211">
        <v>220</v>
      </c>
      <c r="C224" s="82" t="s">
        <v>691</v>
      </c>
      <c r="D224" s="2">
        <v>34141</v>
      </c>
      <c r="E224" s="85" t="s">
        <v>537</v>
      </c>
    </row>
    <row r="225" spans="2:5" x14ac:dyDescent="0.4">
      <c r="B225" s="211">
        <v>221</v>
      </c>
      <c r="C225" s="82" t="s">
        <v>691</v>
      </c>
      <c r="D225" s="2">
        <v>34142</v>
      </c>
      <c r="E225" s="85" t="s">
        <v>535</v>
      </c>
    </row>
    <row r="226" spans="2:5" x14ac:dyDescent="0.4">
      <c r="B226" s="211">
        <v>222</v>
      </c>
      <c r="C226" s="82" t="s">
        <v>691</v>
      </c>
      <c r="D226" s="2">
        <v>35147</v>
      </c>
      <c r="E226" s="85" t="s">
        <v>539</v>
      </c>
    </row>
    <row r="227" spans="2:5" x14ac:dyDescent="0.4">
      <c r="B227" s="211">
        <v>223</v>
      </c>
      <c r="C227" s="82" t="s">
        <v>691</v>
      </c>
      <c r="D227" s="2">
        <v>34137</v>
      </c>
      <c r="E227" s="85" t="s">
        <v>535</v>
      </c>
    </row>
    <row r="228" spans="2:5" x14ac:dyDescent="0.4">
      <c r="B228" s="211">
        <v>224</v>
      </c>
      <c r="C228" s="82" t="s">
        <v>691</v>
      </c>
      <c r="D228" s="2">
        <v>34138</v>
      </c>
      <c r="E228" s="85" t="s">
        <v>535</v>
      </c>
    </row>
    <row r="229" spans="2:5" x14ac:dyDescent="0.4">
      <c r="B229" s="214">
        <v>225</v>
      </c>
      <c r="C229" s="69" t="s">
        <v>691</v>
      </c>
      <c r="D229" s="70">
        <v>31909</v>
      </c>
      <c r="E229" s="85" t="s">
        <v>535</v>
      </c>
    </row>
    <row r="230" spans="2:5" x14ac:dyDescent="0.4">
      <c r="B230" s="214">
        <v>226</v>
      </c>
      <c r="C230" s="69" t="s">
        <v>691</v>
      </c>
      <c r="D230" s="70">
        <v>31206</v>
      </c>
      <c r="E230" s="85" t="s">
        <v>538</v>
      </c>
    </row>
    <row r="231" spans="2:5" x14ac:dyDescent="0.4">
      <c r="B231" s="214">
        <v>227</v>
      </c>
      <c r="C231" s="69" t="s">
        <v>691</v>
      </c>
      <c r="D231" s="70">
        <v>31215</v>
      </c>
      <c r="E231" s="85" t="s">
        <v>537</v>
      </c>
    </row>
    <row r="232" spans="2:5" x14ac:dyDescent="0.4">
      <c r="B232" s="213">
        <v>228</v>
      </c>
      <c r="C232" s="82" t="s">
        <v>691</v>
      </c>
      <c r="D232" s="2">
        <v>31213</v>
      </c>
      <c r="E232" s="85" t="s">
        <v>538</v>
      </c>
    </row>
    <row r="233" spans="2:5" x14ac:dyDescent="0.4">
      <c r="B233" s="211">
        <v>229</v>
      </c>
      <c r="C233" s="82" t="s">
        <v>691</v>
      </c>
      <c r="D233" s="2">
        <v>31211</v>
      </c>
      <c r="E233" s="85" t="s">
        <v>538</v>
      </c>
    </row>
    <row r="234" spans="2:5" x14ac:dyDescent="0.4">
      <c r="B234" s="211">
        <v>230</v>
      </c>
      <c r="C234" s="82" t="s">
        <v>691</v>
      </c>
      <c r="D234" s="2">
        <v>31209</v>
      </c>
      <c r="E234" s="85" t="s">
        <v>538</v>
      </c>
    </row>
    <row r="235" spans="2:5" x14ac:dyDescent="0.4">
      <c r="B235" s="211">
        <v>231</v>
      </c>
      <c r="C235" s="82" t="s">
        <v>691</v>
      </c>
      <c r="D235" s="2">
        <v>31210</v>
      </c>
      <c r="E235" s="85" t="s">
        <v>538</v>
      </c>
    </row>
    <row r="236" spans="2:5" x14ac:dyDescent="0.4">
      <c r="B236" s="213">
        <v>232</v>
      </c>
      <c r="C236" s="82" t="s">
        <v>691</v>
      </c>
      <c r="D236" s="2">
        <v>34134</v>
      </c>
      <c r="E236" s="85" t="s">
        <v>538</v>
      </c>
    </row>
    <row r="237" spans="2:5" x14ac:dyDescent="0.4">
      <c r="B237" s="218">
        <v>233</v>
      </c>
      <c r="C237" s="82" t="s">
        <v>691</v>
      </c>
      <c r="D237" s="70">
        <v>34140</v>
      </c>
      <c r="E237" s="85" t="s">
        <v>535</v>
      </c>
    </row>
    <row r="238" spans="2:5" x14ac:dyDescent="0.4">
      <c r="B238" s="219">
        <v>234</v>
      </c>
      <c r="C238" s="69" t="s">
        <v>691</v>
      </c>
      <c r="D238" s="70">
        <v>31213</v>
      </c>
      <c r="E238" s="85" t="s">
        <v>538</v>
      </c>
    </row>
    <row r="239" spans="2:5" x14ac:dyDescent="0.4">
      <c r="B239" s="219">
        <v>235</v>
      </c>
      <c r="C239" s="69" t="s">
        <v>691</v>
      </c>
      <c r="D239" s="70">
        <v>34140</v>
      </c>
      <c r="E239" s="85" t="s">
        <v>535</v>
      </c>
    </row>
    <row r="240" spans="2:5" x14ac:dyDescent="0.4">
      <c r="B240" s="212">
        <v>236</v>
      </c>
      <c r="C240" s="82" t="s">
        <v>691</v>
      </c>
      <c r="D240" s="2">
        <v>31211</v>
      </c>
      <c r="E240" s="85" t="s">
        <v>538</v>
      </c>
    </row>
    <row r="241" spans="2:5" x14ac:dyDescent="0.4">
      <c r="B241" s="219">
        <v>237</v>
      </c>
      <c r="C241" s="69" t="s">
        <v>691</v>
      </c>
      <c r="D241" s="70">
        <v>34134</v>
      </c>
      <c r="E241" s="85" t="s">
        <v>538</v>
      </c>
    </row>
    <row r="242" spans="2:5" x14ac:dyDescent="0.4">
      <c r="B242" s="212">
        <v>238</v>
      </c>
      <c r="C242" s="82" t="s">
        <v>691</v>
      </c>
      <c r="D242" s="2">
        <v>34133</v>
      </c>
      <c r="E242" s="85" t="s">
        <v>538</v>
      </c>
    </row>
    <row r="243" spans="2:5" x14ac:dyDescent="0.4">
      <c r="B243" s="212">
        <v>239</v>
      </c>
      <c r="C243" s="82" t="s">
        <v>691</v>
      </c>
      <c r="D243" s="2">
        <v>34133</v>
      </c>
      <c r="E243" s="85" t="s">
        <v>538</v>
      </c>
    </row>
    <row r="244" spans="2:5" x14ac:dyDescent="0.4">
      <c r="B244" s="212">
        <v>240</v>
      </c>
      <c r="C244" s="82" t="s">
        <v>691</v>
      </c>
      <c r="D244" s="2">
        <v>31215</v>
      </c>
      <c r="E244" s="85" t="s">
        <v>537</v>
      </c>
    </row>
    <row r="245" spans="2:5" x14ac:dyDescent="0.4">
      <c r="B245" s="212">
        <v>241</v>
      </c>
      <c r="C245" s="82" t="s">
        <v>691</v>
      </c>
      <c r="D245" s="2">
        <v>31211</v>
      </c>
      <c r="E245" s="85" t="s">
        <v>538</v>
      </c>
    </row>
    <row r="246" spans="2:5" x14ac:dyDescent="0.4">
      <c r="B246" s="212">
        <v>242</v>
      </c>
      <c r="C246" s="82" t="s">
        <v>691</v>
      </c>
      <c r="D246" s="2">
        <v>34134</v>
      </c>
      <c r="E246" s="85" t="s">
        <v>538</v>
      </c>
    </row>
    <row r="247" spans="2:5" x14ac:dyDescent="0.4">
      <c r="B247" s="212">
        <v>243</v>
      </c>
      <c r="C247" s="82" t="s">
        <v>691</v>
      </c>
      <c r="D247" s="2">
        <v>34132</v>
      </c>
      <c r="E247" s="85" t="s">
        <v>538</v>
      </c>
    </row>
    <row r="248" spans="2:5" x14ac:dyDescent="0.4">
      <c r="B248" s="212">
        <v>244</v>
      </c>
      <c r="C248" s="82" t="s">
        <v>691</v>
      </c>
      <c r="D248" s="2">
        <v>34134</v>
      </c>
      <c r="E248" s="85" t="s">
        <v>538</v>
      </c>
    </row>
    <row r="249" spans="2:5" x14ac:dyDescent="0.4">
      <c r="B249" s="212">
        <v>245</v>
      </c>
      <c r="C249" s="82" t="s">
        <v>691</v>
      </c>
      <c r="D249" s="2">
        <v>34134</v>
      </c>
      <c r="E249" s="85" t="s">
        <v>538</v>
      </c>
    </row>
    <row r="250" spans="2:5" x14ac:dyDescent="0.4">
      <c r="B250" s="212">
        <v>246</v>
      </c>
      <c r="C250" s="82" t="s">
        <v>691</v>
      </c>
      <c r="D250" s="2">
        <v>34141</v>
      </c>
      <c r="E250" s="85" t="s">
        <v>537</v>
      </c>
    </row>
    <row r="251" spans="2:5" x14ac:dyDescent="0.4">
      <c r="B251" s="212">
        <v>247</v>
      </c>
      <c r="C251" s="82" t="s">
        <v>691</v>
      </c>
      <c r="D251" s="2">
        <v>34141</v>
      </c>
      <c r="E251" s="85" t="s">
        <v>537</v>
      </c>
    </row>
    <row r="252" spans="2:5" x14ac:dyDescent="0.4">
      <c r="B252" s="212">
        <v>248</v>
      </c>
      <c r="C252" s="82" t="s">
        <v>691</v>
      </c>
      <c r="D252" s="2">
        <v>34139</v>
      </c>
      <c r="E252" s="85" t="s">
        <v>535</v>
      </c>
    </row>
    <row r="253" spans="2:5" x14ac:dyDescent="0.4">
      <c r="B253" s="212">
        <v>249</v>
      </c>
      <c r="C253" s="82" t="s">
        <v>691</v>
      </c>
      <c r="D253" s="2">
        <v>31210</v>
      </c>
      <c r="E253" s="85" t="s">
        <v>538</v>
      </c>
    </row>
    <row r="254" spans="2:5" x14ac:dyDescent="0.4">
      <c r="B254" s="212">
        <v>250</v>
      </c>
      <c r="C254" s="82" t="s">
        <v>691</v>
      </c>
      <c r="D254" s="2">
        <v>34144</v>
      </c>
      <c r="E254" s="85" t="s">
        <v>538</v>
      </c>
    </row>
    <row r="255" spans="2:5" x14ac:dyDescent="0.4">
      <c r="B255" s="212">
        <v>251</v>
      </c>
      <c r="C255" s="82" t="s">
        <v>691</v>
      </c>
      <c r="D255" s="2">
        <v>34142</v>
      </c>
      <c r="E255" s="85" t="s">
        <v>535</v>
      </c>
    </row>
    <row r="256" spans="2:5" x14ac:dyDescent="0.4">
      <c r="B256" s="212">
        <v>252</v>
      </c>
      <c r="C256" s="82" t="s">
        <v>691</v>
      </c>
      <c r="D256" s="2">
        <v>34141</v>
      </c>
      <c r="E256" s="85" t="s">
        <v>537</v>
      </c>
    </row>
    <row r="257" spans="2:5" x14ac:dyDescent="0.4">
      <c r="B257" s="216">
        <v>253</v>
      </c>
      <c r="C257" s="69" t="s">
        <v>691</v>
      </c>
      <c r="D257" s="70">
        <v>34132</v>
      </c>
      <c r="E257" s="85" t="s">
        <v>538</v>
      </c>
    </row>
    <row r="258" spans="2:5" x14ac:dyDescent="0.4">
      <c r="B258" s="212">
        <v>254</v>
      </c>
      <c r="C258" s="82" t="s">
        <v>691</v>
      </c>
      <c r="D258" s="2">
        <v>34134</v>
      </c>
      <c r="E258" s="85" t="s">
        <v>538</v>
      </c>
    </row>
    <row r="259" spans="2:5" x14ac:dyDescent="0.4">
      <c r="B259" s="212">
        <v>255</v>
      </c>
      <c r="C259" s="82" t="s">
        <v>691</v>
      </c>
      <c r="D259" s="2">
        <v>31204</v>
      </c>
      <c r="E259" s="85" t="s">
        <v>538</v>
      </c>
    </row>
    <row r="260" spans="2:5" x14ac:dyDescent="0.4">
      <c r="B260" s="212">
        <v>256</v>
      </c>
      <c r="C260" s="82" t="s">
        <v>691</v>
      </c>
      <c r="D260" s="2">
        <v>31209</v>
      </c>
      <c r="E260" s="85" t="s">
        <v>538</v>
      </c>
    </row>
    <row r="261" spans="2:5" x14ac:dyDescent="0.4">
      <c r="B261" s="212">
        <v>257</v>
      </c>
      <c r="C261" s="82" t="s">
        <v>691</v>
      </c>
      <c r="D261" s="2">
        <v>34135</v>
      </c>
      <c r="E261" s="85" t="s">
        <v>535</v>
      </c>
    </row>
    <row r="262" spans="2:5" x14ac:dyDescent="0.4">
      <c r="B262" s="216">
        <v>258</v>
      </c>
      <c r="C262" s="69" t="s">
        <v>691</v>
      </c>
      <c r="D262" s="70">
        <v>35146</v>
      </c>
      <c r="E262" s="85" t="s">
        <v>539</v>
      </c>
    </row>
    <row r="263" spans="2:5" x14ac:dyDescent="0.4">
      <c r="B263" s="218">
        <v>259</v>
      </c>
      <c r="C263" s="82" t="s">
        <v>691</v>
      </c>
      <c r="D263" s="2">
        <v>31909</v>
      </c>
      <c r="E263" s="85" t="s">
        <v>535</v>
      </c>
    </row>
    <row r="264" spans="2:5" x14ac:dyDescent="0.4">
      <c r="B264" s="212">
        <v>260</v>
      </c>
      <c r="C264" s="82" t="s">
        <v>691</v>
      </c>
      <c r="D264" s="2">
        <v>34139</v>
      </c>
      <c r="E264" s="85" t="s">
        <v>535</v>
      </c>
    </row>
    <row r="265" spans="2:5" x14ac:dyDescent="0.4">
      <c r="B265" s="212">
        <v>261</v>
      </c>
      <c r="C265" s="82" t="s">
        <v>691</v>
      </c>
      <c r="D265" s="2">
        <v>34140</v>
      </c>
      <c r="E265" s="85" t="s">
        <v>535</v>
      </c>
    </row>
    <row r="266" spans="2:5" x14ac:dyDescent="0.4">
      <c r="B266" s="212">
        <v>262</v>
      </c>
      <c r="C266" s="82" t="s">
        <v>691</v>
      </c>
      <c r="D266" s="2">
        <v>31215</v>
      </c>
      <c r="E266" s="85" t="s">
        <v>537</v>
      </c>
    </row>
    <row r="267" spans="2:5" x14ac:dyDescent="0.4">
      <c r="B267" s="218">
        <v>263</v>
      </c>
      <c r="C267" s="82" t="s">
        <v>691</v>
      </c>
      <c r="D267" s="2">
        <v>31214</v>
      </c>
      <c r="E267" s="85" t="s">
        <v>537</v>
      </c>
    </row>
    <row r="268" spans="2:5" x14ac:dyDescent="0.4">
      <c r="B268" s="212">
        <v>264</v>
      </c>
      <c r="C268" s="82" t="s">
        <v>691</v>
      </c>
      <c r="D268" s="2">
        <v>34141</v>
      </c>
      <c r="E268" s="85" t="s">
        <v>537</v>
      </c>
    </row>
    <row r="269" spans="2:5" x14ac:dyDescent="0.4">
      <c r="B269" s="219">
        <v>265</v>
      </c>
      <c r="C269" s="69" t="s">
        <v>691</v>
      </c>
      <c r="D269" s="70">
        <v>31214</v>
      </c>
      <c r="E269" s="85" t="s">
        <v>537</v>
      </c>
    </row>
    <row r="270" spans="2:5" x14ac:dyDescent="0.4">
      <c r="B270" s="216">
        <v>266</v>
      </c>
      <c r="C270" s="69" t="s">
        <v>691</v>
      </c>
      <c r="D270" s="70">
        <v>31207</v>
      </c>
      <c r="E270" s="85" t="s">
        <v>538</v>
      </c>
    </row>
    <row r="271" spans="2:5" x14ac:dyDescent="0.4">
      <c r="B271" s="216">
        <v>267</v>
      </c>
      <c r="C271" s="69" t="s">
        <v>691</v>
      </c>
      <c r="D271" s="70">
        <v>35144</v>
      </c>
      <c r="E271" s="85" t="s">
        <v>539</v>
      </c>
    </row>
    <row r="272" spans="2:5" x14ac:dyDescent="0.4">
      <c r="B272" s="218">
        <v>268</v>
      </c>
      <c r="C272" s="82" t="s">
        <v>691</v>
      </c>
      <c r="D272" s="2">
        <v>31909</v>
      </c>
      <c r="E272" s="85" t="s">
        <v>535</v>
      </c>
    </row>
    <row r="273" spans="2:5" x14ac:dyDescent="0.4">
      <c r="B273" s="212">
        <v>269</v>
      </c>
      <c r="C273" s="82" t="s">
        <v>691</v>
      </c>
      <c r="D273" s="2">
        <v>35144</v>
      </c>
      <c r="E273" s="85" t="s">
        <v>539</v>
      </c>
    </row>
    <row r="274" spans="2:5" x14ac:dyDescent="0.4">
      <c r="B274" s="212">
        <v>270</v>
      </c>
      <c r="C274" s="82" t="s">
        <v>691</v>
      </c>
      <c r="D274" s="2">
        <v>31206</v>
      </c>
      <c r="E274" s="85" t="s">
        <v>538</v>
      </c>
    </row>
    <row r="275" spans="2:5" x14ac:dyDescent="0.4">
      <c r="B275" s="212">
        <v>271</v>
      </c>
      <c r="C275" s="82" t="s">
        <v>691</v>
      </c>
      <c r="D275" s="2">
        <v>31206</v>
      </c>
      <c r="E275" s="85" t="s">
        <v>538</v>
      </c>
    </row>
    <row r="276" spans="2:5" x14ac:dyDescent="0.4">
      <c r="B276" s="212">
        <v>272</v>
      </c>
      <c r="C276" s="82" t="s">
        <v>691</v>
      </c>
      <c r="D276" s="2">
        <v>31213</v>
      </c>
      <c r="E276" s="85" t="s">
        <v>538</v>
      </c>
    </row>
    <row r="277" spans="2:5" x14ac:dyDescent="0.4">
      <c r="B277" s="212">
        <v>273</v>
      </c>
      <c r="C277" s="82" t="s">
        <v>691</v>
      </c>
      <c r="D277" s="2">
        <v>31213</v>
      </c>
      <c r="E277" s="85" t="s">
        <v>538</v>
      </c>
    </row>
    <row r="278" spans="2:5" x14ac:dyDescent="0.4">
      <c r="B278" s="216">
        <v>274</v>
      </c>
      <c r="C278" s="69" t="s">
        <v>691</v>
      </c>
      <c r="D278" s="70">
        <v>39107</v>
      </c>
      <c r="E278" s="85">
        <v>0</v>
      </c>
    </row>
    <row r="279" spans="2:5" x14ac:dyDescent="0.4">
      <c r="B279" s="212">
        <v>275</v>
      </c>
      <c r="C279" s="82" t="s">
        <v>691</v>
      </c>
      <c r="D279" s="2">
        <v>31211</v>
      </c>
      <c r="E279" s="85" t="s">
        <v>538</v>
      </c>
    </row>
    <row r="280" spans="2:5" x14ac:dyDescent="0.4">
      <c r="B280" s="212">
        <v>276</v>
      </c>
      <c r="C280" s="68" t="s">
        <v>9</v>
      </c>
      <c r="D280" s="2">
        <v>34132</v>
      </c>
      <c r="E280" s="85" t="s">
        <v>538</v>
      </c>
    </row>
    <row r="281" spans="2:5" x14ac:dyDescent="0.4">
      <c r="B281" s="212">
        <v>277</v>
      </c>
      <c r="C281" s="82" t="s">
        <v>9</v>
      </c>
      <c r="D281" s="2">
        <v>34137</v>
      </c>
      <c r="E281" s="85" t="s">
        <v>535</v>
      </c>
    </row>
    <row r="282" spans="2:5" x14ac:dyDescent="0.4">
      <c r="B282" s="212">
        <v>278</v>
      </c>
      <c r="C282" s="68" t="s">
        <v>9</v>
      </c>
      <c r="D282" s="2">
        <v>34143</v>
      </c>
      <c r="E282" s="85" t="s">
        <v>535</v>
      </c>
    </row>
    <row r="283" spans="2:5" x14ac:dyDescent="0.4">
      <c r="B283" s="212">
        <v>279</v>
      </c>
      <c r="C283" s="68" t="s">
        <v>9</v>
      </c>
      <c r="D283" s="2">
        <v>34144</v>
      </c>
      <c r="E283" s="85" t="s">
        <v>538</v>
      </c>
    </row>
    <row r="284" spans="2:5" x14ac:dyDescent="0.4">
      <c r="B284" s="212">
        <v>280</v>
      </c>
      <c r="C284" s="68" t="s">
        <v>9</v>
      </c>
      <c r="D284" s="2">
        <v>31215</v>
      </c>
      <c r="E284" s="85" t="s">
        <v>537</v>
      </c>
    </row>
    <row r="285" spans="2:5" x14ac:dyDescent="0.4">
      <c r="B285" s="212">
        <v>281</v>
      </c>
      <c r="C285" s="68" t="s">
        <v>9</v>
      </c>
      <c r="D285" s="2">
        <v>31213</v>
      </c>
      <c r="E285" s="85" t="s">
        <v>538</v>
      </c>
    </row>
    <row r="286" spans="2:5" x14ac:dyDescent="0.4">
      <c r="B286" s="212">
        <v>282</v>
      </c>
      <c r="C286" s="68" t="s">
        <v>9</v>
      </c>
      <c r="D286" s="2">
        <v>38111</v>
      </c>
      <c r="E286" s="85" t="s">
        <v>536</v>
      </c>
    </row>
    <row r="287" spans="2:5" x14ac:dyDescent="0.4">
      <c r="B287" s="212">
        <v>283</v>
      </c>
      <c r="C287" s="68" t="s">
        <v>9</v>
      </c>
      <c r="D287" s="2">
        <v>31208</v>
      </c>
      <c r="E287" s="85" t="s">
        <v>538</v>
      </c>
    </row>
    <row r="288" spans="2:5" x14ac:dyDescent="0.4">
      <c r="B288" s="218">
        <v>284</v>
      </c>
      <c r="C288" s="82" t="s">
        <v>9</v>
      </c>
      <c r="D288" s="2">
        <v>31205</v>
      </c>
      <c r="E288" s="85" t="s">
        <v>538</v>
      </c>
    </row>
    <row r="289" spans="2:5" x14ac:dyDescent="0.4">
      <c r="B289" s="218">
        <v>285</v>
      </c>
      <c r="C289" s="68" t="s">
        <v>9</v>
      </c>
      <c r="D289" s="2">
        <v>34134</v>
      </c>
      <c r="E289" s="85" t="s">
        <v>538</v>
      </c>
    </row>
    <row r="290" spans="2:5" x14ac:dyDescent="0.4">
      <c r="B290" s="218">
        <v>286</v>
      </c>
      <c r="C290" s="82" t="s">
        <v>9</v>
      </c>
      <c r="D290" s="2">
        <v>31214</v>
      </c>
      <c r="E290" s="85" t="s">
        <v>537</v>
      </c>
    </row>
    <row r="291" spans="2:5" x14ac:dyDescent="0.4">
      <c r="B291" s="218">
        <v>287</v>
      </c>
      <c r="C291" s="82" t="s">
        <v>9</v>
      </c>
      <c r="D291" s="2">
        <v>31214</v>
      </c>
      <c r="E291" s="85" t="s">
        <v>537</v>
      </c>
    </row>
    <row r="292" spans="2:5" x14ac:dyDescent="0.4">
      <c r="B292" s="218">
        <v>288</v>
      </c>
      <c r="C292" s="82" t="s">
        <v>9</v>
      </c>
      <c r="D292" s="2">
        <v>31209</v>
      </c>
      <c r="E292" s="85" t="s">
        <v>538</v>
      </c>
    </row>
    <row r="293" spans="2:5" x14ac:dyDescent="0.4">
      <c r="B293" s="219">
        <v>289</v>
      </c>
      <c r="C293" s="69" t="s">
        <v>248</v>
      </c>
      <c r="D293" s="2">
        <v>31215</v>
      </c>
      <c r="E293" s="85" t="s">
        <v>537</v>
      </c>
    </row>
    <row r="294" spans="2:5" x14ac:dyDescent="0.4">
      <c r="B294" s="218">
        <v>290</v>
      </c>
      <c r="C294" s="82" t="s">
        <v>9</v>
      </c>
      <c r="D294" s="2">
        <v>34132</v>
      </c>
      <c r="E294" s="85" t="s">
        <v>538</v>
      </c>
    </row>
    <row r="295" spans="2:5" x14ac:dyDescent="0.4">
      <c r="B295" s="218">
        <v>291</v>
      </c>
      <c r="C295" s="82" t="s">
        <v>9</v>
      </c>
      <c r="D295" s="2">
        <v>31910</v>
      </c>
      <c r="E295" s="85" t="s">
        <v>535</v>
      </c>
    </row>
    <row r="296" spans="2:5" x14ac:dyDescent="0.4">
      <c r="B296" s="219">
        <v>292</v>
      </c>
      <c r="C296" s="69" t="s">
        <v>248</v>
      </c>
      <c r="D296" s="2">
        <v>31208</v>
      </c>
      <c r="E296" s="85" t="s">
        <v>538</v>
      </c>
    </row>
    <row r="297" spans="2:5" x14ac:dyDescent="0.4">
      <c r="B297" s="218">
        <v>293</v>
      </c>
      <c r="C297" s="82" t="s">
        <v>9</v>
      </c>
      <c r="D297" s="2">
        <v>35153</v>
      </c>
      <c r="E297" s="85" t="s">
        <v>539</v>
      </c>
    </row>
    <row r="298" spans="2:5" x14ac:dyDescent="0.4">
      <c r="B298" s="218">
        <v>294</v>
      </c>
      <c r="C298" s="82" t="s">
        <v>9</v>
      </c>
      <c r="D298" s="2">
        <v>31207</v>
      </c>
      <c r="E298" s="85" t="s">
        <v>538</v>
      </c>
    </row>
    <row r="299" spans="2:5" x14ac:dyDescent="0.4">
      <c r="B299" s="218">
        <v>295</v>
      </c>
      <c r="C299" s="82" t="s">
        <v>9</v>
      </c>
      <c r="D299" s="2">
        <v>34132</v>
      </c>
      <c r="E299" s="85" t="s">
        <v>538</v>
      </c>
    </row>
    <row r="300" spans="2:5" x14ac:dyDescent="0.4">
      <c r="B300" s="218">
        <v>296</v>
      </c>
      <c r="C300" s="82" t="s">
        <v>9</v>
      </c>
      <c r="D300" s="2">
        <v>34135</v>
      </c>
      <c r="E300" s="85" t="s">
        <v>535</v>
      </c>
    </row>
    <row r="301" spans="2:5" x14ac:dyDescent="0.4">
      <c r="B301" s="218">
        <v>297</v>
      </c>
      <c r="C301" s="82" t="s">
        <v>9</v>
      </c>
      <c r="D301" s="2">
        <v>34141</v>
      </c>
      <c r="E301" s="85" t="s">
        <v>537</v>
      </c>
    </row>
    <row r="302" spans="2:5" x14ac:dyDescent="0.4">
      <c r="B302" s="218">
        <v>298</v>
      </c>
      <c r="C302" s="82" t="s">
        <v>9</v>
      </c>
      <c r="D302" s="2">
        <v>35150</v>
      </c>
      <c r="E302" s="85" t="s">
        <v>539</v>
      </c>
    </row>
    <row r="303" spans="2:5" x14ac:dyDescent="0.4">
      <c r="B303" s="219">
        <v>299</v>
      </c>
      <c r="C303" s="69" t="s">
        <v>248</v>
      </c>
      <c r="D303" s="2">
        <v>39101</v>
      </c>
      <c r="E303" s="85">
        <v>0</v>
      </c>
    </row>
    <row r="304" spans="2:5" x14ac:dyDescent="0.4">
      <c r="B304" s="218">
        <v>300</v>
      </c>
      <c r="C304" s="82" t="s">
        <v>9</v>
      </c>
      <c r="D304" s="2">
        <v>31212</v>
      </c>
      <c r="E304" s="85" t="s">
        <v>538</v>
      </c>
    </row>
    <row r="305" spans="2:5" x14ac:dyDescent="0.4">
      <c r="B305" s="218">
        <v>301</v>
      </c>
      <c r="C305" s="82" t="s">
        <v>9</v>
      </c>
      <c r="D305" s="2">
        <v>31207</v>
      </c>
      <c r="E305" s="85" t="s">
        <v>538</v>
      </c>
    </row>
    <row r="306" spans="2:5" x14ac:dyDescent="0.4">
      <c r="B306" s="218">
        <v>302</v>
      </c>
      <c r="C306" s="82" t="s">
        <v>9</v>
      </c>
      <c r="D306" s="2">
        <v>31211</v>
      </c>
      <c r="E306" s="85" t="s">
        <v>538</v>
      </c>
    </row>
    <row r="307" spans="2:5" x14ac:dyDescent="0.4">
      <c r="B307" s="218">
        <v>303</v>
      </c>
      <c r="C307" s="82" t="s">
        <v>9</v>
      </c>
      <c r="D307" s="2">
        <v>31212</v>
      </c>
      <c r="E307" s="85" t="s">
        <v>538</v>
      </c>
    </row>
    <row r="308" spans="2:5" x14ac:dyDescent="0.4">
      <c r="B308" s="218">
        <v>304</v>
      </c>
      <c r="C308" s="82" t="s">
        <v>9</v>
      </c>
      <c r="D308" s="2">
        <v>34131</v>
      </c>
      <c r="E308" s="85" t="s">
        <v>537</v>
      </c>
    </row>
    <row r="309" spans="2:5" x14ac:dyDescent="0.4">
      <c r="B309" s="218">
        <v>305</v>
      </c>
      <c r="C309" s="82" t="s">
        <v>9</v>
      </c>
      <c r="D309" s="2">
        <v>31210</v>
      </c>
      <c r="E309" s="85" t="s">
        <v>538</v>
      </c>
    </row>
    <row r="310" spans="2:5" x14ac:dyDescent="0.4">
      <c r="B310" s="218">
        <v>306</v>
      </c>
      <c r="C310" s="82" t="s">
        <v>9</v>
      </c>
      <c r="D310" s="2">
        <v>31209</v>
      </c>
      <c r="E310" s="85" t="s">
        <v>538</v>
      </c>
    </row>
    <row r="311" spans="2:5" x14ac:dyDescent="0.4">
      <c r="B311" s="219">
        <v>307</v>
      </c>
      <c r="C311" s="69" t="s">
        <v>248</v>
      </c>
      <c r="D311" s="2">
        <v>34140</v>
      </c>
      <c r="E311" s="85" t="s">
        <v>535</v>
      </c>
    </row>
    <row r="312" spans="2:5" x14ac:dyDescent="0.4">
      <c r="B312" s="218">
        <v>308</v>
      </c>
      <c r="C312" s="82" t="s">
        <v>9</v>
      </c>
      <c r="D312" s="2">
        <v>34132</v>
      </c>
      <c r="E312" s="85" t="s">
        <v>538</v>
      </c>
    </row>
    <row r="313" spans="2:5" x14ac:dyDescent="0.4">
      <c r="B313" s="219">
        <v>309</v>
      </c>
      <c r="C313" s="69" t="s">
        <v>248</v>
      </c>
      <c r="D313" s="2">
        <v>31910</v>
      </c>
      <c r="E313" s="85" t="s">
        <v>535</v>
      </c>
    </row>
    <row r="314" spans="2:5" x14ac:dyDescent="0.4">
      <c r="B314" s="218">
        <v>310</v>
      </c>
      <c r="C314" s="82" t="s">
        <v>528</v>
      </c>
      <c r="D314" s="2">
        <v>34133</v>
      </c>
      <c r="E314" s="85" t="s">
        <v>538</v>
      </c>
    </row>
    <row r="315" spans="2:5" x14ac:dyDescent="0.4">
      <c r="B315" s="218">
        <v>311</v>
      </c>
      <c r="C315" s="82" t="s">
        <v>528</v>
      </c>
      <c r="D315" s="2">
        <v>34137</v>
      </c>
      <c r="E315" s="85" t="s">
        <v>535</v>
      </c>
    </row>
    <row r="316" spans="2:5" x14ac:dyDescent="0.4">
      <c r="B316" s="218">
        <v>312</v>
      </c>
      <c r="C316" s="82" t="s">
        <v>9</v>
      </c>
      <c r="D316" s="2">
        <v>34144</v>
      </c>
      <c r="E316" s="85" t="s">
        <v>538</v>
      </c>
    </row>
    <row r="317" spans="2:5" x14ac:dyDescent="0.4">
      <c r="B317" s="218">
        <v>313</v>
      </c>
      <c r="C317" s="82" t="s">
        <v>9</v>
      </c>
      <c r="D317" s="2">
        <v>34144</v>
      </c>
      <c r="E317" s="85" t="s">
        <v>538</v>
      </c>
    </row>
    <row r="318" spans="2:5" x14ac:dyDescent="0.4">
      <c r="B318" s="218">
        <v>314</v>
      </c>
      <c r="C318" s="82" t="s">
        <v>9</v>
      </c>
      <c r="D318" s="2">
        <v>31910</v>
      </c>
      <c r="E318" s="85" t="s">
        <v>535</v>
      </c>
    </row>
    <row r="319" spans="2:5" x14ac:dyDescent="0.4">
      <c r="B319" s="219">
        <v>315</v>
      </c>
      <c r="C319" s="69" t="s">
        <v>248</v>
      </c>
      <c r="D319" s="2">
        <v>34137</v>
      </c>
      <c r="E319" s="85" t="s">
        <v>535</v>
      </c>
    </row>
    <row r="320" spans="2:5" x14ac:dyDescent="0.4">
      <c r="B320" s="218">
        <v>316</v>
      </c>
      <c r="C320" s="82" t="s">
        <v>9</v>
      </c>
      <c r="D320" s="2">
        <v>34138</v>
      </c>
      <c r="E320" s="85" t="s">
        <v>535</v>
      </c>
    </row>
    <row r="321" spans="2:5" x14ac:dyDescent="0.4">
      <c r="B321" s="218">
        <v>317</v>
      </c>
      <c r="C321" s="82" t="s">
        <v>9</v>
      </c>
      <c r="D321" s="2">
        <v>31213</v>
      </c>
      <c r="E321" s="85" t="s">
        <v>538</v>
      </c>
    </row>
    <row r="322" spans="2:5" x14ac:dyDescent="0.4">
      <c r="B322" s="218">
        <v>318</v>
      </c>
      <c r="C322" s="82" t="s">
        <v>9</v>
      </c>
      <c r="D322" s="2">
        <v>34135</v>
      </c>
      <c r="E322" s="85" t="s">
        <v>535</v>
      </c>
    </row>
    <row r="323" spans="2:5" x14ac:dyDescent="0.4">
      <c r="B323" s="218">
        <v>319</v>
      </c>
      <c r="C323" s="82" t="s">
        <v>9</v>
      </c>
      <c r="D323" s="2">
        <v>31211</v>
      </c>
      <c r="E323" s="85" t="s">
        <v>538</v>
      </c>
    </row>
    <row r="324" spans="2:5" x14ac:dyDescent="0.4">
      <c r="B324" s="219">
        <v>320</v>
      </c>
      <c r="C324" s="69" t="s">
        <v>248</v>
      </c>
      <c r="D324" s="2">
        <v>31213</v>
      </c>
      <c r="E324" s="85" t="s">
        <v>538</v>
      </c>
    </row>
    <row r="325" spans="2:5" x14ac:dyDescent="0.4">
      <c r="B325" s="218">
        <v>321</v>
      </c>
      <c r="C325" s="82" t="s">
        <v>9</v>
      </c>
      <c r="D325" s="2">
        <v>31214</v>
      </c>
      <c r="E325" s="85" t="s">
        <v>537</v>
      </c>
    </row>
    <row r="326" spans="2:5" x14ac:dyDescent="0.4">
      <c r="B326" s="218">
        <v>322</v>
      </c>
      <c r="C326" s="82" t="s">
        <v>9</v>
      </c>
      <c r="D326" s="2">
        <v>34137</v>
      </c>
      <c r="E326" s="85" t="s">
        <v>535</v>
      </c>
    </row>
    <row r="327" spans="2:5" x14ac:dyDescent="0.4">
      <c r="B327" s="218">
        <v>323</v>
      </c>
      <c r="C327" s="82" t="s">
        <v>9</v>
      </c>
      <c r="D327" s="2">
        <v>34143</v>
      </c>
      <c r="E327" s="85" t="s">
        <v>535</v>
      </c>
    </row>
    <row r="328" spans="2:5" x14ac:dyDescent="0.4">
      <c r="B328" s="218">
        <v>324</v>
      </c>
      <c r="C328" s="82" t="s">
        <v>9</v>
      </c>
      <c r="D328" s="2">
        <v>35152</v>
      </c>
      <c r="E328" s="85" t="s">
        <v>539</v>
      </c>
    </row>
    <row r="329" spans="2:5" x14ac:dyDescent="0.4">
      <c r="B329" s="218">
        <v>325</v>
      </c>
      <c r="C329" s="82" t="s">
        <v>9</v>
      </c>
      <c r="D329" s="2">
        <v>31211</v>
      </c>
      <c r="E329" s="85" t="s">
        <v>538</v>
      </c>
    </row>
    <row r="330" spans="2:5" x14ac:dyDescent="0.4">
      <c r="B330" s="219">
        <v>326</v>
      </c>
      <c r="C330" s="69" t="s">
        <v>248</v>
      </c>
      <c r="D330" s="70">
        <v>31206</v>
      </c>
      <c r="E330" s="85" t="s">
        <v>538</v>
      </c>
    </row>
    <row r="331" spans="2:5" x14ac:dyDescent="0.4">
      <c r="B331" s="218">
        <v>327</v>
      </c>
      <c r="C331" s="82" t="s">
        <v>9</v>
      </c>
      <c r="D331" s="2">
        <v>34132</v>
      </c>
      <c r="E331" s="85" t="s">
        <v>538</v>
      </c>
    </row>
    <row r="332" spans="2:5" x14ac:dyDescent="0.4">
      <c r="B332" s="219">
        <v>328</v>
      </c>
      <c r="C332" s="69" t="s">
        <v>248</v>
      </c>
      <c r="D332" s="2">
        <v>34132</v>
      </c>
      <c r="E332" s="85" t="s">
        <v>538</v>
      </c>
    </row>
    <row r="333" spans="2:5" x14ac:dyDescent="0.4">
      <c r="B333" s="212">
        <v>329</v>
      </c>
      <c r="C333" s="82" t="s">
        <v>9</v>
      </c>
      <c r="D333" s="2">
        <v>34132</v>
      </c>
      <c r="E333" s="85" t="s">
        <v>538</v>
      </c>
    </row>
    <row r="334" spans="2:5" x14ac:dyDescent="0.4">
      <c r="B334" s="218">
        <v>330</v>
      </c>
      <c r="C334" s="82" t="s">
        <v>9</v>
      </c>
      <c r="D334" s="2">
        <v>34134</v>
      </c>
      <c r="E334" s="85" t="s">
        <v>538</v>
      </c>
    </row>
    <row r="335" spans="2:5" x14ac:dyDescent="0.4">
      <c r="B335" s="219">
        <v>331</v>
      </c>
      <c r="C335" s="69" t="s">
        <v>248</v>
      </c>
      <c r="D335" s="2">
        <v>34144</v>
      </c>
      <c r="E335" s="85" t="s">
        <v>538</v>
      </c>
    </row>
    <row r="336" spans="2:5" x14ac:dyDescent="0.4">
      <c r="B336" s="219">
        <v>332</v>
      </c>
      <c r="C336" s="69" t="s">
        <v>248</v>
      </c>
      <c r="D336" s="70">
        <v>31205</v>
      </c>
      <c r="E336" s="85" t="s">
        <v>538</v>
      </c>
    </row>
    <row r="337" spans="2:5" x14ac:dyDescent="0.4">
      <c r="B337" s="212">
        <v>333</v>
      </c>
      <c r="C337" s="82" t="s">
        <v>9</v>
      </c>
      <c r="D337" s="2">
        <v>31208</v>
      </c>
      <c r="E337" s="85" t="s">
        <v>538</v>
      </c>
    </row>
    <row r="338" spans="2:5" x14ac:dyDescent="0.4">
      <c r="B338" s="218">
        <v>334</v>
      </c>
      <c r="C338" s="82" t="s">
        <v>9</v>
      </c>
      <c r="D338" s="2">
        <v>35153</v>
      </c>
      <c r="E338" s="85" t="s">
        <v>539</v>
      </c>
    </row>
    <row r="339" spans="2:5" x14ac:dyDescent="0.4">
      <c r="B339" s="218">
        <v>335</v>
      </c>
      <c r="C339" s="82" t="s">
        <v>9</v>
      </c>
      <c r="D339" s="2">
        <v>34140</v>
      </c>
      <c r="E339" s="85" t="s">
        <v>535</v>
      </c>
    </row>
    <row r="340" spans="2:5" x14ac:dyDescent="0.4">
      <c r="B340" s="218">
        <v>336</v>
      </c>
      <c r="C340" s="82" t="s">
        <v>528</v>
      </c>
      <c r="D340" s="2">
        <v>34134</v>
      </c>
      <c r="E340" s="85" t="s">
        <v>538</v>
      </c>
    </row>
    <row r="341" spans="2:5" x14ac:dyDescent="0.4">
      <c r="B341" s="212">
        <v>337</v>
      </c>
      <c r="C341" s="82" t="s">
        <v>9</v>
      </c>
      <c r="D341" s="2">
        <v>35144</v>
      </c>
      <c r="E341" s="85" t="s">
        <v>539</v>
      </c>
    </row>
    <row r="342" spans="2:5" x14ac:dyDescent="0.4">
      <c r="B342" s="218">
        <v>338</v>
      </c>
      <c r="C342" s="82" t="s">
        <v>9</v>
      </c>
      <c r="D342" s="2">
        <v>31215</v>
      </c>
      <c r="E342" s="85" t="s">
        <v>537</v>
      </c>
    </row>
    <row r="343" spans="2:5" x14ac:dyDescent="0.4">
      <c r="B343" s="218">
        <v>339</v>
      </c>
      <c r="C343" s="82" t="s">
        <v>9</v>
      </c>
      <c r="D343" s="2">
        <v>31208</v>
      </c>
      <c r="E343" s="85" t="s">
        <v>538</v>
      </c>
    </row>
    <row r="344" spans="2:5" x14ac:dyDescent="0.4">
      <c r="B344" s="218">
        <v>340</v>
      </c>
      <c r="C344" s="82" t="s">
        <v>9</v>
      </c>
      <c r="D344" s="2">
        <v>34132</v>
      </c>
      <c r="E344" s="85" t="s">
        <v>538</v>
      </c>
    </row>
    <row r="345" spans="2:5" x14ac:dyDescent="0.4">
      <c r="B345" s="218">
        <v>341</v>
      </c>
      <c r="C345" s="82" t="s">
        <v>9</v>
      </c>
      <c r="D345" s="2">
        <v>34136</v>
      </c>
      <c r="E345" s="85" t="s">
        <v>538</v>
      </c>
    </row>
    <row r="346" spans="2:5" x14ac:dyDescent="0.4">
      <c r="B346" s="218">
        <v>342</v>
      </c>
      <c r="C346" s="82" t="s">
        <v>9</v>
      </c>
      <c r="D346" s="82">
        <v>31214</v>
      </c>
      <c r="E346" s="85" t="s">
        <v>537</v>
      </c>
    </row>
    <row r="347" spans="2:5" x14ac:dyDescent="0.4">
      <c r="B347" s="218">
        <v>343</v>
      </c>
      <c r="C347" s="82" t="s">
        <v>9</v>
      </c>
      <c r="D347" s="82">
        <v>31208</v>
      </c>
      <c r="E347" s="85" t="s">
        <v>538</v>
      </c>
    </row>
    <row r="348" spans="2:5" x14ac:dyDescent="0.4">
      <c r="B348" s="219">
        <v>344</v>
      </c>
      <c r="C348" s="69" t="s">
        <v>248</v>
      </c>
      <c r="D348" s="82">
        <v>31208</v>
      </c>
      <c r="E348" s="85" t="s">
        <v>538</v>
      </c>
    </row>
    <row r="349" spans="2:5" x14ac:dyDescent="0.4">
      <c r="B349" s="218">
        <v>345</v>
      </c>
      <c r="C349" s="82" t="s">
        <v>9</v>
      </c>
      <c r="D349" s="82">
        <v>34132</v>
      </c>
      <c r="E349" s="85" t="s">
        <v>538</v>
      </c>
    </row>
    <row r="350" spans="2:5" x14ac:dyDescent="0.4">
      <c r="B350" s="218">
        <v>346</v>
      </c>
      <c r="C350" s="82" t="s">
        <v>9</v>
      </c>
      <c r="D350" s="82">
        <v>31214</v>
      </c>
      <c r="E350" s="85" t="s">
        <v>537</v>
      </c>
    </row>
    <row r="351" spans="2:5" x14ac:dyDescent="0.4">
      <c r="B351" s="218">
        <v>347</v>
      </c>
      <c r="C351" s="82" t="s">
        <v>9</v>
      </c>
      <c r="D351" s="82">
        <v>31211</v>
      </c>
      <c r="E351" s="85" t="s">
        <v>538</v>
      </c>
    </row>
    <row r="352" spans="2:5" x14ac:dyDescent="0.4">
      <c r="B352" s="218">
        <v>348</v>
      </c>
      <c r="C352" s="82" t="s">
        <v>9</v>
      </c>
      <c r="D352" s="82">
        <v>31205</v>
      </c>
      <c r="E352" s="85" t="s">
        <v>538</v>
      </c>
    </row>
    <row r="353" spans="2:5" x14ac:dyDescent="0.4">
      <c r="B353" s="218">
        <v>349</v>
      </c>
      <c r="C353" s="82" t="s">
        <v>9</v>
      </c>
      <c r="D353" s="82">
        <v>34132</v>
      </c>
      <c r="E353" s="85" t="s">
        <v>538</v>
      </c>
    </row>
    <row r="354" spans="2:5" x14ac:dyDescent="0.4">
      <c r="B354" s="219">
        <v>350</v>
      </c>
      <c r="C354" s="69" t="s">
        <v>248</v>
      </c>
      <c r="D354" s="69">
        <v>34142</v>
      </c>
      <c r="E354" s="85" t="s">
        <v>535</v>
      </c>
    </row>
    <row r="355" spans="2:5" x14ac:dyDescent="0.4">
      <c r="B355" s="218">
        <v>351</v>
      </c>
      <c r="C355" s="82" t="s">
        <v>9</v>
      </c>
      <c r="D355" s="82">
        <v>34132</v>
      </c>
      <c r="E355" s="85" t="s">
        <v>538</v>
      </c>
    </row>
    <row r="356" spans="2:5" x14ac:dyDescent="0.4">
      <c r="B356" s="218">
        <v>352</v>
      </c>
      <c r="C356" s="82" t="s">
        <v>9</v>
      </c>
      <c r="D356" s="82">
        <v>31206</v>
      </c>
      <c r="E356" s="85" t="s">
        <v>538</v>
      </c>
    </row>
    <row r="357" spans="2:5" x14ac:dyDescent="0.4">
      <c r="B357" s="218">
        <v>353</v>
      </c>
      <c r="C357" s="82" t="s">
        <v>9</v>
      </c>
      <c r="D357" s="82">
        <v>31214</v>
      </c>
      <c r="E357" s="85" t="s">
        <v>537</v>
      </c>
    </row>
    <row r="358" spans="2:5" x14ac:dyDescent="0.4">
      <c r="B358" s="218">
        <v>354</v>
      </c>
      <c r="C358" s="82" t="s">
        <v>9</v>
      </c>
      <c r="D358" s="82">
        <v>34144</v>
      </c>
      <c r="E358" s="85" t="s">
        <v>538</v>
      </c>
    </row>
    <row r="359" spans="2:5" x14ac:dyDescent="0.4">
      <c r="B359" s="218">
        <v>355</v>
      </c>
      <c r="C359" s="82" t="s">
        <v>9</v>
      </c>
      <c r="D359" s="82">
        <v>31206</v>
      </c>
      <c r="E359" s="85" t="s">
        <v>538</v>
      </c>
    </row>
    <row r="360" spans="2:5" x14ac:dyDescent="0.4">
      <c r="B360" s="218">
        <v>356</v>
      </c>
      <c r="C360" s="82" t="s">
        <v>9</v>
      </c>
      <c r="D360" s="82">
        <v>31211</v>
      </c>
      <c r="E360" s="85" t="s">
        <v>538</v>
      </c>
    </row>
    <row r="361" spans="2:5" x14ac:dyDescent="0.4">
      <c r="B361" s="218">
        <v>357</v>
      </c>
      <c r="C361" s="82" t="s">
        <v>9</v>
      </c>
      <c r="D361" s="82">
        <v>34141</v>
      </c>
      <c r="E361" s="85" t="s">
        <v>537</v>
      </c>
    </row>
    <row r="362" spans="2:5" x14ac:dyDescent="0.4">
      <c r="B362" s="218">
        <v>358</v>
      </c>
      <c r="C362" s="82" t="s">
        <v>9</v>
      </c>
      <c r="D362" s="82">
        <v>34144</v>
      </c>
      <c r="E362" s="85" t="s">
        <v>538</v>
      </c>
    </row>
    <row r="363" spans="2:5" x14ac:dyDescent="0.4">
      <c r="B363" s="218">
        <v>359</v>
      </c>
      <c r="C363" s="82" t="s">
        <v>9</v>
      </c>
      <c r="D363" s="82">
        <v>35149</v>
      </c>
      <c r="E363" s="85" t="s">
        <v>539</v>
      </c>
    </row>
    <row r="364" spans="2:5" x14ac:dyDescent="0.4">
      <c r="B364" s="218">
        <v>360</v>
      </c>
      <c r="C364" s="82" t="s">
        <v>9</v>
      </c>
      <c r="D364" s="82">
        <v>34144</v>
      </c>
      <c r="E364" s="85" t="s">
        <v>538</v>
      </c>
    </row>
    <row r="365" spans="2:5" x14ac:dyDescent="0.4">
      <c r="B365" s="218">
        <v>361</v>
      </c>
      <c r="C365" s="82" t="s">
        <v>9</v>
      </c>
      <c r="D365" s="82">
        <v>31215</v>
      </c>
      <c r="E365" s="85" t="s">
        <v>537</v>
      </c>
    </row>
    <row r="366" spans="2:5" x14ac:dyDescent="0.4">
      <c r="B366" s="218">
        <v>362</v>
      </c>
      <c r="C366" s="82" t="s">
        <v>9</v>
      </c>
      <c r="D366" s="82">
        <v>31214</v>
      </c>
      <c r="E366" s="85" t="s">
        <v>537</v>
      </c>
    </row>
    <row r="367" spans="2:5" x14ac:dyDescent="0.4">
      <c r="B367" s="218">
        <v>363</v>
      </c>
      <c r="C367" s="82" t="s">
        <v>9</v>
      </c>
      <c r="D367" s="82">
        <v>31214</v>
      </c>
      <c r="E367" s="85" t="s">
        <v>537</v>
      </c>
    </row>
    <row r="368" spans="2:5" x14ac:dyDescent="0.4">
      <c r="B368" s="218">
        <v>364</v>
      </c>
      <c r="C368" s="82" t="s">
        <v>9</v>
      </c>
      <c r="D368" s="82">
        <v>31214</v>
      </c>
      <c r="E368" s="85" t="s">
        <v>537</v>
      </c>
    </row>
    <row r="369" spans="2:5" x14ac:dyDescent="0.4">
      <c r="B369" s="218">
        <v>365</v>
      </c>
      <c r="C369" s="82" t="s">
        <v>9</v>
      </c>
      <c r="D369" s="82">
        <v>31208</v>
      </c>
      <c r="E369" s="85" t="s">
        <v>538</v>
      </c>
    </row>
    <row r="370" spans="2:5" x14ac:dyDescent="0.4">
      <c r="B370" s="219">
        <v>366</v>
      </c>
      <c r="C370" s="69" t="s">
        <v>248</v>
      </c>
      <c r="D370" s="69">
        <v>34136</v>
      </c>
      <c r="E370" s="85" t="s">
        <v>538</v>
      </c>
    </row>
    <row r="371" spans="2:5" x14ac:dyDescent="0.4">
      <c r="B371" s="219">
        <v>367</v>
      </c>
      <c r="C371" s="69" t="s">
        <v>248</v>
      </c>
      <c r="D371" s="69">
        <v>35148</v>
      </c>
      <c r="E371" s="85" t="s">
        <v>539</v>
      </c>
    </row>
    <row r="372" spans="2:5" x14ac:dyDescent="0.4">
      <c r="B372" s="218">
        <v>368</v>
      </c>
      <c r="C372" s="82" t="s">
        <v>528</v>
      </c>
      <c r="D372" s="82">
        <v>34134</v>
      </c>
      <c r="E372" s="85" t="s">
        <v>538</v>
      </c>
    </row>
    <row r="373" spans="2:5" x14ac:dyDescent="0.4">
      <c r="B373" s="218">
        <v>369</v>
      </c>
      <c r="C373" s="82" t="s">
        <v>9</v>
      </c>
      <c r="D373" s="82">
        <v>31205</v>
      </c>
      <c r="E373" s="85" t="s">
        <v>538</v>
      </c>
    </row>
    <row r="374" spans="2:5" x14ac:dyDescent="0.4">
      <c r="B374" s="218">
        <v>370</v>
      </c>
      <c r="C374" s="82" t="s">
        <v>9</v>
      </c>
      <c r="D374" s="82">
        <v>31214</v>
      </c>
      <c r="E374" s="85" t="s">
        <v>537</v>
      </c>
    </row>
    <row r="375" spans="2:5" x14ac:dyDescent="0.4">
      <c r="B375" s="218">
        <v>371</v>
      </c>
      <c r="C375" s="82" t="s">
        <v>9</v>
      </c>
      <c r="D375" s="82">
        <v>31214</v>
      </c>
      <c r="E375" s="85" t="s">
        <v>537</v>
      </c>
    </row>
    <row r="376" spans="2:5" x14ac:dyDescent="0.4">
      <c r="B376" s="218">
        <v>372</v>
      </c>
      <c r="C376" s="82" t="s">
        <v>9</v>
      </c>
      <c r="D376" s="82">
        <v>34139</v>
      </c>
      <c r="E376" s="85" t="s">
        <v>535</v>
      </c>
    </row>
    <row r="377" spans="2:5" x14ac:dyDescent="0.4">
      <c r="B377" s="218">
        <v>373</v>
      </c>
      <c r="C377" s="82" t="s">
        <v>9</v>
      </c>
      <c r="D377" s="82">
        <v>35146</v>
      </c>
      <c r="E377" s="85" t="s">
        <v>539</v>
      </c>
    </row>
    <row r="378" spans="2:5" x14ac:dyDescent="0.4">
      <c r="B378" s="218">
        <v>374</v>
      </c>
      <c r="C378" s="82" t="s">
        <v>9</v>
      </c>
      <c r="D378" s="82">
        <v>31207</v>
      </c>
      <c r="E378" s="85" t="s">
        <v>538</v>
      </c>
    </row>
    <row r="379" spans="2:5" x14ac:dyDescent="0.4">
      <c r="B379" s="218">
        <v>375</v>
      </c>
      <c r="C379" s="82" t="s">
        <v>9</v>
      </c>
      <c r="D379" s="82">
        <v>31212</v>
      </c>
      <c r="E379" s="85" t="s">
        <v>538</v>
      </c>
    </row>
    <row r="380" spans="2:5" x14ac:dyDescent="0.4">
      <c r="B380" s="219">
        <v>376</v>
      </c>
      <c r="C380" s="69" t="s">
        <v>248</v>
      </c>
      <c r="D380" s="69">
        <v>34141</v>
      </c>
      <c r="E380" s="85" t="s">
        <v>537</v>
      </c>
    </row>
    <row r="381" spans="2:5" x14ac:dyDescent="0.4">
      <c r="B381" s="218">
        <v>377</v>
      </c>
      <c r="C381" s="82" t="s">
        <v>9</v>
      </c>
      <c r="D381" s="82">
        <v>35151</v>
      </c>
      <c r="E381" s="85" t="s">
        <v>539</v>
      </c>
    </row>
    <row r="382" spans="2:5" x14ac:dyDescent="0.4">
      <c r="B382" s="218">
        <v>378</v>
      </c>
      <c r="C382" s="82" t="s">
        <v>9</v>
      </c>
      <c r="D382" s="82">
        <v>34131</v>
      </c>
      <c r="E382" s="85" t="s">
        <v>537</v>
      </c>
    </row>
    <row r="383" spans="2:5" x14ac:dyDescent="0.4">
      <c r="B383" s="218">
        <v>379</v>
      </c>
      <c r="C383" s="82" t="s">
        <v>9</v>
      </c>
      <c r="D383" s="82">
        <v>34136</v>
      </c>
      <c r="E383" s="85" t="s">
        <v>538</v>
      </c>
    </row>
    <row r="384" spans="2:5" x14ac:dyDescent="0.4">
      <c r="B384" s="218">
        <v>380</v>
      </c>
      <c r="C384" s="82" t="s">
        <v>9</v>
      </c>
      <c r="D384" s="82">
        <v>31210</v>
      </c>
      <c r="E384" s="85" t="s">
        <v>538</v>
      </c>
    </row>
    <row r="385" spans="2:5" x14ac:dyDescent="0.4">
      <c r="B385" s="218">
        <v>381</v>
      </c>
      <c r="C385" s="82" t="s">
        <v>9</v>
      </c>
      <c r="D385" s="82">
        <v>34137</v>
      </c>
      <c r="E385" s="85" t="s">
        <v>535</v>
      </c>
    </row>
    <row r="386" spans="2:5" x14ac:dyDescent="0.4">
      <c r="B386" s="218">
        <v>382</v>
      </c>
      <c r="C386" s="82" t="s">
        <v>9</v>
      </c>
      <c r="D386" s="82">
        <v>35149</v>
      </c>
      <c r="E386" s="85" t="s">
        <v>539</v>
      </c>
    </row>
    <row r="387" spans="2:5" x14ac:dyDescent="0.4">
      <c r="B387" s="218">
        <v>383</v>
      </c>
      <c r="C387" s="82" t="s">
        <v>9</v>
      </c>
      <c r="D387" s="82">
        <v>31209</v>
      </c>
      <c r="E387" s="85" t="s">
        <v>538</v>
      </c>
    </row>
    <row r="388" spans="2:5" x14ac:dyDescent="0.4">
      <c r="B388" s="218">
        <v>384</v>
      </c>
      <c r="C388" s="82" t="s">
        <v>9</v>
      </c>
      <c r="D388" s="82">
        <v>31214</v>
      </c>
      <c r="E388" s="85" t="s">
        <v>537</v>
      </c>
    </row>
    <row r="389" spans="2:5" x14ac:dyDescent="0.4">
      <c r="B389" s="218">
        <v>385</v>
      </c>
      <c r="C389" s="82" t="s">
        <v>9</v>
      </c>
      <c r="D389" s="82">
        <v>31210</v>
      </c>
      <c r="E389" s="85" t="s">
        <v>538</v>
      </c>
    </row>
    <row r="390" spans="2:5" x14ac:dyDescent="0.4">
      <c r="B390" s="218">
        <v>386</v>
      </c>
      <c r="C390" s="82" t="s">
        <v>9</v>
      </c>
      <c r="D390" s="82">
        <v>34149</v>
      </c>
      <c r="E390" s="85" t="s">
        <v>537</v>
      </c>
    </row>
    <row r="391" spans="2:5" x14ac:dyDescent="0.4">
      <c r="B391" s="218">
        <v>387</v>
      </c>
      <c r="C391" s="82" t="s">
        <v>9</v>
      </c>
      <c r="D391" s="82">
        <v>34133</v>
      </c>
      <c r="E391" s="85" t="s">
        <v>538</v>
      </c>
    </row>
    <row r="392" spans="2:5" x14ac:dyDescent="0.4">
      <c r="B392" s="218">
        <v>388</v>
      </c>
      <c r="C392" s="82" t="s">
        <v>528</v>
      </c>
      <c r="D392" s="82">
        <v>34149</v>
      </c>
      <c r="E392" s="85" t="s">
        <v>537</v>
      </c>
    </row>
    <row r="393" spans="2:5" x14ac:dyDescent="0.4">
      <c r="B393" s="236">
        <v>389</v>
      </c>
      <c r="C393" s="82" t="s">
        <v>9</v>
      </c>
      <c r="D393" s="82">
        <v>31212</v>
      </c>
      <c r="E393" s="85" t="s">
        <v>538</v>
      </c>
    </row>
    <row r="394" spans="2:5" x14ac:dyDescent="0.4">
      <c r="B394" s="218">
        <v>390</v>
      </c>
      <c r="C394" s="82" t="s">
        <v>9</v>
      </c>
      <c r="D394" s="82">
        <v>35146</v>
      </c>
      <c r="E394" s="85" t="s">
        <v>539</v>
      </c>
    </row>
    <row r="395" spans="2:5" x14ac:dyDescent="0.4">
      <c r="B395" s="218">
        <v>391</v>
      </c>
      <c r="C395" s="82" t="s">
        <v>9</v>
      </c>
      <c r="D395" s="82">
        <v>31215</v>
      </c>
      <c r="E395" s="85" t="s">
        <v>537</v>
      </c>
    </row>
    <row r="396" spans="2:5" x14ac:dyDescent="0.4">
      <c r="B396" s="218">
        <v>392</v>
      </c>
      <c r="C396" s="82" t="s">
        <v>9</v>
      </c>
      <c r="D396" s="82">
        <v>34147</v>
      </c>
      <c r="E396" s="85" t="s">
        <v>535</v>
      </c>
    </row>
    <row r="397" spans="2:5" x14ac:dyDescent="0.4">
      <c r="B397" s="218">
        <v>393</v>
      </c>
      <c r="C397" s="82" t="s">
        <v>9</v>
      </c>
      <c r="D397" s="82">
        <v>35148</v>
      </c>
      <c r="E397" s="85" t="s">
        <v>539</v>
      </c>
    </row>
    <row r="398" spans="2:5" x14ac:dyDescent="0.4">
      <c r="B398" s="218">
        <v>394</v>
      </c>
      <c r="C398" s="82" t="s">
        <v>9</v>
      </c>
      <c r="D398" s="82">
        <v>34143</v>
      </c>
      <c r="E398" s="85" t="s">
        <v>535</v>
      </c>
    </row>
    <row r="399" spans="2:5" x14ac:dyDescent="0.4">
      <c r="B399" s="218">
        <v>395</v>
      </c>
      <c r="C399" s="82" t="s">
        <v>9</v>
      </c>
      <c r="D399" s="82">
        <v>34146</v>
      </c>
      <c r="E399" s="85" t="s">
        <v>535</v>
      </c>
    </row>
    <row r="400" spans="2:5" x14ac:dyDescent="0.4">
      <c r="B400" s="218">
        <v>396</v>
      </c>
      <c r="C400" s="82" t="s">
        <v>9</v>
      </c>
      <c r="D400" s="82">
        <v>34132</v>
      </c>
      <c r="E400" s="85" t="s">
        <v>538</v>
      </c>
    </row>
    <row r="401" spans="2:5" x14ac:dyDescent="0.4">
      <c r="B401" s="218">
        <v>397</v>
      </c>
      <c r="C401" s="82" t="s">
        <v>9</v>
      </c>
      <c r="D401" s="82">
        <v>35152</v>
      </c>
      <c r="E401" s="85" t="s">
        <v>539</v>
      </c>
    </row>
    <row r="402" spans="2:5" x14ac:dyDescent="0.4">
      <c r="B402" s="218">
        <v>398</v>
      </c>
      <c r="C402" s="82" t="s">
        <v>9</v>
      </c>
      <c r="D402" s="82">
        <v>31214</v>
      </c>
      <c r="E402" s="85" t="s">
        <v>537</v>
      </c>
    </row>
    <row r="403" spans="2:5" x14ac:dyDescent="0.4">
      <c r="B403" s="218">
        <v>399</v>
      </c>
      <c r="C403" s="82" t="s">
        <v>9</v>
      </c>
      <c r="D403" s="82">
        <v>34140</v>
      </c>
      <c r="E403" s="85" t="s">
        <v>535</v>
      </c>
    </row>
    <row r="404" spans="2:5" x14ac:dyDescent="0.4">
      <c r="B404" s="218">
        <v>400</v>
      </c>
      <c r="C404" s="82" t="s">
        <v>9</v>
      </c>
      <c r="D404" s="82">
        <v>34133</v>
      </c>
      <c r="E404" s="85" t="s">
        <v>538</v>
      </c>
    </row>
    <row r="405" spans="2:5" x14ac:dyDescent="0.4">
      <c r="B405" s="218">
        <v>401</v>
      </c>
      <c r="C405" s="82" t="s">
        <v>9</v>
      </c>
      <c r="D405" s="82">
        <v>34147</v>
      </c>
      <c r="E405" s="85" t="s">
        <v>535</v>
      </c>
    </row>
    <row r="406" spans="2:5" x14ac:dyDescent="0.4">
      <c r="B406" s="218">
        <v>402</v>
      </c>
      <c r="C406" s="82" t="s">
        <v>9</v>
      </c>
      <c r="D406" s="82">
        <v>34141</v>
      </c>
      <c r="E406" s="85" t="s">
        <v>537</v>
      </c>
    </row>
    <row r="407" spans="2:5" x14ac:dyDescent="0.4">
      <c r="B407" s="218">
        <v>403</v>
      </c>
      <c r="C407" s="82" t="s">
        <v>9</v>
      </c>
      <c r="D407" s="82">
        <v>34149</v>
      </c>
      <c r="E407" s="85" t="s">
        <v>537</v>
      </c>
    </row>
    <row r="408" spans="2:5" x14ac:dyDescent="0.4">
      <c r="B408" s="218">
        <v>404</v>
      </c>
      <c r="C408" s="82" t="s">
        <v>528</v>
      </c>
      <c r="D408" s="82">
        <v>34148</v>
      </c>
      <c r="E408" s="85" t="s">
        <v>537</v>
      </c>
    </row>
    <row r="409" spans="2:5" x14ac:dyDescent="0.4">
      <c r="B409" s="218">
        <v>405</v>
      </c>
      <c r="C409" s="82" t="s">
        <v>9</v>
      </c>
      <c r="D409" s="82">
        <v>31208</v>
      </c>
      <c r="E409" s="85" t="s">
        <v>538</v>
      </c>
    </row>
    <row r="410" spans="2:5" x14ac:dyDescent="0.4">
      <c r="B410" s="218">
        <v>406</v>
      </c>
      <c r="C410" s="82" t="s">
        <v>9</v>
      </c>
      <c r="D410" s="82">
        <v>34133</v>
      </c>
      <c r="E410" s="85" t="s">
        <v>538</v>
      </c>
    </row>
    <row r="411" spans="2:5" x14ac:dyDescent="0.4">
      <c r="B411" s="218">
        <v>407</v>
      </c>
      <c r="C411" s="82" t="s">
        <v>9</v>
      </c>
      <c r="D411" s="82">
        <v>34134</v>
      </c>
      <c r="E411" s="85" t="s">
        <v>538</v>
      </c>
    </row>
    <row r="412" spans="2:5" x14ac:dyDescent="0.4">
      <c r="B412" s="218">
        <v>408</v>
      </c>
      <c r="C412" s="82" t="s">
        <v>9</v>
      </c>
      <c r="D412" s="82">
        <v>34132</v>
      </c>
      <c r="E412" s="85" t="s">
        <v>538</v>
      </c>
    </row>
    <row r="413" spans="2:5" x14ac:dyDescent="0.4">
      <c r="B413" s="218">
        <v>409</v>
      </c>
      <c r="C413" s="82" t="s">
        <v>9</v>
      </c>
      <c r="D413" s="82">
        <v>31206</v>
      </c>
      <c r="E413" s="85" t="s">
        <v>538</v>
      </c>
    </row>
    <row r="414" spans="2:5" x14ac:dyDescent="0.4">
      <c r="B414" s="218">
        <v>410</v>
      </c>
      <c r="C414" s="82" t="s">
        <v>9</v>
      </c>
      <c r="D414" s="82">
        <v>34148</v>
      </c>
      <c r="E414" s="85" t="s">
        <v>537</v>
      </c>
    </row>
    <row r="415" spans="2:5" x14ac:dyDescent="0.4">
      <c r="B415" s="218">
        <v>411</v>
      </c>
      <c r="C415" s="82" t="s">
        <v>9</v>
      </c>
      <c r="D415" s="82">
        <v>34140</v>
      </c>
      <c r="E415" s="85" t="s">
        <v>535</v>
      </c>
    </row>
    <row r="416" spans="2:5" x14ac:dyDescent="0.4">
      <c r="B416" s="218">
        <v>412</v>
      </c>
      <c r="C416" s="82" t="s">
        <v>9</v>
      </c>
      <c r="D416" s="82">
        <v>35144</v>
      </c>
      <c r="E416" s="85" t="s">
        <v>539</v>
      </c>
    </row>
    <row r="417" spans="2:5" x14ac:dyDescent="0.4">
      <c r="B417" s="218">
        <v>413</v>
      </c>
      <c r="C417" s="82" t="s">
        <v>9</v>
      </c>
      <c r="D417" s="82">
        <v>34138</v>
      </c>
      <c r="E417" s="85" t="s">
        <v>535</v>
      </c>
    </row>
    <row r="418" spans="2:5" x14ac:dyDescent="0.4">
      <c r="B418" s="218">
        <v>414</v>
      </c>
      <c r="C418" s="82" t="s">
        <v>9</v>
      </c>
      <c r="D418" s="82">
        <v>34132</v>
      </c>
      <c r="E418" s="85" t="s">
        <v>538</v>
      </c>
    </row>
    <row r="419" spans="2:5" x14ac:dyDescent="0.4">
      <c r="B419" s="218">
        <v>415</v>
      </c>
      <c r="C419" s="82" t="s">
        <v>9</v>
      </c>
      <c r="D419" s="82">
        <v>34136</v>
      </c>
      <c r="E419" s="85" t="s">
        <v>538</v>
      </c>
    </row>
    <row r="420" spans="2:5" x14ac:dyDescent="0.4">
      <c r="B420" s="218">
        <v>416</v>
      </c>
      <c r="C420" s="82" t="s">
        <v>9</v>
      </c>
      <c r="D420" s="82">
        <v>31210</v>
      </c>
      <c r="E420" s="85" t="s">
        <v>538</v>
      </c>
    </row>
    <row r="421" spans="2:5" x14ac:dyDescent="0.4">
      <c r="B421" s="218">
        <v>417</v>
      </c>
      <c r="C421" s="82" t="s">
        <v>9</v>
      </c>
      <c r="D421" s="82">
        <v>35153</v>
      </c>
      <c r="E421" s="85" t="s">
        <v>539</v>
      </c>
    </row>
    <row r="422" spans="2:5" x14ac:dyDescent="0.4">
      <c r="B422" s="218">
        <v>418</v>
      </c>
      <c r="C422" s="82" t="s">
        <v>9</v>
      </c>
      <c r="D422" s="82">
        <v>35144</v>
      </c>
      <c r="E422" s="85" t="s">
        <v>539</v>
      </c>
    </row>
    <row r="423" spans="2:5" x14ac:dyDescent="0.4">
      <c r="B423" s="218">
        <v>419</v>
      </c>
      <c r="C423" s="82" t="s">
        <v>528</v>
      </c>
      <c r="D423" s="82">
        <v>34133</v>
      </c>
      <c r="E423" s="85" t="s">
        <v>538</v>
      </c>
    </row>
    <row r="424" spans="2:5" x14ac:dyDescent="0.4">
      <c r="B424" s="218">
        <v>420</v>
      </c>
      <c r="C424" s="82" t="s">
        <v>528</v>
      </c>
      <c r="D424" s="82">
        <v>34132</v>
      </c>
      <c r="E424" s="85" t="s">
        <v>538</v>
      </c>
    </row>
    <row r="425" spans="2:5" x14ac:dyDescent="0.4">
      <c r="B425" s="218">
        <v>421</v>
      </c>
      <c r="C425" s="82" t="s">
        <v>9</v>
      </c>
      <c r="D425" s="82">
        <v>34132</v>
      </c>
      <c r="E425" s="85" t="s">
        <v>538</v>
      </c>
    </row>
    <row r="426" spans="2:5" x14ac:dyDescent="0.4">
      <c r="B426" s="218">
        <v>422</v>
      </c>
      <c r="C426" s="82" t="s">
        <v>9</v>
      </c>
      <c r="D426" s="82">
        <v>31210</v>
      </c>
      <c r="E426" s="85" t="s">
        <v>538</v>
      </c>
    </row>
    <row r="427" spans="2:5" x14ac:dyDescent="0.4">
      <c r="B427" s="218">
        <v>423</v>
      </c>
      <c r="C427" s="82" t="s">
        <v>9</v>
      </c>
      <c r="D427" s="82">
        <v>31210</v>
      </c>
      <c r="E427" s="85" t="s">
        <v>538</v>
      </c>
    </row>
    <row r="428" spans="2:5" x14ac:dyDescent="0.4">
      <c r="B428" s="218">
        <v>424</v>
      </c>
      <c r="C428" s="82" t="s">
        <v>9</v>
      </c>
      <c r="D428" s="82">
        <v>31204</v>
      </c>
      <c r="E428" s="85" t="s">
        <v>538</v>
      </c>
    </row>
    <row r="429" spans="2:5" x14ac:dyDescent="0.4">
      <c r="B429" s="218">
        <v>425</v>
      </c>
      <c r="C429" s="82" t="s">
        <v>9</v>
      </c>
      <c r="D429" s="82">
        <v>34133</v>
      </c>
      <c r="E429" s="85" t="s">
        <v>538</v>
      </c>
    </row>
    <row r="430" spans="2:5" x14ac:dyDescent="0.4">
      <c r="B430" s="218">
        <v>426</v>
      </c>
      <c r="C430" s="82" t="s">
        <v>9</v>
      </c>
      <c r="D430" s="82">
        <v>34149</v>
      </c>
      <c r="E430" s="85" t="s">
        <v>537</v>
      </c>
    </row>
    <row r="431" spans="2:5" x14ac:dyDescent="0.4">
      <c r="B431" s="218">
        <v>427</v>
      </c>
      <c r="C431" s="82" t="s">
        <v>9</v>
      </c>
      <c r="D431" s="82">
        <v>31213</v>
      </c>
      <c r="E431" s="85" t="s">
        <v>538</v>
      </c>
    </row>
    <row r="432" spans="2:5" x14ac:dyDescent="0.4">
      <c r="B432" s="218">
        <v>428</v>
      </c>
      <c r="C432" s="82" t="s">
        <v>9</v>
      </c>
      <c r="D432" s="82">
        <v>34133</v>
      </c>
      <c r="E432" s="85" t="s">
        <v>538</v>
      </c>
    </row>
    <row r="433" spans="2:5" x14ac:dyDescent="0.4">
      <c r="B433" s="218">
        <v>429</v>
      </c>
      <c r="C433" s="82" t="s">
        <v>9</v>
      </c>
      <c r="D433" s="82">
        <v>35145</v>
      </c>
      <c r="E433" s="85" t="s">
        <v>539</v>
      </c>
    </row>
    <row r="434" spans="2:5" x14ac:dyDescent="0.4">
      <c r="B434" s="218">
        <v>430</v>
      </c>
      <c r="C434" s="82" t="s">
        <v>9</v>
      </c>
      <c r="D434" s="82">
        <v>35150</v>
      </c>
      <c r="E434" s="85" t="s">
        <v>539</v>
      </c>
    </row>
    <row r="435" spans="2:5" x14ac:dyDescent="0.4">
      <c r="B435" s="218">
        <v>431</v>
      </c>
      <c r="C435" s="82" t="s">
        <v>9</v>
      </c>
      <c r="D435" s="82">
        <v>31210</v>
      </c>
      <c r="E435" s="85" t="s">
        <v>538</v>
      </c>
    </row>
    <row r="436" spans="2:5" x14ac:dyDescent="0.4">
      <c r="B436" s="213">
        <v>432</v>
      </c>
      <c r="C436" s="82" t="s">
        <v>9</v>
      </c>
      <c r="D436" s="82">
        <v>34147</v>
      </c>
      <c r="E436" s="85" t="s">
        <v>535</v>
      </c>
    </row>
    <row r="437" spans="2:5" x14ac:dyDescent="0.4">
      <c r="B437" s="213">
        <v>433</v>
      </c>
      <c r="C437" s="82" t="s">
        <v>9</v>
      </c>
      <c r="D437" s="82">
        <v>35150</v>
      </c>
      <c r="E437" s="85" t="s">
        <v>539</v>
      </c>
    </row>
    <row r="438" spans="2:5" x14ac:dyDescent="0.4">
      <c r="B438" s="213">
        <v>434</v>
      </c>
      <c r="C438" s="82" t="s">
        <v>9</v>
      </c>
      <c r="D438" s="82">
        <v>34143</v>
      </c>
      <c r="E438" s="85" t="s">
        <v>535</v>
      </c>
    </row>
    <row r="439" spans="2:5" x14ac:dyDescent="0.4">
      <c r="B439" s="213">
        <v>435</v>
      </c>
      <c r="C439" s="82" t="s">
        <v>9</v>
      </c>
      <c r="D439" s="82">
        <v>34147</v>
      </c>
      <c r="E439" s="85" t="s">
        <v>535</v>
      </c>
    </row>
    <row r="440" spans="2:5" x14ac:dyDescent="0.4">
      <c r="B440" s="213">
        <v>436</v>
      </c>
      <c r="C440" s="82" t="s">
        <v>9</v>
      </c>
      <c r="D440" s="82">
        <v>34145</v>
      </c>
      <c r="E440" s="85" t="s">
        <v>537</v>
      </c>
    </row>
    <row r="441" spans="2:5" x14ac:dyDescent="0.4">
      <c r="B441" s="213">
        <v>437</v>
      </c>
      <c r="C441" s="82" t="s">
        <v>9</v>
      </c>
      <c r="D441" s="82">
        <v>34145</v>
      </c>
      <c r="E441" s="85" t="s">
        <v>537</v>
      </c>
    </row>
    <row r="442" spans="2:5" x14ac:dyDescent="0.4">
      <c r="B442" s="213">
        <v>438</v>
      </c>
      <c r="C442" s="82" t="s">
        <v>9</v>
      </c>
      <c r="D442" s="82">
        <v>34143</v>
      </c>
      <c r="E442" s="85" t="s">
        <v>535</v>
      </c>
    </row>
    <row r="443" spans="2:5" x14ac:dyDescent="0.4">
      <c r="B443" s="215">
        <v>439</v>
      </c>
      <c r="C443" s="69" t="s">
        <v>248</v>
      </c>
      <c r="D443" s="69">
        <v>35155</v>
      </c>
      <c r="E443" s="85" t="s">
        <v>539</v>
      </c>
    </row>
    <row r="444" spans="2:5" x14ac:dyDescent="0.4">
      <c r="B444" s="218">
        <v>440</v>
      </c>
      <c r="C444" s="82" t="s">
        <v>9</v>
      </c>
      <c r="D444" s="82">
        <v>31205</v>
      </c>
      <c r="E444" s="85" t="s">
        <v>538</v>
      </c>
    </row>
    <row r="445" spans="2:5" x14ac:dyDescent="0.4">
      <c r="B445" s="218">
        <v>441</v>
      </c>
      <c r="C445" s="82" t="s">
        <v>9</v>
      </c>
      <c r="D445" s="82">
        <v>34138</v>
      </c>
      <c r="E445" s="85" t="s">
        <v>535</v>
      </c>
    </row>
    <row r="446" spans="2:5" x14ac:dyDescent="0.4">
      <c r="B446" s="218">
        <v>442</v>
      </c>
      <c r="C446" s="82" t="s">
        <v>528</v>
      </c>
      <c r="D446" s="82">
        <v>31213</v>
      </c>
      <c r="E446" s="85" t="s">
        <v>538</v>
      </c>
    </row>
    <row r="447" spans="2:5" x14ac:dyDescent="0.4">
      <c r="B447" s="218">
        <v>443</v>
      </c>
      <c r="C447" s="82" t="s">
        <v>9</v>
      </c>
      <c r="D447" s="82">
        <v>34148</v>
      </c>
      <c r="E447" s="85" t="s">
        <v>537</v>
      </c>
    </row>
    <row r="448" spans="2:5" x14ac:dyDescent="0.4">
      <c r="B448" s="218">
        <v>444</v>
      </c>
      <c r="C448" s="82" t="s">
        <v>9</v>
      </c>
      <c r="D448" s="82">
        <v>35151</v>
      </c>
      <c r="E448" s="85" t="s">
        <v>539</v>
      </c>
    </row>
    <row r="449" spans="2:5" x14ac:dyDescent="0.4">
      <c r="B449" s="218">
        <v>445</v>
      </c>
      <c r="C449" s="82" t="s">
        <v>9</v>
      </c>
      <c r="D449" s="82">
        <v>31212</v>
      </c>
      <c r="E449" s="85" t="s">
        <v>538</v>
      </c>
    </row>
    <row r="450" spans="2:5" x14ac:dyDescent="0.4">
      <c r="B450" s="219">
        <v>446</v>
      </c>
      <c r="C450" s="69" t="s">
        <v>248</v>
      </c>
      <c r="D450" s="82">
        <v>31212</v>
      </c>
      <c r="E450" s="85" t="s">
        <v>538</v>
      </c>
    </row>
    <row r="451" spans="2:5" x14ac:dyDescent="0.4">
      <c r="B451" s="219">
        <v>447</v>
      </c>
      <c r="C451" s="69" t="s">
        <v>248</v>
      </c>
      <c r="D451" s="69">
        <v>34149</v>
      </c>
      <c r="E451" s="85" t="s">
        <v>537</v>
      </c>
    </row>
    <row r="452" spans="2:5" x14ac:dyDescent="0.4">
      <c r="B452" s="218">
        <v>448</v>
      </c>
      <c r="C452" s="82" t="s">
        <v>9</v>
      </c>
      <c r="D452" s="82">
        <v>34149</v>
      </c>
      <c r="E452" s="85" t="s">
        <v>537</v>
      </c>
    </row>
    <row r="453" spans="2:5" x14ac:dyDescent="0.4">
      <c r="B453" s="218">
        <v>449</v>
      </c>
      <c r="C453" s="82" t="s">
        <v>9</v>
      </c>
      <c r="D453" s="82">
        <v>31205</v>
      </c>
      <c r="E453" s="85" t="s">
        <v>538</v>
      </c>
    </row>
    <row r="454" spans="2:5" x14ac:dyDescent="0.4">
      <c r="B454" s="218">
        <v>450</v>
      </c>
      <c r="C454" s="82" t="s">
        <v>9</v>
      </c>
      <c r="D454" s="82">
        <v>31212</v>
      </c>
      <c r="E454" s="85" t="s">
        <v>538</v>
      </c>
    </row>
    <row r="455" spans="2:5" x14ac:dyDescent="0.4">
      <c r="B455" s="218">
        <v>451</v>
      </c>
      <c r="C455" s="82" t="s">
        <v>9</v>
      </c>
      <c r="D455" s="82">
        <v>31207</v>
      </c>
      <c r="E455" s="85" t="s">
        <v>538</v>
      </c>
    </row>
    <row r="456" spans="2:5" x14ac:dyDescent="0.4">
      <c r="B456" s="218">
        <v>452</v>
      </c>
      <c r="C456" s="82" t="s">
        <v>9</v>
      </c>
      <c r="D456" s="82">
        <v>34149</v>
      </c>
      <c r="E456" s="85" t="s">
        <v>537</v>
      </c>
    </row>
    <row r="457" spans="2:5" x14ac:dyDescent="0.4">
      <c r="B457" s="218">
        <v>453</v>
      </c>
      <c r="C457" s="82" t="s">
        <v>9</v>
      </c>
      <c r="D457" s="82">
        <v>31212</v>
      </c>
      <c r="E457" s="85" t="s">
        <v>538</v>
      </c>
    </row>
    <row r="458" spans="2:5" x14ac:dyDescent="0.4">
      <c r="B458" s="218">
        <v>454</v>
      </c>
      <c r="C458" s="82" t="s">
        <v>9</v>
      </c>
      <c r="D458" s="82">
        <v>31215</v>
      </c>
      <c r="E458" s="85" t="s">
        <v>537</v>
      </c>
    </row>
    <row r="459" spans="2:5" x14ac:dyDescent="0.4">
      <c r="B459" s="218">
        <v>455</v>
      </c>
      <c r="C459" s="82" t="s">
        <v>9</v>
      </c>
      <c r="D459" s="82">
        <v>34145</v>
      </c>
      <c r="E459" s="85" t="s">
        <v>537</v>
      </c>
    </row>
    <row r="460" spans="2:5" x14ac:dyDescent="0.4">
      <c r="B460" s="218">
        <v>456</v>
      </c>
      <c r="C460" s="82" t="s">
        <v>9</v>
      </c>
      <c r="D460" s="82">
        <v>31212</v>
      </c>
      <c r="E460" s="85" t="s">
        <v>538</v>
      </c>
    </row>
    <row r="461" spans="2:5" x14ac:dyDescent="0.4">
      <c r="B461" s="218">
        <v>457</v>
      </c>
      <c r="C461" s="82" t="s">
        <v>9</v>
      </c>
      <c r="D461" s="82">
        <v>34146</v>
      </c>
      <c r="E461" s="85" t="s">
        <v>535</v>
      </c>
    </row>
    <row r="462" spans="2:5" x14ac:dyDescent="0.4">
      <c r="B462" s="219">
        <v>458</v>
      </c>
      <c r="C462" s="69" t="s">
        <v>248</v>
      </c>
      <c r="D462" s="69">
        <v>31215</v>
      </c>
      <c r="E462" s="85" t="s">
        <v>537</v>
      </c>
    </row>
    <row r="463" spans="2:5" x14ac:dyDescent="0.4">
      <c r="B463" s="218">
        <v>459</v>
      </c>
      <c r="C463" s="82" t="s">
        <v>9</v>
      </c>
      <c r="D463" s="82">
        <v>35156</v>
      </c>
      <c r="E463" s="85" t="s">
        <v>539</v>
      </c>
    </row>
    <row r="464" spans="2:5" x14ac:dyDescent="0.4">
      <c r="B464" s="218">
        <v>460</v>
      </c>
      <c r="C464" s="82" t="s">
        <v>9</v>
      </c>
      <c r="D464" s="82">
        <v>34147</v>
      </c>
      <c r="E464" s="85" t="s">
        <v>535</v>
      </c>
    </row>
    <row r="465" spans="2:5" x14ac:dyDescent="0.4">
      <c r="B465" s="218">
        <v>461</v>
      </c>
      <c r="C465" s="82" t="s">
        <v>9</v>
      </c>
      <c r="D465" s="82">
        <v>34145</v>
      </c>
      <c r="E465" s="85" t="s">
        <v>537</v>
      </c>
    </row>
    <row r="466" spans="2:5" x14ac:dyDescent="0.4">
      <c r="B466" s="218">
        <v>462</v>
      </c>
      <c r="C466" s="82" t="s">
        <v>9</v>
      </c>
      <c r="D466" s="82">
        <v>34144</v>
      </c>
      <c r="E466" s="85" t="s">
        <v>538</v>
      </c>
    </row>
    <row r="467" spans="2:5" x14ac:dyDescent="0.4">
      <c r="B467" s="218">
        <v>463</v>
      </c>
      <c r="C467" s="82" t="s">
        <v>9</v>
      </c>
      <c r="D467" s="82">
        <v>31215</v>
      </c>
      <c r="E467" s="85" t="s">
        <v>537</v>
      </c>
    </row>
    <row r="468" spans="2:5" x14ac:dyDescent="0.4">
      <c r="B468" s="218">
        <v>464</v>
      </c>
      <c r="C468" s="82" t="s">
        <v>528</v>
      </c>
      <c r="D468" s="82">
        <v>34136</v>
      </c>
      <c r="E468" s="85" t="s">
        <v>538</v>
      </c>
    </row>
    <row r="469" spans="2:5" x14ac:dyDescent="0.4">
      <c r="B469" s="219">
        <v>465</v>
      </c>
      <c r="C469" s="69" t="s">
        <v>248</v>
      </c>
      <c r="D469" s="69">
        <v>34148</v>
      </c>
      <c r="E469" s="85" t="s">
        <v>537</v>
      </c>
    </row>
    <row r="470" spans="2:5" x14ac:dyDescent="0.4">
      <c r="B470" s="218">
        <v>466</v>
      </c>
      <c r="C470" s="82" t="s">
        <v>9</v>
      </c>
      <c r="D470" s="82">
        <v>34145</v>
      </c>
      <c r="E470" s="85" t="s">
        <v>537</v>
      </c>
    </row>
    <row r="471" spans="2:5" x14ac:dyDescent="0.4">
      <c r="B471" s="218">
        <v>467</v>
      </c>
      <c r="C471" s="82" t="s">
        <v>9</v>
      </c>
      <c r="D471" s="82">
        <v>31207</v>
      </c>
      <c r="E471" s="85" t="s">
        <v>538</v>
      </c>
    </row>
    <row r="472" spans="2:5" x14ac:dyDescent="0.4">
      <c r="B472" s="219">
        <v>468</v>
      </c>
      <c r="C472" s="69" t="s">
        <v>248</v>
      </c>
      <c r="D472" s="82">
        <v>31207</v>
      </c>
      <c r="E472" s="85" t="s">
        <v>538</v>
      </c>
    </row>
    <row r="473" spans="2:5" x14ac:dyDescent="0.4">
      <c r="B473" s="219">
        <v>469</v>
      </c>
      <c r="C473" s="69" t="s">
        <v>248</v>
      </c>
      <c r="D473" s="82">
        <v>34148</v>
      </c>
      <c r="E473" s="85" t="s">
        <v>537</v>
      </c>
    </row>
    <row r="474" spans="2:5" x14ac:dyDescent="0.4">
      <c r="B474" s="218">
        <v>470</v>
      </c>
      <c r="C474" s="82" t="s">
        <v>9</v>
      </c>
      <c r="D474" s="82">
        <v>31209</v>
      </c>
      <c r="E474" s="85" t="s">
        <v>538</v>
      </c>
    </row>
    <row r="475" spans="2:5" x14ac:dyDescent="0.4">
      <c r="B475" s="213">
        <v>471</v>
      </c>
      <c r="C475" s="82" t="s">
        <v>9</v>
      </c>
      <c r="D475" s="82">
        <v>31207</v>
      </c>
      <c r="E475" s="85" t="s">
        <v>538</v>
      </c>
    </row>
    <row r="476" spans="2:5" x14ac:dyDescent="0.4">
      <c r="B476" s="213">
        <v>472</v>
      </c>
      <c r="C476" s="82" t="s">
        <v>9</v>
      </c>
      <c r="D476" s="82">
        <v>34143</v>
      </c>
      <c r="E476" s="85" t="s">
        <v>535</v>
      </c>
    </row>
    <row r="477" spans="2:5" x14ac:dyDescent="0.4">
      <c r="B477" s="213">
        <v>473</v>
      </c>
      <c r="C477" s="82" t="s">
        <v>9</v>
      </c>
      <c r="D477" s="82">
        <v>34140</v>
      </c>
      <c r="E477" s="85" t="s">
        <v>535</v>
      </c>
    </row>
    <row r="478" spans="2:5" x14ac:dyDescent="0.4">
      <c r="B478" s="218">
        <v>474</v>
      </c>
      <c r="C478" s="2" t="s">
        <v>528</v>
      </c>
      <c r="D478" s="82">
        <v>34132</v>
      </c>
      <c r="E478" s="85" t="s">
        <v>538</v>
      </c>
    </row>
    <row r="479" spans="2:5" x14ac:dyDescent="0.4">
      <c r="B479" s="218">
        <v>475</v>
      </c>
      <c r="C479" s="82" t="s">
        <v>9</v>
      </c>
      <c r="D479" s="82">
        <v>34132</v>
      </c>
      <c r="E479" s="85" t="s">
        <v>538</v>
      </c>
    </row>
    <row r="480" spans="2:5" x14ac:dyDescent="0.4">
      <c r="B480" s="218">
        <v>476</v>
      </c>
      <c r="C480" s="2" t="s">
        <v>528</v>
      </c>
      <c r="D480" s="82">
        <v>34148</v>
      </c>
      <c r="E480" s="85" t="s">
        <v>537</v>
      </c>
    </row>
    <row r="481" spans="2:5" x14ac:dyDescent="0.4">
      <c r="B481" s="215">
        <v>477</v>
      </c>
      <c r="C481" s="69" t="s">
        <v>248</v>
      </c>
      <c r="D481" s="69">
        <v>35153</v>
      </c>
      <c r="E481" s="85" t="s">
        <v>539</v>
      </c>
    </row>
    <row r="482" spans="2:5" x14ac:dyDescent="0.4">
      <c r="B482" s="213">
        <v>478</v>
      </c>
      <c r="C482" s="82" t="s">
        <v>9</v>
      </c>
      <c r="D482" s="82">
        <v>35144</v>
      </c>
      <c r="E482" s="85" t="s">
        <v>539</v>
      </c>
    </row>
    <row r="483" spans="2:5" x14ac:dyDescent="0.4">
      <c r="B483" s="213">
        <v>479</v>
      </c>
      <c r="C483" s="82" t="s">
        <v>9</v>
      </c>
      <c r="D483" s="82">
        <v>34136</v>
      </c>
      <c r="E483" s="85" t="s">
        <v>538</v>
      </c>
    </row>
    <row r="484" spans="2:5" x14ac:dyDescent="0.4">
      <c r="B484" s="213">
        <v>480</v>
      </c>
      <c r="C484" s="2" t="s">
        <v>528</v>
      </c>
      <c r="D484" s="82">
        <v>34144</v>
      </c>
      <c r="E484" s="85" t="s">
        <v>538</v>
      </c>
    </row>
    <row r="485" spans="2:5" x14ac:dyDescent="0.4">
      <c r="B485" s="213">
        <v>481</v>
      </c>
      <c r="C485" s="82" t="s">
        <v>9</v>
      </c>
      <c r="D485" s="82">
        <v>35157</v>
      </c>
      <c r="E485" s="85" t="s">
        <v>539</v>
      </c>
    </row>
    <row r="486" spans="2:5" x14ac:dyDescent="0.4">
      <c r="B486" s="213">
        <v>482</v>
      </c>
      <c r="C486" s="82" t="s">
        <v>9</v>
      </c>
      <c r="D486" s="82">
        <v>35153</v>
      </c>
      <c r="E486" s="85" t="s">
        <v>539</v>
      </c>
    </row>
    <row r="487" spans="2:5" x14ac:dyDescent="0.4">
      <c r="B487" s="213">
        <v>483</v>
      </c>
      <c r="C487" s="82" t="s">
        <v>9</v>
      </c>
      <c r="D487" s="82">
        <v>34132</v>
      </c>
      <c r="E487" s="85" t="s">
        <v>538</v>
      </c>
    </row>
    <row r="488" spans="2:5" x14ac:dyDescent="0.4">
      <c r="B488" s="213">
        <v>484</v>
      </c>
      <c r="C488" s="82" t="s">
        <v>9</v>
      </c>
      <c r="D488" s="82">
        <v>34139</v>
      </c>
      <c r="E488" s="85" t="s">
        <v>535</v>
      </c>
    </row>
    <row r="489" spans="2:5" x14ac:dyDescent="0.4">
      <c r="B489" s="213">
        <v>485</v>
      </c>
      <c r="C489" s="82" t="s">
        <v>9</v>
      </c>
      <c r="D489" s="82">
        <v>35158</v>
      </c>
      <c r="E489" s="85" t="s">
        <v>539</v>
      </c>
    </row>
    <row r="490" spans="2:5" x14ac:dyDescent="0.4">
      <c r="B490" s="218">
        <v>486</v>
      </c>
      <c r="C490" s="82" t="s">
        <v>9</v>
      </c>
      <c r="D490" s="82">
        <v>34143</v>
      </c>
      <c r="E490" s="85" t="s">
        <v>535</v>
      </c>
    </row>
    <row r="491" spans="2:5" x14ac:dyDescent="0.4">
      <c r="B491" s="218">
        <v>487</v>
      </c>
      <c r="C491" s="82" t="s">
        <v>9</v>
      </c>
      <c r="D491" s="82">
        <v>31209</v>
      </c>
      <c r="E491" s="85" t="s">
        <v>538</v>
      </c>
    </row>
    <row r="492" spans="2:5" x14ac:dyDescent="0.4">
      <c r="B492" s="218">
        <v>488</v>
      </c>
      <c r="C492" s="82" t="s">
        <v>9</v>
      </c>
      <c r="D492" s="82">
        <v>31215</v>
      </c>
      <c r="E492" s="85" t="s">
        <v>537</v>
      </c>
    </row>
    <row r="493" spans="2:5" x14ac:dyDescent="0.4">
      <c r="B493" s="218">
        <v>489</v>
      </c>
      <c r="C493" s="82" t="s">
        <v>9</v>
      </c>
      <c r="D493" s="82">
        <v>31211</v>
      </c>
      <c r="E493" s="85" t="s">
        <v>538</v>
      </c>
    </row>
    <row r="494" spans="2:5" x14ac:dyDescent="0.4">
      <c r="B494" s="219">
        <v>490</v>
      </c>
      <c r="C494" s="69" t="s">
        <v>248</v>
      </c>
      <c r="D494" s="69">
        <v>31211</v>
      </c>
      <c r="E494" s="85" t="s">
        <v>538</v>
      </c>
    </row>
    <row r="495" spans="2:5" x14ac:dyDescent="0.4">
      <c r="B495" s="219">
        <v>491</v>
      </c>
      <c r="C495" s="69" t="s">
        <v>248</v>
      </c>
      <c r="D495" s="69">
        <v>34143</v>
      </c>
      <c r="E495" s="85" t="s">
        <v>535</v>
      </c>
    </row>
    <row r="496" spans="2:5" x14ac:dyDescent="0.4">
      <c r="B496" s="218">
        <v>492</v>
      </c>
      <c r="C496" s="82" t="s">
        <v>9</v>
      </c>
      <c r="D496" s="82">
        <v>34139</v>
      </c>
      <c r="E496" s="85" t="s">
        <v>535</v>
      </c>
    </row>
    <row r="497" spans="2:5" x14ac:dyDescent="0.4">
      <c r="B497" s="218">
        <v>493</v>
      </c>
      <c r="C497" s="82" t="s">
        <v>9</v>
      </c>
      <c r="D497" s="82">
        <v>31210</v>
      </c>
      <c r="E497" s="85" t="s">
        <v>538</v>
      </c>
    </row>
    <row r="498" spans="2:5" x14ac:dyDescent="0.4">
      <c r="B498" s="218">
        <v>494</v>
      </c>
      <c r="C498" s="82" t="s">
        <v>9</v>
      </c>
      <c r="D498" s="82">
        <v>31207</v>
      </c>
      <c r="E498" s="85" t="s">
        <v>538</v>
      </c>
    </row>
    <row r="499" spans="2:5" x14ac:dyDescent="0.4">
      <c r="B499" s="218">
        <v>495</v>
      </c>
      <c r="C499" s="82" t="s">
        <v>9</v>
      </c>
      <c r="D499" s="82">
        <v>34138</v>
      </c>
      <c r="E499" s="85" t="s">
        <v>535</v>
      </c>
    </row>
    <row r="500" spans="2:5" x14ac:dyDescent="0.4">
      <c r="B500" s="218">
        <v>496</v>
      </c>
      <c r="C500" s="2" t="s">
        <v>528</v>
      </c>
      <c r="D500" s="82">
        <v>34148</v>
      </c>
      <c r="E500" s="85" t="s">
        <v>537</v>
      </c>
    </row>
    <row r="501" spans="2:5" x14ac:dyDescent="0.4">
      <c r="B501" s="218">
        <v>497</v>
      </c>
      <c r="C501" s="82" t="s">
        <v>9</v>
      </c>
      <c r="D501" s="82">
        <v>34148</v>
      </c>
      <c r="E501" s="85" t="s">
        <v>537</v>
      </c>
    </row>
    <row r="502" spans="2:5" x14ac:dyDescent="0.4">
      <c r="B502" s="218">
        <v>498</v>
      </c>
      <c r="C502" s="82" t="s">
        <v>9</v>
      </c>
      <c r="D502" s="82">
        <v>34148</v>
      </c>
      <c r="E502" s="85" t="s">
        <v>537</v>
      </c>
    </row>
    <row r="503" spans="2:5" x14ac:dyDescent="0.4">
      <c r="B503" s="218">
        <v>499</v>
      </c>
      <c r="C503" s="82" t="s">
        <v>9</v>
      </c>
      <c r="D503" s="82">
        <v>31209</v>
      </c>
      <c r="E503" s="85" t="s">
        <v>538</v>
      </c>
    </row>
    <row r="504" spans="2:5" x14ac:dyDescent="0.4">
      <c r="B504" s="218">
        <v>500</v>
      </c>
      <c r="C504" s="82" t="s">
        <v>9</v>
      </c>
      <c r="D504" s="82">
        <v>31209</v>
      </c>
      <c r="E504" s="85" t="s">
        <v>538</v>
      </c>
    </row>
    <row r="505" spans="2:5" x14ac:dyDescent="0.4">
      <c r="B505" s="218">
        <v>501</v>
      </c>
      <c r="C505" s="82" t="s">
        <v>9</v>
      </c>
      <c r="D505" s="82">
        <v>31209</v>
      </c>
      <c r="E505" s="85" t="s">
        <v>538</v>
      </c>
    </row>
    <row r="506" spans="2:5" x14ac:dyDescent="0.4">
      <c r="B506" s="218">
        <v>502</v>
      </c>
      <c r="C506" s="82" t="s">
        <v>9</v>
      </c>
      <c r="D506" s="82">
        <v>31209</v>
      </c>
      <c r="E506" s="85" t="s">
        <v>538</v>
      </c>
    </row>
    <row r="507" spans="2:5" x14ac:dyDescent="0.4">
      <c r="B507" s="218">
        <v>503</v>
      </c>
      <c r="C507" s="82" t="s">
        <v>9</v>
      </c>
      <c r="D507" s="82">
        <v>35157</v>
      </c>
      <c r="E507" s="85" t="s">
        <v>539</v>
      </c>
    </row>
    <row r="508" spans="2:5" x14ac:dyDescent="0.4">
      <c r="B508" s="219">
        <v>504</v>
      </c>
      <c r="C508" s="69" t="s">
        <v>248</v>
      </c>
      <c r="D508" s="82">
        <v>34148</v>
      </c>
      <c r="E508" s="85" t="s">
        <v>537</v>
      </c>
    </row>
    <row r="509" spans="2:5" x14ac:dyDescent="0.4">
      <c r="B509" s="218">
        <v>505</v>
      </c>
      <c r="C509" s="82" t="s">
        <v>9</v>
      </c>
      <c r="D509" s="82">
        <v>31213</v>
      </c>
      <c r="E509" s="85" t="s">
        <v>538</v>
      </c>
    </row>
    <row r="510" spans="2:5" x14ac:dyDescent="0.4">
      <c r="B510" s="213">
        <v>506</v>
      </c>
      <c r="C510" s="82" t="s">
        <v>9</v>
      </c>
      <c r="D510" s="82">
        <v>31215</v>
      </c>
      <c r="E510" s="85" t="s">
        <v>537</v>
      </c>
    </row>
    <row r="511" spans="2:5" x14ac:dyDescent="0.4">
      <c r="B511" s="213">
        <v>507</v>
      </c>
      <c r="C511" s="2" t="s">
        <v>528</v>
      </c>
      <c r="D511" s="82">
        <v>34131</v>
      </c>
      <c r="E511" s="85" t="s">
        <v>537</v>
      </c>
    </row>
    <row r="512" spans="2:5" x14ac:dyDescent="0.4">
      <c r="B512" s="215">
        <v>508</v>
      </c>
      <c r="C512" s="69" t="s">
        <v>248</v>
      </c>
      <c r="D512" s="69">
        <v>31214</v>
      </c>
      <c r="E512" s="85" t="s">
        <v>537</v>
      </c>
    </row>
    <row r="513" spans="2:5" x14ac:dyDescent="0.4">
      <c r="B513" s="213">
        <v>509</v>
      </c>
      <c r="C513" s="82" t="s">
        <v>9</v>
      </c>
      <c r="D513" s="82">
        <v>34146</v>
      </c>
      <c r="E513" s="85" t="s">
        <v>535</v>
      </c>
    </row>
    <row r="514" spans="2:5" x14ac:dyDescent="0.4">
      <c r="B514" s="213">
        <v>510</v>
      </c>
      <c r="C514" s="2" t="s">
        <v>528</v>
      </c>
      <c r="D514" s="82">
        <v>35156</v>
      </c>
      <c r="E514" s="85" t="s">
        <v>539</v>
      </c>
    </row>
    <row r="515" spans="2:5" x14ac:dyDescent="0.4">
      <c r="B515" s="213">
        <v>511</v>
      </c>
      <c r="C515" s="2" t="s">
        <v>528</v>
      </c>
      <c r="D515" s="82">
        <v>34131</v>
      </c>
      <c r="E515" s="85" t="s">
        <v>537</v>
      </c>
    </row>
    <row r="516" spans="2:5" x14ac:dyDescent="0.4">
      <c r="B516" s="213">
        <v>512</v>
      </c>
      <c r="C516" s="82" t="s">
        <v>9</v>
      </c>
      <c r="D516" s="82">
        <v>34148</v>
      </c>
      <c r="E516" s="85" t="s">
        <v>537</v>
      </c>
    </row>
    <row r="517" spans="2:5" x14ac:dyDescent="0.4">
      <c r="B517" s="213">
        <v>513</v>
      </c>
      <c r="C517" s="82" t="s">
        <v>9</v>
      </c>
      <c r="D517" s="82">
        <v>34148</v>
      </c>
      <c r="E517" s="85" t="s">
        <v>537</v>
      </c>
    </row>
    <row r="518" spans="2:5" x14ac:dyDescent="0.4">
      <c r="B518" s="215">
        <v>514</v>
      </c>
      <c r="C518" s="69" t="s">
        <v>248</v>
      </c>
      <c r="D518" s="69">
        <v>34148</v>
      </c>
      <c r="E518" s="85" t="s">
        <v>537</v>
      </c>
    </row>
    <row r="519" spans="2:5" x14ac:dyDescent="0.4">
      <c r="B519" s="213">
        <v>515</v>
      </c>
      <c r="C519" s="82" t="s">
        <v>9</v>
      </c>
      <c r="D519" s="82">
        <v>31209</v>
      </c>
      <c r="E519" s="85" t="s">
        <v>538</v>
      </c>
    </row>
    <row r="520" spans="2:5" x14ac:dyDescent="0.4">
      <c r="B520" s="213">
        <v>516</v>
      </c>
      <c r="C520" s="82" t="s">
        <v>9</v>
      </c>
      <c r="D520" s="82">
        <v>31209</v>
      </c>
      <c r="E520" s="85" t="s">
        <v>538</v>
      </c>
    </row>
    <row r="521" spans="2:5" x14ac:dyDescent="0.4">
      <c r="B521" s="213">
        <v>517</v>
      </c>
      <c r="C521" s="2" t="s">
        <v>528</v>
      </c>
      <c r="D521" s="82">
        <v>34133</v>
      </c>
      <c r="E521" s="85" t="s">
        <v>538</v>
      </c>
    </row>
    <row r="522" spans="2:5" x14ac:dyDescent="0.4">
      <c r="B522" s="213">
        <v>518</v>
      </c>
      <c r="C522" s="82" t="s">
        <v>9</v>
      </c>
      <c r="D522" s="82">
        <v>34149</v>
      </c>
      <c r="E522" s="85" t="s">
        <v>537</v>
      </c>
    </row>
    <row r="523" spans="2:5" x14ac:dyDescent="0.4">
      <c r="B523" s="213">
        <v>519</v>
      </c>
      <c r="C523" s="2" t="s">
        <v>528</v>
      </c>
      <c r="D523" s="82">
        <v>34147</v>
      </c>
      <c r="E523" s="85" t="s">
        <v>535</v>
      </c>
    </row>
    <row r="524" spans="2:5" x14ac:dyDescent="0.4">
      <c r="B524" s="213">
        <v>520</v>
      </c>
      <c r="C524" s="82" t="s">
        <v>9</v>
      </c>
      <c r="D524" s="82">
        <v>34132</v>
      </c>
      <c r="E524" s="85" t="s">
        <v>538</v>
      </c>
    </row>
    <row r="525" spans="2:5" x14ac:dyDescent="0.4">
      <c r="B525" s="213">
        <v>521</v>
      </c>
      <c r="C525" s="82" t="s">
        <v>9</v>
      </c>
      <c r="D525" s="82">
        <v>34148</v>
      </c>
      <c r="E525" s="85" t="s">
        <v>537</v>
      </c>
    </row>
    <row r="526" spans="2:5" x14ac:dyDescent="0.4">
      <c r="B526" s="213">
        <v>522</v>
      </c>
      <c r="C526" s="82" t="s">
        <v>9</v>
      </c>
      <c r="D526" s="82">
        <v>31211</v>
      </c>
      <c r="E526" s="85" t="s">
        <v>538</v>
      </c>
    </row>
    <row r="527" spans="2:5" x14ac:dyDescent="0.4">
      <c r="B527" s="218">
        <v>523</v>
      </c>
      <c r="C527" s="82" t="s">
        <v>9</v>
      </c>
      <c r="D527" s="82">
        <v>34132</v>
      </c>
      <c r="E527" s="85" t="s">
        <v>538</v>
      </c>
    </row>
    <row r="528" spans="2:5" x14ac:dyDescent="0.4">
      <c r="B528" s="218">
        <v>524</v>
      </c>
      <c r="C528" s="82" t="s">
        <v>528</v>
      </c>
      <c r="D528" s="82">
        <v>34134</v>
      </c>
      <c r="E528" s="85" t="s">
        <v>538</v>
      </c>
    </row>
    <row r="529" spans="2:5" x14ac:dyDescent="0.4">
      <c r="B529" s="218">
        <v>525</v>
      </c>
      <c r="C529" s="82" t="s">
        <v>528</v>
      </c>
      <c r="D529" s="82">
        <v>34132</v>
      </c>
      <c r="E529" s="85" t="s">
        <v>538</v>
      </c>
    </row>
    <row r="530" spans="2:5" x14ac:dyDescent="0.4">
      <c r="B530" s="219">
        <v>526</v>
      </c>
      <c r="C530" s="69" t="s">
        <v>248</v>
      </c>
      <c r="D530" s="69">
        <v>34133</v>
      </c>
      <c r="E530" s="85" t="s">
        <v>538</v>
      </c>
    </row>
    <row r="531" spans="2:5" x14ac:dyDescent="0.4">
      <c r="B531" s="218">
        <v>527</v>
      </c>
      <c r="C531" s="82" t="s">
        <v>9</v>
      </c>
      <c r="D531" s="82">
        <v>34149</v>
      </c>
      <c r="E531" s="85" t="s">
        <v>537</v>
      </c>
    </row>
    <row r="532" spans="2:5" x14ac:dyDescent="0.4">
      <c r="B532" s="218">
        <v>528</v>
      </c>
      <c r="C532" s="82" t="s">
        <v>9</v>
      </c>
      <c r="D532" s="82">
        <v>35152</v>
      </c>
      <c r="E532" s="85" t="s">
        <v>539</v>
      </c>
    </row>
    <row r="533" spans="2:5" x14ac:dyDescent="0.4">
      <c r="B533" s="218">
        <v>529</v>
      </c>
      <c r="C533" s="82" t="s">
        <v>528</v>
      </c>
      <c r="D533" s="82">
        <v>34139</v>
      </c>
      <c r="E533" s="85" t="s">
        <v>535</v>
      </c>
    </row>
    <row r="534" spans="2:5" x14ac:dyDescent="0.4">
      <c r="B534" s="218">
        <v>530</v>
      </c>
      <c r="C534" s="82" t="s">
        <v>9</v>
      </c>
      <c r="D534" s="82">
        <v>34131</v>
      </c>
      <c r="E534" s="85" t="s">
        <v>537</v>
      </c>
    </row>
    <row r="535" spans="2:5" x14ac:dyDescent="0.4">
      <c r="B535" s="218">
        <v>531</v>
      </c>
      <c r="C535" s="82" t="s">
        <v>9</v>
      </c>
      <c r="D535" s="82">
        <v>34132</v>
      </c>
      <c r="E535" s="85" t="s">
        <v>538</v>
      </c>
    </row>
    <row r="536" spans="2:5" x14ac:dyDescent="0.4">
      <c r="B536" s="218">
        <v>532</v>
      </c>
      <c r="C536" s="82" t="s">
        <v>9</v>
      </c>
      <c r="D536" s="82">
        <v>35155</v>
      </c>
      <c r="E536" s="85" t="s">
        <v>539</v>
      </c>
    </row>
    <row r="537" spans="2:5" x14ac:dyDescent="0.4">
      <c r="B537" s="218">
        <v>533</v>
      </c>
      <c r="C537" s="82" t="s">
        <v>9</v>
      </c>
      <c r="D537" s="82">
        <v>35157</v>
      </c>
      <c r="E537" s="85" t="s">
        <v>539</v>
      </c>
    </row>
    <row r="538" spans="2:5" x14ac:dyDescent="0.4">
      <c r="B538" s="218">
        <v>534</v>
      </c>
      <c r="C538" s="82" t="s">
        <v>9</v>
      </c>
      <c r="D538" s="82">
        <v>34133</v>
      </c>
      <c r="E538" s="85" t="s">
        <v>538</v>
      </c>
    </row>
    <row r="539" spans="2:5" x14ac:dyDescent="0.4">
      <c r="B539" s="218">
        <v>535</v>
      </c>
      <c r="C539" s="82" t="s">
        <v>9</v>
      </c>
      <c r="D539" s="82">
        <v>34133</v>
      </c>
      <c r="E539" s="85" t="s">
        <v>538</v>
      </c>
    </row>
    <row r="540" spans="2:5" x14ac:dyDescent="0.4">
      <c r="B540" s="219">
        <v>536</v>
      </c>
      <c r="C540" s="69" t="s">
        <v>248</v>
      </c>
      <c r="D540" s="69">
        <v>35157</v>
      </c>
      <c r="E540" s="85" t="s">
        <v>539</v>
      </c>
    </row>
    <row r="541" spans="2:5" x14ac:dyDescent="0.4">
      <c r="B541" s="218">
        <v>537</v>
      </c>
      <c r="C541" s="82" t="s">
        <v>9</v>
      </c>
      <c r="D541" s="82">
        <v>34136</v>
      </c>
      <c r="E541" s="85" t="s">
        <v>538</v>
      </c>
    </row>
    <row r="542" spans="2:5" x14ac:dyDescent="0.4">
      <c r="B542" s="218">
        <v>538</v>
      </c>
      <c r="C542" s="82" t="s">
        <v>9</v>
      </c>
      <c r="D542" s="82">
        <v>31214</v>
      </c>
      <c r="E542" s="85" t="s">
        <v>537</v>
      </c>
    </row>
    <row r="543" spans="2:5" x14ac:dyDescent="0.4">
      <c r="B543" s="218">
        <v>539</v>
      </c>
      <c r="C543" s="82" t="s">
        <v>9</v>
      </c>
      <c r="D543" s="82">
        <v>34134</v>
      </c>
      <c r="E543" s="85" t="s">
        <v>538</v>
      </c>
    </row>
    <row r="544" spans="2:5" x14ac:dyDescent="0.4">
      <c r="B544" s="218">
        <v>540</v>
      </c>
      <c r="C544" s="82" t="s">
        <v>9</v>
      </c>
      <c r="D544" s="82">
        <v>35158</v>
      </c>
      <c r="E544" s="85" t="s">
        <v>539</v>
      </c>
    </row>
    <row r="545" spans="2:5" x14ac:dyDescent="0.4">
      <c r="B545" s="218">
        <v>541</v>
      </c>
      <c r="C545" s="82" t="s">
        <v>9</v>
      </c>
      <c r="D545" s="82">
        <v>34132</v>
      </c>
      <c r="E545" s="85" t="s">
        <v>538</v>
      </c>
    </row>
    <row r="546" spans="2:5" x14ac:dyDescent="0.4">
      <c r="B546" s="218">
        <v>542</v>
      </c>
      <c r="C546" s="82" t="s">
        <v>9</v>
      </c>
      <c r="D546" s="82">
        <v>34137</v>
      </c>
      <c r="E546" s="85" t="s">
        <v>535</v>
      </c>
    </row>
    <row r="547" spans="2:5" x14ac:dyDescent="0.4">
      <c r="B547" s="218">
        <v>543</v>
      </c>
      <c r="C547" s="82" t="s">
        <v>9</v>
      </c>
      <c r="D547" s="82">
        <v>34139</v>
      </c>
      <c r="E547" s="85" t="s">
        <v>535</v>
      </c>
    </row>
    <row r="548" spans="2:5" x14ac:dyDescent="0.4">
      <c r="B548" s="218">
        <v>544</v>
      </c>
      <c r="C548" s="82" t="s">
        <v>9</v>
      </c>
      <c r="D548" s="82">
        <v>34134</v>
      </c>
      <c r="E548" s="85" t="s">
        <v>538</v>
      </c>
    </row>
    <row r="549" spans="2:5" x14ac:dyDescent="0.4">
      <c r="B549" s="219">
        <v>545</v>
      </c>
      <c r="C549" s="69" t="s">
        <v>248</v>
      </c>
      <c r="D549" s="69">
        <v>34149</v>
      </c>
      <c r="E549" s="85" t="s">
        <v>537</v>
      </c>
    </row>
    <row r="550" spans="2:5" x14ac:dyDescent="0.4">
      <c r="B550" s="218">
        <v>546</v>
      </c>
      <c r="C550" s="82" t="s">
        <v>9</v>
      </c>
      <c r="D550" s="82">
        <v>34139</v>
      </c>
      <c r="E550" s="85" t="s">
        <v>535</v>
      </c>
    </row>
    <row r="551" spans="2:5" x14ac:dyDescent="0.4">
      <c r="B551" s="218">
        <v>547</v>
      </c>
      <c r="C551" s="82" t="s">
        <v>9</v>
      </c>
      <c r="D551" s="82">
        <v>31206</v>
      </c>
      <c r="E551" s="85" t="s">
        <v>538</v>
      </c>
    </row>
    <row r="552" spans="2:5" x14ac:dyDescent="0.4">
      <c r="B552" s="218">
        <v>548</v>
      </c>
      <c r="C552" s="82" t="s">
        <v>9</v>
      </c>
      <c r="D552" s="82">
        <v>31208</v>
      </c>
      <c r="E552" s="85" t="s">
        <v>538</v>
      </c>
    </row>
    <row r="553" spans="2:5" x14ac:dyDescent="0.4">
      <c r="B553" s="218">
        <v>549</v>
      </c>
      <c r="C553" s="82" t="s">
        <v>9</v>
      </c>
      <c r="D553" s="82">
        <v>31208</v>
      </c>
      <c r="E553" s="85" t="s">
        <v>538</v>
      </c>
    </row>
    <row r="554" spans="2:5" x14ac:dyDescent="0.4">
      <c r="B554" s="213">
        <v>550</v>
      </c>
      <c r="C554" s="82" t="s">
        <v>9</v>
      </c>
      <c r="D554" s="82">
        <v>35144</v>
      </c>
      <c r="E554" s="85" t="s">
        <v>539</v>
      </c>
    </row>
    <row r="555" spans="2:5" x14ac:dyDescent="0.4">
      <c r="B555" s="213">
        <v>551</v>
      </c>
      <c r="C555" s="82" t="s">
        <v>9</v>
      </c>
      <c r="D555" s="82">
        <v>34149</v>
      </c>
      <c r="E555" s="85" t="s">
        <v>537</v>
      </c>
    </row>
    <row r="556" spans="2:5" x14ac:dyDescent="0.4">
      <c r="B556" s="213">
        <v>552</v>
      </c>
      <c r="C556" s="82" t="s">
        <v>9</v>
      </c>
      <c r="D556" s="82">
        <v>31213</v>
      </c>
      <c r="E556" s="85" t="s">
        <v>538</v>
      </c>
    </row>
    <row r="557" spans="2:5" x14ac:dyDescent="0.4">
      <c r="B557" s="213">
        <v>553</v>
      </c>
      <c r="C557" s="82" t="s">
        <v>9</v>
      </c>
      <c r="D557" s="82">
        <v>31212</v>
      </c>
      <c r="E557" s="85" t="s">
        <v>538</v>
      </c>
    </row>
    <row r="558" spans="2:5" x14ac:dyDescent="0.4">
      <c r="B558" s="213">
        <v>554</v>
      </c>
      <c r="C558" s="82" t="s">
        <v>9</v>
      </c>
      <c r="D558" s="82">
        <v>34144</v>
      </c>
      <c r="E558" s="85" t="s">
        <v>538</v>
      </c>
    </row>
    <row r="559" spans="2:5" x14ac:dyDescent="0.4">
      <c r="B559" s="213">
        <v>555</v>
      </c>
      <c r="C559" s="82" t="s">
        <v>9</v>
      </c>
      <c r="D559" s="82">
        <v>31208</v>
      </c>
      <c r="E559" s="85" t="s">
        <v>538</v>
      </c>
    </row>
    <row r="560" spans="2:5" x14ac:dyDescent="0.4">
      <c r="B560" s="213">
        <v>556</v>
      </c>
      <c r="C560" s="82" t="s">
        <v>9</v>
      </c>
      <c r="D560" s="82">
        <v>31208</v>
      </c>
      <c r="E560" s="85" t="s">
        <v>538</v>
      </c>
    </row>
    <row r="561" spans="2:5" x14ac:dyDescent="0.4">
      <c r="B561" s="218">
        <v>557</v>
      </c>
      <c r="C561" s="82" t="s">
        <v>9</v>
      </c>
      <c r="D561" s="82">
        <v>31206</v>
      </c>
      <c r="E561" s="85" t="s">
        <v>538</v>
      </c>
    </row>
    <row r="562" spans="2:5" x14ac:dyDescent="0.4">
      <c r="B562" s="218">
        <v>558</v>
      </c>
      <c r="C562" s="82" t="s">
        <v>9</v>
      </c>
      <c r="D562" s="82">
        <v>34147</v>
      </c>
      <c r="E562" s="85" t="s">
        <v>535</v>
      </c>
    </row>
    <row r="563" spans="2:5" x14ac:dyDescent="0.4">
      <c r="B563" s="218">
        <v>559</v>
      </c>
      <c r="C563" s="82" t="s">
        <v>9</v>
      </c>
      <c r="D563" s="82">
        <v>31204</v>
      </c>
      <c r="E563" s="85" t="s">
        <v>538</v>
      </c>
    </row>
    <row r="564" spans="2:5" x14ac:dyDescent="0.4">
      <c r="B564" s="218">
        <v>560</v>
      </c>
      <c r="C564" s="82" t="s">
        <v>9</v>
      </c>
      <c r="D564" s="82">
        <v>31206</v>
      </c>
      <c r="E564" s="85" t="s">
        <v>538</v>
      </c>
    </row>
    <row r="565" spans="2:5" x14ac:dyDescent="0.4">
      <c r="B565" s="218">
        <v>561</v>
      </c>
      <c r="C565" s="82" t="s">
        <v>9</v>
      </c>
      <c r="D565" s="82">
        <v>34138</v>
      </c>
      <c r="E565" s="85" t="s">
        <v>535</v>
      </c>
    </row>
    <row r="566" spans="2:5" x14ac:dyDescent="0.4">
      <c r="B566" s="218">
        <v>562</v>
      </c>
      <c r="C566" s="82" t="s">
        <v>9</v>
      </c>
      <c r="D566" s="82">
        <v>34139</v>
      </c>
      <c r="E566" s="85" t="s">
        <v>535</v>
      </c>
    </row>
    <row r="567" spans="2:5" x14ac:dyDescent="0.4">
      <c r="B567" s="218">
        <v>563</v>
      </c>
      <c r="C567" s="82" t="s">
        <v>9</v>
      </c>
      <c r="D567" s="82">
        <v>34139</v>
      </c>
      <c r="E567" s="85" t="s">
        <v>535</v>
      </c>
    </row>
    <row r="568" spans="2:5" x14ac:dyDescent="0.4">
      <c r="B568" s="218">
        <v>564</v>
      </c>
      <c r="C568" s="82" t="s">
        <v>9</v>
      </c>
      <c r="D568" s="82">
        <v>34140</v>
      </c>
      <c r="E568" s="85" t="s">
        <v>535</v>
      </c>
    </row>
    <row r="569" spans="2:5" x14ac:dyDescent="0.4">
      <c r="B569" s="218">
        <v>565</v>
      </c>
      <c r="C569" s="82" t="s">
        <v>9</v>
      </c>
      <c r="D569" s="82">
        <v>34132</v>
      </c>
      <c r="E569" s="85" t="s">
        <v>538</v>
      </c>
    </row>
    <row r="570" spans="2:5" x14ac:dyDescent="0.4">
      <c r="B570" s="218">
        <v>566</v>
      </c>
      <c r="C570" s="82" t="s">
        <v>9</v>
      </c>
      <c r="D570" s="82">
        <v>34147</v>
      </c>
      <c r="E570" s="85" t="s">
        <v>535</v>
      </c>
    </row>
    <row r="571" spans="2:5" x14ac:dyDescent="0.4">
      <c r="B571" s="218">
        <v>567</v>
      </c>
      <c r="C571" s="82" t="s">
        <v>9</v>
      </c>
      <c r="D571" s="82">
        <v>34143</v>
      </c>
      <c r="E571" s="85" t="s">
        <v>535</v>
      </c>
    </row>
    <row r="572" spans="2:5" x14ac:dyDescent="0.4">
      <c r="B572" s="219">
        <v>568</v>
      </c>
      <c r="C572" s="69" t="s">
        <v>248</v>
      </c>
      <c r="D572" s="69">
        <v>34144</v>
      </c>
      <c r="E572" s="85" t="s">
        <v>538</v>
      </c>
    </row>
    <row r="573" spans="2:5" x14ac:dyDescent="0.4">
      <c r="B573" s="218">
        <v>569</v>
      </c>
      <c r="C573" s="82" t="s">
        <v>9</v>
      </c>
      <c r="D573" s="82">
        <v>34144</v>
      </c>
      <c r="E573" s="85" t="s">
        <v>538</v>
      </c>
    </row>
    <row r="574" spans="2:5" x14ac:dyDescent="0.4">
      <c r="B574" s="218">
        <v>570</v>
      </c>
      <c r="C574" s="82" t="s">
        <v>9</v>
      </c>
      <c r="D574" s="82">
        <v>35156</v>
      </c>
      <c r="E574" s="85" t="s">
        <v>539</v>
      </c>
    </row>
    <row r="575" spans="2:5" x14ac:dyDescent="0.4">
      <c r="B575" s="213">
        <v>571</v>
      </c>
      <c r="C575" s="82" t="s">
        <v>9</v>
      </c>
      <c r="D575" s="2">
        <v>34149</v>
      </c>
      <c r="E575" s="85" t="s">
        <v>537</v>
      </c>
    </row>
    <row r="576" spans="2:5" x14ac:dyDescent="0.4">
      <c r="B576" s="213">
        <v>572</v>
      </c>
      <c r="C576" s="82" t="s">
        <v>9</v>
      </c>
      <c r="D576" s="2">
        <v>34134</v>
      </c>
      <c r="E576" s="85" t="s">
        <v>538</v>
      </c>
    </row>
    <row r="577" spans="2:5" x14ac:dyDescent="0.4">
      <c r="B577" s="213">
        <v>573</v>
      </c>
      <c r="C577" s="82" t="s">
        <v>9</v>
      </c>
      <c r="D577" s="2">
        <v>34149</v>
      </c>
      <c r="E577" s="85" t="s">
        <v>537</v>
      </c>
    </row>
    <row r="578" spans="2:5" x14ac:dyDescent="0.4">
      <c r="B578" s="213">
        <v>574</v>
      </c>
      <c r="C578" s="2" t="s">
        <v>528</v>
      </c>
      <c r="D578" s="2">
        <v>31205</v>
      </c>
      <c r="E578" s="85" t="s">
        <v>538</v>
      </c>
    </row>
    <row r="579" spans="2:5" x14ac:dyDescent="0.4">
      <c r="B579" s="213">
        <v>575</v>
      </c>
      <c r="C579" s="82" t="s">
        <v>9</v>
      </c>
      <c r="D579" s="2">
        <v>35147</v>
      </c>
      <c r="E579" s="85" t="s">
        <v>539</v>
      </c>
    </row>
    <row r="580" spans="2:5" x14ac:dyDescent="0.4">
      <c r="B580" s="213">
        <v>576</v>
      </c>
      <c r="C580" s="2" t="s">
        <v>528</v>
      </c>
      <c r="D580" s="2">
        <v>34132</v>
      </c>
      <c r="E580" s="85" t="s">
        <v>538</v>
      </c>
    </row>
    <row r="581" spans="2:5" x14ac:dyDescent="0.4">
      <c r="B581" s="213">
        <v>577</v>
      </c>
      <c r="C581" s="82" t="s">
        <v>9</v>
      </c>
      <c r="D581" s="2">
        <v>35145</v>
      </c>
      <c r="E581" s="85" t="s">
        <v>539</v>
      </c>
    </row>
    <row r="582" spans="2:5" x14ac:dyDescent="0.4">
      <c r="B582" s="213">
        <v>578</v>
      </c>
      <c r="C582" s="2" t="s">
        <v>528</v>
      </c>
      <c r="D582" s="2">
        <v>34132</v>
      </c>
      <c r="E582" s="85" t="s">
        <v>538</v>
      </c>
    </row>
    <row r="583" spans="2:5" x14ac:dyDescent="0.4">
      <c r="B583" s="213">
        <v>579</v>
      </c>
      <c r="C583" s="82" t="s">
        <v>9</v>
      </c>
      <c r="D583" s="2">
        <v>34146</v>
      </c>
      <c r="E583" s="85" t="s">
        <v>535</v>
      </c>
    </row>
    <row r="584" spans="2:5" x14ac:dyDescent="0.4">
      <c r="B584" s="213">
        <v>580</v>
      </c>
      <c r="C584" s="82" t="s">
        <v>9</v>
      </c>
      <c r="D584" s="2">
        <v>31909</v>
      </c>
      <c r="E584" s="85" t="s">
        <v>535</v>
      </c>
    </row>
    <row r="585" spans="2:5" x14ac:dyDescent="0.4">
      <c r="B585" s="215">
        <v>581</v>
      </c>
      <c r="C585" s="69" t="s">
        <v>248</v>
      </c>
      <c r="D585" s="70">
        <v>34146</v>
      </c>
      <c r="E585" s="85" t="s">
        <v>535</v>
      </c>
    </row>
    <row r="586" spans="2:5" x14ac:dyDescent="0.4">
      <c r="B586" s="215">
        <v>582</v>
      </c>
      <c r="C586" s="69" t="s">
        <v>248</v>
      </c>
      <c r="D586" s="70">
        <v>31909</v>
      </c>
      <c r="E586" s="85" t="s">
        <v>535</v>
      </c>
    </row>
    <row r="587" spans="2:5" x14ac:dyDescent="0.4">
      <c r="B587" s="213">
        <v>583</v>
      </c>
      <c r="C587" s="82" t="s">
        <v>9</v>
      </c>
      <c r="D587" s="2">
        <v>34144</v>
      </c>
      <c r="E587" s="85" t="s">
        <v>538</v>
      </c>
    </row>
    <row r="588" spans="2:5" x14ac:dyDescent="0.4">
      <c r="B588" s="213">
        <v>584</v>
      </c>
      <c r="C588" s="2" t="s">
        <v>528</v>
      </c>
      <c r="D588" s="2">
        <v>34132</v>
      </c>
      <c r="E588" s="85" t="s">
        <v>538</v>
      </c>
    </row>
    <row r="589" spans="2:5" x14ac:dyDescent="0.4">
      <c r="B589" s="213">
        <v>585</v>
      </c>
      <c r="C589" s="2" t="s">
        <v>528</v>
      </c>
      <c r="D589" s="2">
        <v>31214</v>
      </c>
      <c r="E589" s="85" t="s">
        <v>537</v>
      </c>
    </row>
    <row r="590" spans="2:5" x14ac:dyDescent="0.4">
      <c r="B590" s="215">
        <v>586</v>
      </c>
      <c r="C590" s="69" t="s">
        <v>248</v>
      </c>
      <c r="D590" s="70">
        <v>34144</v>
      </c>
      <c r="E590" s="85" t="s">
        <v>538</v>
      </c>
    </row>
    <row r="591" spans="2:5" x14ac:dyDescent="0.4">
      <c r="B591" s="213">
        <v>587</v>
      </c>
      <c r="C591" s="82" t="s">
        <v>9</v>
      </c>
      <c r="D591" s="2">
        <v>31212</v>
      </c>
      <c r="E591" s="85" t="s">
        <v>538</v>
      </c>
    </row>
    <row r="592" spans="2:5" x14ac:dyDescent="0.4">
      <c r="B592" s="213">
        <v>588</v>
      </c>
      <c r="C592" s="2" t="s">
        <v>528</v>
      </c>
      <c r="D592" s="2">
        <v>34151</v>
      </c>
      <c r="E592" s="85" t="s">
        <v>537</v>
      </c>
    </row>
    <row r="593" spans="2:5" x14ac:dyDescent="0.4">
      <c r="B593" s="213">
        <v>589</v>
      </c>
      <c r="C593" s="2" t="s">
        <v>528</v>
      </c>
      <c r="D593" s="2">
        <v>31212</v>
      </c>
      <c r="E593" s="85" t="s">
        <v>538</v>
      </c>
    </row>
    <row r="594" spans="2:5" x14ac:dyDescent="0.4">
      <c r="B594" s="213">
        <v>590</v>
      </c>
      <c r="C594" s="82" t="s">
        <v>9</v>
      </c>
      <c r="D594" s="2">
        <v>34137</v>
      </c>
      <c r="E594" s="85" t="s">
        <v>535</v>
      </c>
    </row>
    <row r="595" spans="2:5" x14ac:dyDescent="0.4">
      <c r="B595" s="215">
        <v>591</v>
      </c>
      <c r="C595" s="69" t="s">
        <v>248</v>
      </c>
      <c r="D595" s="70">
        <v>34143</v>
      </c>
      <c r="E595" s="85" t="s">
        <v>535</v>
      </c>
    </row>
    <row r="596" spans="2:5" x14ac:dyDescent="0.4">
      <c r="B596" s="213">
        <v>592</v>
      </c>
      <c r="C596" s="2" t="s">
        <v>528</v>
      </c>
      <c r="D596" s="2">
        <v>31211</v>
      </c>
      <c r="E596" s="85" t="s">
        <v>538</v>
      </c>
    </row>
    <row r="597" spans="2:5" x14ac:dyDescent="0.4">
      <c r="B597" s="213">
        <v>593</v>
      </c>
      <c r="C597" s="2" t="s">
        <v>528</v>
      </c>
      <c r="D597" s="2">
        <v>31211</v>
      </c>
      <c r="E597" s="85" t="s">
        <v>538</v>
      </c>
    </row>
    <row r="598" spans="2:5" x14ac:dyDescent="0.4">
      <c r="B598" s="218">
        <v>594</v>
      </c>
      <c r="C598" s="2" t="s">
        <v>528</v>
      </c>
      <c r="D598" s="2">
        <v>34148</v>
      </c>
      <c r="E598" s="85" t="s">
        <v>537</v>
      </c>
    </row>
    <row r="599" spans="2:5" x14ac:dyDescent="0.4">
      <c r="B599" s="218">
        <v>595</v>
      </c>
      <c r="C599" s="82" t="s">
        <v>9</v>
      </c>
      <c r="D599" s="2">
        <v>34139</v>
      </c>
      <c r="E599" s="85" t="s">
        <v>535</v>
      </c>
    </row>
    <row r="600" spans="2:5" x14ac:dyDescent="0.4">
      <c r="B600" s="218">
        <v>596</v>
      </c>
      <c r="C600" s="2" t="s">
        <v>528</v>
      </c>
      <c r="D600" s="2">
        <v>34149</v>
      </c>
      <c r="E600" s="85" t="s">
        <v>537</v>
      </c>
    </row>
    <row r="601" spans="2:5" x14ac:dyDescent="0.4">
      <c r="B601" s="218">
        <v>597</v>
      </c>
      <c r="C601" s="2" t="s">
        <v>528</v>
      </c>
      <c r="D601" s="2">
        <v>31205</v>
      </c>
      <c r="E601" s="85" t="s">
        <v>538</v>
      </c>
    </row>
    <row r="602" spans="2:5" x14ac:dyDescent="0.4">
      <c r="B602" s="218">
        <v>598</v>
      </c>
      <c r="C602" s="82" t="s">
        <v>9</v>
      </c>
      <c r="D602" s="2">
        <v>34136</v>
      </c>
      <c r="E602" s="85" t="s">
        <v>538</v>
      </c>
    </row>
    <row r="603" spans="2:5" x14ac:dyDescent="0.4">
      <c r="B603" s="218">
        <v>599</v>
      </c>
      <c r="C603" s="82" t="s">
        <v>9</v>
      </c>
      <c r="D603" s="2">
        <v>35153</v>
      </c>
      <c r="E603" s="85" t="s">
        <v>539</v>
      </c>
    </row>
    <row r="604" spans="2:5" x14ac:dyDescent="0.4">
      <c r="B604" s="218">
        <v>600</v>
      </c>
      <c r="C604" s="82" t="s">
        <v>9</v>
      </c>
      <c r="D604" s="2">
        <v>34141</v>
      </c>
      <c r="E604" s="85" t="s">
        <v>537</v>
      </c>
    </row>
    <row r="605" spans="2:5" x14ac:dyDescent="0.4">
      <c r="B605" s="219">
        <v>601</v>
      </c>
      <c r="C605" s="69" t="s">
        <v>248</v>
      </c>
      <c r="D605" s="70">
        <v>35152</v>
      </c>
      <c r="E605" s="85" t="s">
        <v>539</v>
      </c>
    </row>
    <row r="606" spans="2:5" x14ac:dyDescent="0.4">
      <c r="B606" s="218">
        <v>602</v>
      </c>
      <c r="C606" s="82" t="s">
        <v>9</v>
      </c>
      <c r="D606" s="2">
        <v>34137</v>
      </c>
      <c r="E606" s="85" t="s">
        <v>535</v>
      </c>
    </row>
    <row r="607" spans="2:5" x14ac:dyDescent="0.4">
      <c r="B607" s="218">
        <v>603</v>
      </c>
      <c r="C607" s="82" t="s">
        <v>9</v>
      </c>
      <c r="D607" s="2">
        <v>34134</v>
      </c>
      <c r="E607" s="85" t="s">
        <v>538</v>
      </c>
    </row>
    <row r="608" spans="2:5" x14ac:dyDescent="0.4">
      <c r="B608" s="219">
        <v>604</v>
      </c>
      <c r="C608" s="69" t="s">
        <v>248</v>
      </c>
      <c r="D608" s="70">
        <v>34137</v>
      </c>
      <c r="E608" s="85" t="s">
        <v>535</v>
      </c>
    </row>
    <row r="609" spans="2:5" x14ac:dyDescent="0.4">
      <c r="B609" s="218">
        <v>605</v>
      </c>
      <c r="C609" s="2" t="s">
        <v>528</v>
      </c>
      <c r="D609" s="2">
        <v>35145</v>
      </c>
      <c r="E609" s="85" t="s">
        <v>539</v>
      </c>
    </row>
    <row r="610" spans="2:5" x14ac:dyDescent="0.4">
      <c r="B610" s="218">
        <v>606</v>
      </c>
      <c r="C610" s="2" t="s">
        <v>528</v>
      </c>
      <c r="D610" s="2">
        <v>34152</v>
      </c>
      <c r="E610" s="85" t="s">
        <v>537</v>
      </c>
    </row>
    <row r="611" spans="2:5" x14ac:dyDescent="0.4">
      <c r="B611" s="218">
        <v>607</v>
      </c>
      <c r="C611" s="82" t="s">
        <v>9</v>
      </c>
      <c r="D611" s="2">
        <v>34136</v>
      </c>
      <c r="E611" s="85" t="s">
        <v>538</v>
      </c>
    </row>
    <row r="612" spans="2:5" x14ac:dyDescent="0.4">
      <c r="B612" s="218">
        <v>608</v>
      </c>
      <c r="C612" s="2" t="s">
        <v>528</v>
      </c>
      <c r="D612" s="2">
        <v>38112</v>
      </c>
      <c r="E612" s="85" t="s">
        <v>536</v>
      </c>
    </row>
    <row r="613" spans="2:5" x14ac:dyDescent="0.4">
      <c r="B613" s="219">
        <v>609</v>
      </c>
      <c r="C613" s="70" t="s">
        <v>248</v>
      </c>
      <c r="D613" s="70">
        <v>34150</v>
      </c>
      <c r="E613" s="85" t="s">
        <v>537</v>
      </c>
    </row>
    <row r="614" spans="2:5" x14ac:dyDescent="0.4">
      <c r="B614" s="219">
        <v>610</v>
      </c>
      <c r="C614" s="70" t="s">
        <v>248</v>
      </c>
      <c r="D614" s="70">
        <v>34150</v>
      </c>
      <c r="E614" s="85" t="s">
        <v>537</v>
      </c>
    </row>
    <row r="615" spans="2:5" x14ac:dyDescent="0.4">
      <c r="B615" s="218">
        <v>611</v>
      </c>
      <c r="C615" s="2" t="s">
        <v>528</v>
      </c>
      <c r="D615" s="2">
        <v>34134</v>
      </c>
      <c r="E615" s="85" t="s">
        <v>538</v>
      </c>
    </row>
    <row r="616" spans="2:5" x14ac:dyDescent="0.4">
      <c r="B616" s="218">
        <v>612</v>
      </c>
      <c r="C616" s="2" t="s">
        <v>528</v>
      </c>
      <c r="D616" s="2">
        <v>34145</v>
      </c>
      <c r="E616" s="85" t="s">
        <v>537</v>
      </c>
    </row>
    <row r="617" spans="2:5" x14ac:dyDescent="0.4">
      <c r="B617" s="218">
        <v>613</v>
      </c>
      <c r="C617" s="82" t="s">
        <v>9</v>
      </c>
      <c r="D617" s="2">
        <v>35144</v>
      </c>
      <c r="E617" s="85" t="s">
        <v>539</v>
      </c>
    </row>
    <row r="618" spans="2:5" x14ac:dyDescent="0.4">
      <c r="B618" s="218">
        <v>614</v>
      </c>
      <c r="C618" s="82" t="s">
        <v>248</v>
      </c>
      <c r="D618" s="2">
        <v>35155</v>
      </c>
      <c r="E618" s="85" t="s">
        <v>539</v>
      </c>
    </row>
    <row r="619" spans="2:5" x14ac:dyDescent="0.4">
      <c r="B619" s="218">
        <v>615</v>
      </c>
      <c r="C619" s="82" t="s">
        <v>9</v>
      </c>
      <c r="D619" s="2">
        <v>35156</v>
      </c>
      <c r="E619" s="85" t="s">
        <v>539</v>
      </c>
    </row>
    <row r="620" spans="2:5" x14ac:dyDescent="0.4">
      <c r="B620" s="218">
        <v>616</v>
      </c>
      <c r="C620" s="2" t="s">
        <v>528</v>
      </c>
      <c r="D620" s="2">
        <v>34152</v>
      </c>
      <c r="E620" s="85" t="s">
        <v>537</v>
      </c>
    </row>
    <row r="621" spans="2:5" x14ac:dyDescent="0.4">
      <c r="B621" s="218">
        <v>617</v>
      </c>
      <c r="C621" s="82" t="s">
        <v>9</v>
      </c>
      <c r="D621" s="2">
        <v>34152</v>
      </c>
      <c r="E621" s="85" t="s">
        <v>537</v>
      </c>
    </row>
    <row r="622" spans="2:5" x14ac:dyDescent="0.4">
      <c r="B622" s="218">
        <v>618</v>
      </c>
      <c r="C622" s="2" t="s">
        <v>528</v>
      </c>
      <c r="D622" s="2">
        <v>31206</v>
      </c>
      <c r="E622" s="85" t="s">
        <v>538</v>
      </c>
    </row>
    <row r="623" spans="2:5" x14ac:dyDescent="0.4">
      <c r="B623" s="218">
        <v>619</v>
      </c>
      <c r="C623" s="82" t="s">
        <v>9</v>
      </c>
      <c r="D623" s="2">
        <v>35152</v>
      </c>
      <c r="E623" s="85" t="s">
        <v>539</v>
      </c>
    </row>
    <row r="624" spans="2:5" x14ac:dyDescent="0.4">
      <c r="B624" s="219">
        <v>620</v>
      </c>
      <c r="C624" s="69" t="s">
        <v>248</v>
      </c>
      <c r="D624" s="70">
        <v>38107</v>
      </c>
      <c r="E624" s="85" t="e">
        <v>#N/A</v>
      </c>
    </row>
    <row r="625" spans="2:5" x14ac:dyDescent="0.4">
      <c r="B625" s="218">
        <v>621</v>
      </c>
      <c r="C625" s="2" t="s">
        <v>528</v>
      </c>
      <c r="D625" s="2">
        <v>34145</v>
      </c>
      <c r="E625" s="85" t="s">
        <v>537</v>
      </c>
    </row>
    <row r="626" spans="2:5" x14ac:dyDescent="0.4">
      <c r="B626" s="218">
        <v>622</v>
      </c>
      <c r="C626" s="82" t="s">
        <v>9</v>
      </c>
      <c r="D626" s="2">
        <v>34139</v>
      </c>
      <c r="E626" s="85" t="s">
        <v>535</v>
      </c>
    </row>
    <row r="627" spans="2:5" x14ac:dyDescent="0.4">
      <c r="B627" s="218">
        <v>623</v>
      </c>
      <c r="C627" s="82" t="s">
        <v>9</v>
      </c>
      <c r="D627" s="2">
        <v>34151</v>
      </c>
      <c r="E627" s="85" t="s">
        <v>537</v>
      </c>
    </row>
    <row r="628" spans="2:5" x14ac:dyDescent="0.4">
      <c r="B628" s="218">
        <v>624</v>
      </c>
      <c r="C628" s="2" t="s">
        <v>528</v>
      </c>
      <c r="D628" s="2">
        <v>35145</v>
      </c>
      <c r="E628" s="85" t="s">
        <v>539</v>
      </c>
    </row>
    <row r="629" spans="2:5" x14ac:dyDescent="0.4">
      <c r="B629" s="218">
        <v>625</v>
      </c>
      <c r="C629" s="2" t="s">
        <v>528</v>
      </c>
      <c r="D629" s="2">
        <v>34147</v>
      </c>
      <c r="E629" s="85" t="s">
        <v>535</v>
      </c>
    </row>
    <row r="630" spans="2:5" x14ac:dyDescent="0.4">
      <c r="B630" s="218">
        <v>626</v>
      </c>
      <c r="C630" s="2" t="s">
        <v>528</v>
      </c>
      <c r="D630" s="2">
        <v>31204</v>
      </c>
      <c r="E630" s="85" t="s">
        <v>538</v>
      </c>
    </row>
    <row r="631" spans="2:5" x14ac:dyDescent="0.4">
      <c r="B631" s="218">
        <v>627</v>
      </c>
      <c r="C631" s="82" t="s">
        <v>9</v>
      </c>
      <c r="D631" s="2">
        <v>35153</v>
      </c>
      <c r="E631" s="85" t="s">
        <v>539</v>
      </c>
    </row>
    <row r="632" spans="2:5" x14ac:dyDescent="0.4">
      <c r="B632" s="218">
        <v>628</v>
      </c>
      <c r="C632" s="2" t="s">
        <v>528</v>
      </c>
      <c r="D632" s="2">
        <v>34137</v>
      </c>
      <c r="E632" s="85" t="s">
        <v>535</v>
      </c>
    </row>
    <row r="633" spans="2:5" x14ac:dyDescent="0.4">
      <c r="B633" s="218">
        <v>629</v>
      </c>
      <c r="C633" s="82" t="s">
        <v>9</v>
      </c>
      <c r="D633" s="2">
        <v>34136</v>
      </c>
      <c r="E633" s="85" t="s">
        <v>538</v>
      </c>
    </row>
    <row r="634" spans="2:5" x14ac:dyDescent="0.4">
      <c r="B634" s="218">
        <v>630</v>
      </c>
      <c r="C634" s="82" t="s">
        <v>9</v>
      </c>
      <c r="D634" s="2">
        <v>31205</v>
      </c>
      <c r="E634" s="85" t="s">
        <v>538</v>
      </c>
    </row>
    <row r="635" spans="2:5" x14ac:dyDescent="0.4">
      <c r="B635" s="218">
        <v>631</v>
      </c>
      <c r="C635" s="82" t="s">
        <v>9</v>
      </c>
      <c r="D635" s="2">
        <v>34134</v>
      </c>
      <c r="E635" s="85" t="s">
        <v>538</v>
      </c>
    </row>
    <row r="636" spans="2:5" x14ac:dyDescent="0.4">
      <c r="B636" s="219">
        <v>632</v>
      </c>
      <c r="C636" s="69" t="s">
        <v>248</v>
      </c>
      <c r="D636" s="70">
        <v>34145</v>
      </c>
      <c r="E636" s="85" t="s">
        <v>537</v>
      </c>
    </row>
    <row r="637" spans="2:5" x14ac:dyDescent="0.4">
      <c r="B637" s="218">
        <v>633</v>
      </c>
      <c r="C637" s="82" t="s">
        <v>9</v>
      </c>
      <c r="D637" s="2">
        <v>34134</v>
      </c>
      <c r="E637" s="85" t="s">
        <v>538</v>
      </c>
    </row>
    <row r="638" spans="2:5" x14ac:dyDescent="0.4">
      <c r="B638" s="218">
        <v>634</v>
      </c>
      <c r="C638" s="82" t="s">
        <v>9</v>
      </c>
      <c r="D638" s="2">
        <v>34149</v>
      </c>
      <c r="E638" s="85" t="s">
        <v>537</v>
      </c>
    </row>
    <row r="639" spans="2:5" x14ac:dyDescent="0.4">
      <c r="B639" s="218">
        <v>635</v>
      </c>
      <c r="C639" s="82" t="s">
        <v>9</v>
      </c>
      <c r="D639" s="2">
        <v>34149</v>
      </c>
      <c r="E639" s="85" t="s">
        <v>537</v>
      </c>
    </row>
    <row r="640" spans="2:5" x14ac:dyDescent="0.4">
      <c r="B640" s="218">
        <v>636</v>
      </c>
      <c r="C640" s="82" t="s">
        <v>9</v>
      </c>
      <c r="D640" s="2">
        <v>31212</v>
      </c>
      <c r="E640" s="85" t="s">
        <v>538</v>
      </c>
    </row>
    <row r="641" spans="2:5" x14ac:dyDescent="0.4">
      <c r="B641" s="213">
        <v>637</v>
      </c>
      <c r="C641" s="82" t="s">
        <v>9</v>
      </c>
      <c r="D641" s="2">
        <v>34144</v>
      </c>
      <c r="E641" s="85" t="s">
        <v>538</v>
      </c>
    </row>
    <row r="642" spans="2:5" x14ac:dyDescent="0.4">
      <c r="B642" s="215">
        <v>638</v>
      </c>
      <c r="C642" s="69" t="s">
        <v>248</v>
      </c>
      <c r="D642" s="70">
        <v>34148</v>
      </c>
      <c r="E642" s="85" t="s">
        <v>537</v>
      </c>
    </row>
    <row r="643" spans="2:5" x14ac:dyDescent="0.4">
      <c r="B643" s="213">
        <v>639</v>
      </c>
      <c r="C643" s="82" t="s">
        <v>9</v>
      </c>
      <c r="D643" s="2">
        <v>34148</v>
      </c>
      <c r="E643" s="85" t="s">
        <v>537</v>
      </c>
    </row>
    <row r="644" spans="2:5" x14ac:dyDescent="0.4">
      <c r="B644" s="215">
        <v>640</v>
      </c>
      <c r="C644" s="69" t="s">
        <v>248</v>
      </c>
      <c r="D644" s="70">
        <v>34144</v>
      </c>
      <c r="E644" s="85" t="s">
        <v>538</v>
      </c>
    </row>
    <row r="645" spans="2:5" x14ac:dyDescent="0.4">
      <c r="B645" s="218">
        <v>641</v>
      </c>
      <c r="C645" s="2" t="s">
        <v>528</v>
      </c>
      <c r="D645" s="82">
        <v>34147</v>
      </c>
      <c r="E645" s="85" t="s">
        <v>535</v>
      </c>
    </row>
    <row r="646" spans="2:5" x14ac:dyDescent="0.4">
      <c r="B646" s="218">
        <v>642</v>
      </c>
      <c r="C646" s="82" t="s">
        <v>9</v>
      </c>
      <c r="D646" s="82">
        <v>34149</v>
      </c>
      <c r="E646" s="85" t="s">
        <v>537</v>
      </c>
    </row>
    <row r="647" spans="2:5" x14ac:dyDescent="0.4">
      <c r="B647" s="213">
        <v>643</v>
      </c>
      <c r="C647" s="2" t="s">
        <v>528</v>
      </c>
      <c r="D647" s="82">
        <v>34144</v>
      </c>
      <c r="E647" s="85" t="s">
        <v>538</v>
      </c>
    </row>
    <row r="648" spans="2:5" x14ac:dyDescent="0.4">
      <c r="B648" s="213">
        <v>644</v>
      </c>
      <c r="C648" s="82" t="s">
        <v>9</v>
      </c>
      <c r="D648" s="82">
        <v>34133</v>
      </c>
      <c r="E648" s="85" t="s">
        <v>538</v>
      </c>
    </row>
    <row r="649" spans="2:5" x14ac:dyDescent="0.4">
      <c r="B649" s="218">
        <v>645</v>
      </c>
      <c r="C649" s="82" t="s">
        <v>9</v>
      </c>
      <c r="D649" s="82">
        <v>31210</v>
      </c>
      <c r="E649" s="85" t="s">
        <v>538</v>
      </c>
    </row>
    <row r="650" spans="2:5" x14ac:dyDescent="0.4">
      <c r="B650" s="218">
        <v>646</v>
      </c>
      <c r="C650" s="2" t="s">
        <v>528</v>
      </c>
      <c r="D650" s="82">
        <v>34132</v>
      </c>
      <c r="E650" s="85" t="s">
        <v>538</v>
      </c>
    </row>
    <row r="651" spans="2:5" x14ac:dyDescent="0.4">
      <c r="B651" s="218">
        <v>647</v>
      </c>
      <c r="C651" s="2" t="s">
        <v>528</v>
      </c>
      <c r="D651" s="82">
        <v>34134</v>
      </c>
      <c r="E651" s="85" t="s">
        <v>538</v>
      </c>
    </row>
    <row r="652" spans="2:5" x14ac:dyDescent="0.4">
      <c r="B652" s="218">
        <v>648</v>
      </c>
      <c r="C652" s="82" t="s">
        <v>9</v>
      </c>
      <c r="D652" s="82">
        <v>34134</v>
      </c>
      <c r="E652" s="85" t="s">
        <v>538</v>
      </c>
    </row>
    <row r="653" spans="2:5" x14ac:dyDescent="0.4">
      <c r="B653" s="218">
        <v>649</v>
      </c>
      <c r="C653" s="2" t="s">
        <v>528</v>
      </c>
      <c r="D653" s="82">
        <v>34134</v>
      </c>
      <c r="E653" s="85" t="s">
        <v>538</v>
      </c>
    </row>
    <row r="654" spans="2:5" x14ac:dyDescent="0.4">
      <c r="B654" s="218">
        <v>650</v>
      </c>
      <c r="C654" s="82" t="s">
        <v>9</v>
      </c>
      <c r="D654" s="82">
        <v>34142</v>
      </c>
      <c r="E654" s="85" t="s">
        <v>535</v>
      </c>
    </row>
    <row r="655" spans="2:5" x14ac:dyDescent="0.4">
      <c r="B655" s="213">
        <v>651</v>
      </c>
      <c r="C655" s="82" t="s">
        <v>9</v>
      </c>
      <c r="D655" s="82">
        <v>34145</v>
      </c>
      <c r="E655" s="85" t="s">
        <v>537</v>
      </c>
    </row>
    <row r="656" spans="2:5" x14ac:dyDescent="0.4">
      <c r="B656" s="215">
        <v>652</v>
      </c>
      <c r="C656" s="69" t="s">
        <v>248</v>
      </c>
      <c r="D656" s="69">
        <v>34142</v>
      </c>
      <c r="E656" s="85" t="s">
        <v>535</v>
      </c>
    </row>
    <row r="657" spans="2:5" x14ac:dyDescent="0.4">
      <c r="B657" s="213">
        <v>653</v>
      </c>
      <c r="C657" s="2" t="s">
        <v>9</v>
      </c>
      <c r="D657" s="82">
        <v>34145</v>
      </c>
      <c r="E657" s="85" t="s">
        <v>537</v>
      </c>
    </row>
    <row r="658" spans="2:5" x14ac:dyDescent="0.4">
      <c r="B658" s="213">
        <v>654</v>
      </c>
      <c r="C658" s="82" t="s">
        <v>9</v>
      </c>
      <c r="D658" s="82">
        <v>34146</v>
      </c>
      <c r="E658" s="85" t="s">
        <v>535</v>
      </c>
    </row>
    <row r="659" spans="2:5" x14ac:dyDescent="0.4">
      <c r="B659" s="215">
        <v>655</v>
      </c>
      <c r="C659" s="69" t="s">
        <v>248</v>
      </c>
      <c r="D659" s="69">
        <v>31212</v>
      </c>
      <c r="E659" s="85" t="s">
        <v>538</v>
      </c>
    </row>
    <row r="660" spans="2:5" x14ac:dyDescent="0.4">
      <c r="B660" s="215">
        <v>656</v>
      </c>
      <c r="C660" s="69" t="s">
        <v>248</v>
      </c>
      <c r="D660" s="69">
        <v>34142</v>
      </c>
      <c r="E660" s="85" t="s">
        <v>535</v>
      </c>
    </row>
    <row r="661" spans="2:5" x14ac:dyDescent="0.4">
      <c r="B661" s="213">
        <v>657</v>
      </c>
      <c r="C661" s="82" t="s">
        <v>9</v>
      </c>
      <c r="D661" s="82">
        <v>31215</v>
      </c>
      <c r="E661" s="85" t="s">
        <v>537</v>
      </c>
    </row>
    <row r="662" spans="2:5" x14ac:dyDescent="0.4">
      <c r="B662" s="213">
        <v>658</v>
      </c>
      <c r="C662" s="2" t="s">
        <v>528</v>
      </c>
      <c r="D662" s="82">
        <v>34146</v>
      </c>
      <c r="E662" s="85" t="s">
        <v>535</v>
      </c>
    </row>
    <row r="663" spans="2:5" x14ac:dyDescent="0.4">
      <c r="B663" s="213">
        <v>659</v>
      </c>
      <c r="C663" s="82" t="s">
        <v>9</v>
      </c>
      <c r="D663" s="82">
        <v>34146</v>
      </c>
      <c r="E663" s="85" t="s">
        <v>535</v>
      </c>
    </row>
    <row r="664" spans="2:5" x14ac:dyDescent="0.4">
      <c r="B664" s="213">
        <v>660</v>
      </c>
      <c r="C664" s="82" t="s">
        <v>9</v>
      </c>
      <c r="D664" s="82">
        <v>34147</v>
      </c>
      <c r="E664" s="85" t="s">
        <v>535</v>
      </c>
    </row>
    <row r="665" spans="2:5" x14ac:dyDescent="0.4">
      <c r="B665" s="213">
        <v>661</v>
      </c>
      <c r="C665" s="82" t="s">
        <v>9</v>
      </c>
      <c r="D665" s="82">
        <v>34149</v>
      </c>
      <c r="E665" s="85" t="s">
        <v>537</v>
      </c>
    </row>
    <row r="666" spans="2:5" x14ac:dyDescent="0.4">
      <c r="B666" s="213">
        <v>662</v>
      </c>
      <c r="C666" s="82" t="s">
        <v>9</v>
      </c>
      <c r="D666" s="82">
        <v>34145</v>
      </c>
      <c r="E666" s="85" t="s">
        <v>537</v>
      </c>
    </row>
    <row r="667" spans="2:5" x14ac:dyDescent="0.4">
      <c r="B667" s="213">
        <v>663</v>
      </c>
      <c r="C667" s="2" t="s">
        <v>528</v>
      </c>
      <c r="D667" s="82">
        <v>31212</v>
      </c>
      <c r="E667" s="85" t="s">
        <v>538</v>
      </c>
    </row>
    <row r="668" spans="2:5" x14ac:dyDescent="0.4">
      <c r="B668" s="218">
        <v>664</v>
      </c>
      <c r="C668" s="82" t="s">
        <v>9</v>
      </c>
      <c r="D668" s="82">
        <v>34147</v>
      </c>
      <c r="E668" s="85" t="s">
        <v>535</v>
      </c>
    </row>
    <row r="669" spans="2:5" x14ac:dyDescent="0.4">
      <c r="B669" s="218">
        <v>665</v>
      </c>
      <c r="C669" s="82" t="s">
        <v>9</v>
      </c>
      <c r="D669" s="82">
        <v>34145</v>
      </c>
      <c r="E669" s="85" t="s">
        <v>537</v>
      </c>
    </row>
    <row r="670" spans="2:5" x14ac:dyDescent="0.4">
      <c r="B670" s="218">
        <v>666</v>
      </c>
      <c r="C670" s="2" t="s">
        <v>528</v>
      </c>
      <c r="D670" s="82">
        <v>35150</v>
      </c>
      <c r="E670" s="85" t="s">
        <v>539</v>
      </c>
    </row>
    <row r="671" spans="2:5" x14ac:dyDescent="0.4">
      <c r="B671" s="218">
        <v>667</v>
      </c>
      <c r="C671" s="82" t="s">
        <v>9</v>
      </c>
      <c r="D671" s="82">
        <v>35157</v>
      </c>
      <c r="E671" s="85" t="s">
        <v>539</v>
      </c>
    </row>
    <row r="672" spans="2:5" x14ac:dyDescent="0.4">
      <c r="B672" s="218">
        <v>668</v>
      </c>
      <c r="C672" s="82" t="s">
        <v>9</v>
      </c>
      <c r="D672" s="82">
        <v>31214</v>
      </c>
      <c r="E672" s="85" t="s">
        <v>537</v>
      </c>
    </row>
    <row r="673" spans="2:5" x14ac:dyDescent="0.4">
      <c r="B673" s="219">
        <v>669</v>
      </c>
      <c r="C673" s="70" t="s">
        <v>248</v>
      </c>
      <c r="D673" s="69">
        <v>34150</v>
      </c>
      <c r="E673" s="85" t="s">
        <v>537</v>
      </c>
    </row>
    <row r="674" spans="2:5" x14ac:dyDescent="0.4">
      <c r="B674" s="218">
        <v>670</v>
      </c>
      <c r="C674" s="82" t="s">
        <v>9</v>
      </c>
      <c r="D674" s="82">
        <v>34133</v>
      </c>
      <c r="E674" s="85" t="s">
        <v>538</v>
      </c>
    </row>
    <row r="675" spans="2:5" x14ac:dyDescent="0.4">
      <c r="B675" s="219">
        <v>671</v>
      </c>
      <c r="C675" s="70" t="s">
        <v>248</v>
      </c>
      <c r="D675" s="69">
        <v>34133</v>
      </c>
      <c r="E675" s="85" t="s">
        <v>538</v>
      </c>
    </row>
    <row r="676" spans="2:5" x14ac:dyDescent="0.4">
      <c r="B676" s="219">
        <v>672</v>
      </c>
      <c r="C676" s="69" t="s">
        <v>248</v>
      </c>
      <c r="D676" s="69">
        <v>34151</v>
      </c>
      <c r="E676" s="85" t="s">
        <v>537</v>
      </c>
    </row>
    <row r="677" spans="2:5" x14ac:dyDescent="0.4">
      <c r="B677" s="218">
        <v>673</v>
      </c>
      <c r="C677" s="69" t="s">
        <v>248</v>
      </c>
      <c r="D677" s="82">
        <v>34145</v>
      </c>
      <c r="E677" s="85" t="s">
        <v>537</v>
      </c>
    </row>
    <row r="678" spans="2:5" x14ac:dyDescent="0.4">
      <c r="B678" s="218">
        <v>674</v>
      </c>
      <c r="C678" s="82" t="s">
        <v>9</v>
      </c>
      <c r="D678" s="82">
        <v>34145</v>
      </c>
      <c r="E678" s="85" t="s">
        <v>537</v>
      </c>
    </row>
    <row r="679" spans="2:5" x14ac:dyDescent="0.4">
      <c r="B679" s="218">
        <v>675</v>
      </c>
      <c r="C679" s="82" t="s">
        <v>9</v>
      </c>
      <c r="D679" s="82">
        <v>34145</v>
      </c>
      <c r="E679" s="85" t="s">
        <v>537</v>
      </c>
    </row>
    <row r="680" spans="2:5" x14ac:dyDescent="0.4">
      <c r="B680" s="218">
        <v>676</v>
      </c>
      <c r="C680" s="82" t="s">
        <v>9</v>
      </c>
      <c r="D680" s="82">
        <v>34133</v>
      </c>
      <c r="E680" s="85" t="s">
        <v>538</v>
      </c>
    </row>
    <row r="681" spans="2:5" x14ac:dyDescent="0.4">
      <c r="B681" s="218">
        <v>677</v>
      </c>
      <c r="C681" s="82" t="s">
        <v>9</v>
      </c>
      <c r="D681" s="82">
        <v>34133</v>
      </c>
      <c r="E681" s="85" t="s">
        <v>538</v>
      </c>
    </row>
    <row r="682" spans="2:5" x14ac:dyDescent="0.4">
      <c r="B682" s="218">
        <v>678</v>
      </c>
      <c r="C682" s="82" t="s">
        <v>9</v>
      </c>
      <c r="D682" s="82">
        <v>35145</v>
      </c>
      <c r="E682" s="85" t="s">
        <v>539</v>
      </c>
    </row>
    <row r="683" spans="2:5" x14ac:dyDescent="0.4">
      <c r="B683" s="218">
        <v>679</v>
      </c>
      <c r="C683" s="82" t="s">
        <v>9</v>
      </c>
      <c r="D683" s="82">
        <v>34146</v>
      </c>
      <c r="E683" s="85" t="s">
        <v>535</v>
      </c>
    </row>
    <row r="684" spans="2:5" x14ac:dyDescent="0.4">
      <c r="B684" s="219">
        <v>680</v>
      </c>
      <c r="C684" s="69" t="s">
        <v>248</v>
      </c>
      <c r="D684" s="69">
        <v>31162</v>
      </c>
      <c r="E684" s="85" t="e">
        <v>#N/A</v>
      </c>
    </row>
    <row r="685" spans="2:5" x14ac:dyDescent="0.4">
      <c r="B685" s="212">
        <v>681</v>
      </c>
      <c r="C685" s="82" t="s">
        <v>528</v>
      </c>
      <c r="D685" s="82">
        <v>34151</v>
      </c>
      <c r="E685" s="85" t="s">
        <v>537</v>
      </c>
    </row>
    <row r="686" spans="2:5" x14ac:dyDescent="0.4">
      <c r="B686" s="216">
        <v>682</v>
      </c>
      <c r="C686" s="69" t="s">
        <v>248</v>
      </c>
      <c r="D686" s="69">
        <v>34151</v>
      </c>
      <c r="E686" s="85" t="s">
        <v>537</v>
      </c>
    </row>
    <row r="687" spans="2:5" x14ac:dyDescent="0.4">
      <c r="B687" s="216">
        <v>683</v>
      </c>
      <c r="C687" s="69" t="s">
        <v>248</v>
      </c>
      <c r="D687" s="69">
        <v>34151</v>
      </c>
      <c r="E687" s="85" t="s">
        <v>537</v>
      </c>
    </row>
    <row r="688" spans="2:5" x14ac:dyDescent="0.4">
      <c r="B688" s="216">
        <v>684</v>
      </c>
      <c r="C688" s="70" t="s">
        <v>248</v>
      </c>
      <c r="D688" s="69">
        <v>34150</v>
      </c>
      <c r="E688" s="85" t="s">
        <v>537</v>
      </c>
    </row>
    <row r="689" spans="2:5" x14ac:dyDescent="0.4">
      <c r="B689" s="216">
        <v>685</v>
      </c>
      <c r="C689" s="70" t="s">
        <v>248</v>
      </c>
      <c r="D689" s="69">
        <v>34150</v>
      </c>
      <c r="E689" s="85" t="s">
        <v>537</v>
      </c>
    </row>
    <row r="690" spans="2:5" x14ac:dyDescent="0.4">
      <c r="B690" s="212">
        <v>686</v>
      </c>
      <c r="C690" s="82" t="s">
        <v>9</v>
      </c>
      <c r="D690" s="82">
        <v>31212</v>
      </c>
      <c r="E690" s="85" t="s">
        <v>538</v>
      </c>
    </row>
    <row r="691" spans="2:5" x14ac:dyDescent="0.4">
      <c r="B691" s="212">
        <v>687</v>
      </c>
      <c r="C691" s="82" t="s">
        <v>528</v>
      </c>
      <c r="D691" s="82">
        <v>31212</v>
      </c>
      <c r="E691" s="85" t="s">
        <v>538</v>
      </c>
    </row>
    <row r="692" spans="2:5" x14ac:dyDescent="0.4">
      <c r="B692" s="212">
        <v>688</v>
      </c>
      <c r="C692" s="82" t="s">
        <v>528</v>
      </c>
      <c r="D692" s="82">
        <v>31213</v>
      </c>
      <c r="E692" s="85" t="s">
        <v>538</v>
      </c>
    </row>
    <row r="693" spans="2:5" x14ac:dyDescent="0.4">
      <c r="B693" s="212">
        <v>689</v>
      </c>
      <c r="C693" s="82" t="s">
        <v>9</v>
      </c>
      <c r="D693" s="82">
        <v>31214</v>
      </c>
      <c r="E693" s="85" t="s">
        <v>537</v>
      </c>
    </row>
    <row r="694" spans="2:5" x14ac:dyDescent="0.4">
      <c r="B694" s="212">
        <v>690</v>
      </c>
      <c r="C694" s="82" t="s">
        <v>9</v>
      </c>
      <c r="D694" s="82">
        <v>34146</v>
      </c>
      <c r="E694" s="85" t="s">
        <v>535</v>
      </c>
    </row>
    <row r="695" spans="2:5" x14ac:dyDescent="0.4">
      <c r="B695" s="212">
        <v>691</v>
      </c>
      <c r="C695" s="82" t="s">
        <v>9</v>
      </c>
      <c r="D695" s="82">
        <v>35149</v>
      </c>
      <c r="E695" s="85" t="s">
        <v>539</v>
      </c>
    </row>
    <row r="696" spans="2:5" x14ac:dyDescent="0.4">
      <c r="B696" s="212">
        <v>692</v>
      </c>
      <c r="C696" s="82" t="s">
        <v>528</v>
      </c>
      <c r="D696" s="82">
        <v>34152</v>
      </c>
      <c r="E696" s="85" t="s">
        <v>537</v>
      </c>
    </row>
    <row r="697" spans="2:5" x14ac:dyDescent="0.4">
      <c r="B697" s="216">
        <v>693</v>
      </c>
      <c r="C697" s="69" t="s">
        <v>248</v>
      </c>
      <c r="D697" s="69">
        <v>34152</v>
      </c>
      <c r="E697" s="85" t="s">
        <v>537</v>
      </c>
    </row>
    <row r="698" spans="2:5" x14ac:dyDescent="0.4">
      <c r="B698" s="216">
        <v>694</v>
      </c>
      <c r="C698" s="70" t="s">
        <v>248</v>
      </c>
      <c r="D698" s="69">
        <v>34150</v>
      </c>
      <c r="E698" s="85" t="s">
        <v>537</v>
      </c>
    </row>
    <row r="699" spans="2:5" x14ac:dyDescent="0.4">
      <c r="B699" s="212">
        <v>695</v>
      </c>
      <c r="C699" s="70" t="s">
        <v>248</v>
      </c>
      <c r="D699" s="82">
        <v>34150</v>
      </c>
      <c r="E699" s="85" t="s">
        <v>537</v>
      </c>
    </row>
    <row r="700" spans="2:5" x14ac:dyDescent="0.4">
      <c r="B700" s="212">
        <v>696</v>
      </c>
      <c r="C700" s="82" t="s">
        <v>9</v>
      </c>
      <c r="D700" s="82">
        <v>34150</v>
      </c>
      <c r="E700" s="85" t="s">
        <v>537</v>
      </c>
    </row>
    <row r="701" spans="2:5" x14ac:dyDescent="0.4">
      <c r="B701" s="216">
        <v>697</v>
      </c>
      <c r="C701" s="69" t="s">
        <v>248</v>
      </c>
      <c r="D701" s="69">
        <v>34148</v>
      </c>
      <c r="E701" s="85" t="s">
        <v>537</v>
      </c>
    </row>
    <row r="702" spans="2:5" x14ac:dyDescent="0.4">
      <c r="B702" s="212">
        <v>698</v>
      </c>
      <c r="C702" s="82" t="s">
        <v>528</v>
      </c>
      <c r="D702" s="82">
        <v>34148</v>
      </c>
      <c r="E702" s="85" t="s">
        <v>537</v>
      </c>
    </row>
    <row r="703" spans="2:5" x14ac:dyDescent="0.4">
      <c r="B703" s="216">
        <v>699</v>
      </c>
      <c r="C703" s="69" t="s">
        <v>248</v>
      </c>
      <c r="D703" s="69">
        <v>31207</v>
      </c>
      <c r="E703" s="85" t="s">
        <v>538</v>
      </c>
    </row>
    <row r="704" spans="2:5" x14ac:dyDescent="0.4">
      <c r="B704" s="212">
        <v>700</v>
      </c>
      <c r="C704" s="82" t="s">
        <v>528</v>
      </c>
      <c r="D704" s="82">
        <v>34150</v>
      </c>
      <c r="E704" s="85" t="s">
        <v>537</v>
      </c>
    </row>
    <row r="705" spans="2:5" x14ac:dyDescent="0.4">
      <c r="B705" s="212">
        <v>701</v>
      </c>
      <c r="C705" s="82" t="s">
        <v>9</v>
      </c>
      <c r="D705" s="82">
        <v>35158</v>
      </c>
      <c r="E705" s="85" t="s">
        <v>539</v>
      </c>
    </row>
    <row r="706" spans="2:5" x14ac:dyDescent="0.4">
      <c r="B706" s="212">
        <v>702</v>
      </c>
      <c r="C706" s="82" t="s">
        <v>9</v>
      </c>
      <c r="D706" s="82">
        <v>34145</v>
      </c>
      <c r="E706" s="85" t="s">
        <v>537</v>
      </c>
    </row>
    <row r="707" spans="2:5" x14ac:dyDescent="0.4">
      <c r="B707" s="212">
        <v>703</v>
      </c>
      <c r="C707" s="82" t="s">
        <v>9</v>
      </c>
      <c r="D707" s="82">
        <v>31207</v>
      </c>
      <c r="E707" s="85" t="s">
        <v>538</v>
      </c>
    </row>
    <row r="708" spans="2:5" x14ac:dyDescent="0.4">
      <c r="B708" s="212">
        <v>704</v>
      </c>
      <c r="C708" s="82" t="s">
        <v>528</v>
      </c>
      <c r="D708" s="82">
        <v>31215</v>
      </c>
      <c r="E708" s="85" t="s">
        <v>537</v>
      </c>
    </row>
    <row r="709" spans="2:5" x14ac:dyDescent="0.4">
      <c r="B709" s="212">
        <v>705</v>
      </c>
      <c r="C709" s="82" t="s">
        <v>9</v>
      </c>
      <c r="D709" s="82">
        <v>31215</v>
      </c>
      <c r="E709" s="85" t="s">
        <v>537</v>
      </c>
    </row>
    <row r="710" spans="2:5" x14ac:dyDescent="0.4">
      <c r="B710" s="212">
        <v>706</v>
      </c>
      <c r="C710" s="82" t="s">
        <v>528</v>
      </c>
      <c r="D710" s="82">
        <v>31215</v>
      </c>
      <c r="E710" s="85" t="s">
        <v>537</v>
      </c>
    </row>
    <row r="711" spans="2:5" x14ac:dyDescent="0.4">
      <c r="B711" s="212">
        <v>707</v>
      </c>
      <c r="C711" s="82" t="s">
        <v>9</v>
      </c>
      <c r="D711" s="82">
        <v>34142</v>
      </c>
      <c r="E711" s="85" t="s">
        <v>535</v>
      </c>
    </row>
    <row r="712" spans="2:5" x14ac:dyDescent="0.4">
      <c r="B712" s="212">
        <v>708</v>
      </c>
      <c r="C712" s="82" t="s">
        <v>9</v>
      </c>
      <c r="D712" s="82">
        <v>34152</v>
      </c>
      <c r="E712" s="85" t="s">
        <v>537</v>
      </c>
    </row>
    <row r="713" spans="2:5" x14ac:dyDescent="0.4">
      <c r="B713" s="211">
        <v>709</v>
      </c>
      <c r="C713" s="2" t="s">
        <v>528</v>
      </c>
      <c r="D713" s="2">
        <v>31207</v>
      </c>
      <c r="E713" s="85" t="s">
        <v>538</v>
      </c>
    </row>
    <row r="714" spans="2:5" x14ac:dyDescent="0.4">
      <c r="B714" s="211">
        <v>710</v>
      </c>
      <c r="C714" s="82" t="s">
        <v>9</v>
      </c>
      <c r="D714" s="2">
        <v>35150</v>
      </c>
      <c r="E714" s="85" t="s">
        <v>539</v>
      </c>
    </row>
    <row r="715" spans="2:5" x14ac:dyDescent="0.4">
      <c r="B715" s="211">
        <v>711</v>
      </c>
      <c r="C715" s="82" t="s">
        <v>9</v>
      </c>
      <c r="D715" s="2">
        <v>31204</v>
      </c>
      <c r="E715" s="85" t="s">
        <v>538</v>
      </c>
    </row>
    <row r="716" spans="2:5" x14ac:dyDescent="0.4">
      <c r="B716" s="211">
        <v>712</v>
      </c>
      <c r="C716" s="82" t="s">
        <v>9</v>
      </c>
      <c r="D716" s="2">
        <v>34148</v>
      </c>
      <c r="E716" s="85" t="s">
        <v>537</v>
      </c>
    </row>
    <row r="717" spans="2:5" x14ac:dyDescent="0.4">
      <c r="B717" s="211">
        <v>713</v>
      </c>
      <c r="C717" s="82" t="s">
        <v>9</v>
      </c>
      <c r="D717" s="2">
        <v>35156</v>
      </c>
      <c r="E717" s="85" t="s">
        <v>539</v>
      </c>
    </row>
    <row r="718" spans="2:5" x14ac:dyDescent="0.4">
      <c r="B718" s="211">
        <v>714</v>
      </c>
      <c r="C718" s="82" t="s">
        <v>9</v>
      </c>
      <c r="D718" s="2">
        <v>34137</v>
      </c>
      <c r="E718" s="85" t="s">
        <v>535</v>
      </c>
    </row>
    <row r="719" spans="2:5" x14ac:dyDescent="0.4">
      <c r="B719" s="218">
        <v>715</v>
      </c>
      <c r="C719" s="2" t="s">
        <v>528</v>
      </c>
      <c r="D719" s="82">
        <v>34145</v>
      </c>
      <c r="E719" s="85" t="s">
        <v>537</v>
      </c>
    </row>
    <row r="720" spans="2:5" x14ac:dyDescent="0.4">
      <c r="B720" s="219">
        <v>716</v>
      </c>
      <c r="C720" s="69" t="s">
        <v>248</v>
      </c>
      <c r="D720" s="69">
        <v>34148</v>
      </c>
      <c r="E720" s="85" t="s">
        <v>537</v>
      </c>
    </row>
    <row r="721" spans="2:5" x14ac:dyDescent="0.4">
      <c r="B721" s="218">
        <v>717</v>
      </c>
      <c r="C721" s="82" t="s">
        <v>9</v>
      </c>
      <c r="D721" s="82">
        <v>31215</v>
      </c>
      <c r="E721" s="85" t="s">
        <v>537</v>
      </c>
    </row>
    <row r="722" spans="2:5" x14ac:dyDescent="0.4">
      <c r="B722" s="218">
        <v>718</v>
      </c>
      <c r="C722" s="82" t="s">
        <v>9</v>
      </c>
      <c r="D722" s="82">
        <v>34135</v>
      </c>
      <c r="E722" s="85" t="s">
        <v>535</v>
      </c>
    </row>
    <row r="723" spans="2:5" x14ac:dyDescent="0.4">
      <c r="B723" s="218">
        <v>719</v>
      </c>
      <c r="C723" s="2" t="s">
        <v>528</v>
      </c>
      <c r="D723" s="82">
        <v>34148</v>
      </c>
      <c r="E723" s="85" t="s">
        <v>537</v>
      </c>
    </row>
    <row r="724" spans="2:5" x14ac:dyDescent="0.4">
      <c r="B724" s="218">
        <v>720</v>
      </c>
      <c r="C724" s="82" t="s">
        <v>9</v>
      </c>
      <c r="D724" s="82">
        <v>35153</v>
      </c>
      <c r="E724" s="85" t="s">
        <v>539</v>
      </c>
    </row>
    <row r="725" spans="2:5" x14ac:dyDescent="0.4">
      <c r="B725" s="218">
        <v>721</v>
      </c>
      <c r="C725" s="82" t="s">
        <v>9</v>
      </c>
      <c r="D725" s="82">
        <v>34149</v>
      </c>
      <c r="E725" s="85" t="s">
        <v>537</v>
      </c>
    </row>
    <row r="726" spans="2:5" x14ac:dyDescent="0.4">
      <c r="B726" s="218">
        <v>722</v>
      </c>
      <c r="C726" s="2" t="s">
        <v>528</v>
      </c>
      <c r="D726" s="82">
        <v>31208</v>
      </c>
      <c r="E726" s="85" t="s">
        <v>538</v>
      </c>
    </row>
    <row r="727" spans="2:5" x14ac:dyDescent="0.4">
      <c r="B727" s="219">
        <v>723</v>
      </c>
      <c r="C727" s="69" t="s">
        <v>248</v>
      </c>
      <c r="D727" s="69">
        <v>34148</v>
      </c>
      <c r="E727" s="85" t="s">
        <v>537</v>
      </c>
    </row>
    <row r="728" spans="2:5" x14ac:dyDescent="0.4">
      <c r="B728" s="218">
        <v>724</v>
      </c>
      <c r="C728" s="2" t="s">
        <v>528</v>
      </c>
      <c r="D728" s="82">
        <v>34139</v>
      </c>
      <c r="E728" s="85" t="s">
        <v>535</v>
      </c>
    </row>
    <row r="729" spans="2:5" x14ac:dyDescent="0.4">
      <c r="B729" s="219">
        <v>725</v>
      </c>
      <c r="C729" s="69" t="s">
        <v>248</v>
      </c>
      <c r="D729" s="69">
        <v>34138</v>
      </c>
      <c r="E729" s="85" t="s">
        <v>535</v>
      </c>
    </row>
    <row r="730" spans="2:5" x14ac:dyDescent="0.4">
      <c r="B730" s="219">
        <v>726</v>
      </c>
      <c r="C730" s="70" t="s">
        <v>248</v>
      </c>
      <c r="D730" s="69">
        <v>34150</v>
      </c>
      <c r="E730" s="85" t="s">
        <v>537</v>
      </c>
    </row>
    <row r="731" spans="2:5" x14ac:dyDescent="0.4">
      <c r="B731" s="218">
        <v>727</v>
      </c>
      <c r="C731" s="82" t="s">
        <v>9</v>
      </c>
      <c r="D731" s="82">
        <v>34141</v>
      </c>
      <c r="E731" s="85" t="s">
        <v>537</v>
      </c>
    </row>
    <row r="732" spans="2:5" x14ac:dyDescent="0.4">
      <c r="B732" s="218">
        <v>728</v>
      </c>
      <c r="C732" s="82" t="s">
        <v>9</v>
      </c>
      <c r="D732" s="82">
        <v>34138</v>
      </c>
      <c r="E732" s="85" t="s">
        <v>535</v>
      </c>
    </row>
    <row r="733" spans="2:5" x14ac:dyDescent="0.4">
      <c r="B733" s="218">
        <v>729</v>
      </c>
      <c r="C733" s="2" t="s">
        <v>528</v>
      </c>
      <c r="D733" s="82">
        <v>34145</v>
      </c>
      <c r="E733" s="85" t="s">
        <v>537</v>
      </c>
    </row>
    <row r="734" spans="2:5" x14ac:dyDescent="0.4">
      <c r="B734" s="218">
        <v>730</v>
      </c>
      <c r="C734" s="82" t="s">
        <v>9</v>
      </c>
      <c r="D734" s="82">
        <v>34139</v>
      </c>
      <c r="E734" s="85" t="s">
        <v>535</v>
      </c>
    </row>
    <row r="735" spans="2:5" x14ac:dyDescent="0.4">
      <c r="B735" s="218">
        <v>731</v>
      </c>
      <c r="C735" s="82" t="s">
        <v>9</v>
      </c>
      <c r="D735" s="82">
        <v>34145</v>
      </c>
      <c r="E735" s="85" t="s">
        <v>537</v>
      </c>
    </row>
    <row r="736" spans="2:5" x14ac:dyDescent="0.4">
      <c r="B736" s="218">
        <v>732</v>
      </c>
      <c r="C736" s="69" t="s">
        <v>248</v>
      </c>
      <c r="D736" s="82">
        <v>34149</v>
      </c>
      <c r="E736" s="85" t="s">
        <v>537</v>
      </c>
    </row>
    <row r="737" spans="2:5" x14ac:dyDescent="0.4">
      <c r="B737" s="218">
        <v>733</v>
      </c>
      <c r="C737" s="2" t="s">
        <v>528</v>
      </c>
      <c r="D737" s="82">
        <v>34151</v>
      </c>
      <c r="E737" s="85" t="s">
        <v>537</v>
      </c>
    </row>
    <row r="738" spans="2:5" x14ac:dyDescent="0.4">
      <c r="B738" s="218">
        <v>734</v>
      </c>
      <c r="C738" s="2" t="s">
        <v>528</v>
      </c>
      <c r="D738" s="82">
        <v>34147</v>
      </c>
      <c r="E738" s="85" t="s">
        <v>535</v>
      </c>
    </row>
    <row r="739" spans="2:5" x14ac:dyDescent="0.4">
      <c r="B739" s="218">
        <v>735</v>
      </c>
      <c r="C739" s="2" t="s">
        <v>528</v>
      </c>
      <c r="D739" s="82">
        <v>31208</v>
      </c>
      <c r="E739" s="85" t="s">
        <v>538</v>
      </c>
    </row>
    <row r="740" spans="2:5" x14ac:dyDescent="0.4">
      <c r="B740" s="218">
        <v>736</v>
      </c>
      <c r="C740" s="82" t="s">
        <v>9</v>
      </c>
      <c r="D740" s="82">
        <v>35150</v>
      </c>
      <c r="E740" s="85" t="s">
        <v>539</v>
      </c>
    </row>
    <row r="741" spans="2:5" x14ac:dyDescent="0.4">
      <c r="B741" s="219">
        <v>737</v>
      </c>
      <c r="C741" s="69" t="s">
        <v>248</v>
      </c>
      <c r="D741" s="69">
        <v>31211</v>
      </c>
      <c r="E741" s="85" t="s">
        <v>538</v>
      </c>
    </row>
    <row r="742" spans="2:5" x14ac:dyDescent="0.4">
      <c r="B742" s="218">
        <v>738</v>
      </c>
      <c r="C742" s="2" t="s">
        <v>528</v>
      </c>
      <c r="D742" s="82">
        <v>35155</v>
      </c>
      <c r="E742" s="85" t="s">
        <v>539</v>
      </c>
    </row>
    <row r="743" spans="2:5" x14ac:dyDescent="0.4">
      <c r="B743" s="218">
        <v>739</v>
      </c>
      <c r="C743" s="82" t="s">
        <v>9</v>
      </c>
      <c r="D743" s="82">
        <v>31214</v>
      </c>
      <c r="E743" s="85" t="s">
        <v>537</v>
      </c>
    </row>
    <row r="744" spans="2:5" x14ac:dyDescent="0.4">
      <c r="B744" s="219">
        <v>740</v>
      </c>
      <c r="C744" s="69" t="s">
        <v>248</v>
      </c>
      <c r="D744" s="69">
        <v>31211</v>
      </c>
      <c r="E744" s="85" t="s">
        <v>538</v>
      </c>
    </row>
    <row r="745" spans="2:5" x14ac:dyDescent="0.4">
      <c r="B745" s="219">
        <v>741</v>
      </c>
      <c r="C745" s="69" t="s">
        <v>248</v>
      </c>
      <c r="D745" s="82">
        <v>34151</v>
      </c>
      <c r="E745" s="85" t="s">
        <v>537</v>
      </c>
    </row>
    <row r="746" spans="2:5" x14ac:dyDescent="0.4">
      <c r="B746" s="219">
        <v>742</v>
      </c>
      <c r="C746" s="69" t="s">
        <v>248</v>
      </c>
      <c r="D746" s="69">
        <v>34149</v>
      </c>
      <c r="E746" s="85" t="s">
        <v>537</v>
      </c>
    </row>
    <row r="747" spans="2:5" x14ac:dyDescent="0.4">
      <c r="B747" s="218">
        <v>743</v>
      </c>
      <c r="C747" s="82" t="s">
        <v>528</v>
      </c>
      <c r="D747" s="82">
        <v>34133</v>
      </c>
      <c r="E747" s="85" t="s">
        <v>538</v>
      </c>
    </row>
    <row r="748" spans="2:5" x14ac:dyDescent="0.4">
      <c r="B748" s="218">
        <v>744</v>
      </c>
      <c r="C748" s="82" t="s">
        <v>528</v>
      </c>
      <c r="D748" s="82">
        <v>34143</v>
      </c>
      <c r="E748" s="85" t="s">
        <v>535</v>
      </c>
    </row>
    <row r="749" spans="2:5" x14ac:dyDescent="0.4">
      <c r="B749" s="218">
        <v>745</v>
      </c>
      <c r="C749" s="82" t="s">
        <v>9</v>
      </c>
      <c r="D749" s="82">
        <v>34142</v>
      </c>
      <c r="E749" s="85" t="s">
        <v>535</v>
      </c>
    </row>
    <row r="750" spans="2:5" x14ac:dyDescent="0.4">
      <c r="B750" s="218">
        <v>746</v>
      </c>
      <c r="C750" s="82" t="s">
        <v>528</v>
      </c>
      <c r="D750" s="82">
        <v>31206</v>
      </c>
      <c r="E750" s="85" t="s">
        <v>538</v>
      </c>
    </row>
    <row r="751" spans="2:5" x14ac:dyDescent="0.4">
      <c r="B751" s="218">
        <v>747</v>
      </c>
      <c r="C751" s="82" t="s">
        <v>528</v>
      </c>
      <c r="D751" s="82">
        <v>34148</v>
      </c>
      <c r="E751" s="85" t="s">
        <v>537</v>
      </c>
    </row>
    <row r="752" spans="2:5" x14ac:dyDescent="0.4">
      <c r="B752" s="219">
        <v>748</v>
      </c>
      <c r="C752" s="69" t="s">
        <v>248</v>
      </c>
      <c r="D752" s="69">
        <v>34143</v>
      </c>
      <c r="E752" s="85" t="s">
        <v>535</v>
      </c>
    </row>
    <row r="753" spans="2:5" x14ac:dyDescent="0.4">
      <c r="B753" s="219">
        <v>749</v>
      </c>
      <c r="C753" s="69" t="s">
        <v>248</v>
      </c>
      <c r="D753" s="69">
        <v>34142</v>
      </c>
      <c r="E753" s="85" t="s">
        <v>535</v>
      </c>
    </row>
    <row r="754" spans="2:5" x14ac:dyDescent="0.4">
      <c r="B754" s="218">
        <v>750</v>
      </c>
      <c r="C754" s="82" t="s">
        <v>528</v>
      </c>
      <c r="D754" s="82">
        <v>31208</v>
      </c>
      <c r="E754" s="85" t="s">
        <v>538</v>
      </c>
    </row>
    <row r="755" spans="2:5" x14ac:dyDescent="0.4">
      <c r="B755" s="218">
        <v>751</v>
      </c>
      <c r="C755" s="82" t="s">
        <v>9</v>
      </c>
      <c r="D755" s="82">
        <v>31206</v>
      </c>
      <c r="E755" s="85" t="s">
        <v>538</v>
      </c>
    </row>
    <row r="756" spans="2:5" x14ac:dyDescent="0.4">
      <c r="B756" s="219">
        <v>752</v>
      </c>
      <c r="C756" s="70" t="s">
        <v>248</v>
      </c>
      <c r="D756" s="69">
        <v>31213</v>
      </c>
      <c r="E756" s="85" t="s">
        <v>538</v>
      </c>
    </row>
    <row r="757" spans="2:5" x14ac:dyDescent="0.4">
      <c r="B757" s="218">
        <v>753</v>
      </c>
      <c r="C757" s="82" t="s">
        <v>528</v>
      </c>
      <c r="D757" s="82">
        <v>34151</v>
      </c>
      <c r="E757" s="85" t="s">
        <v>537</v>
      </c>
    </row>
    <row r="758" spans="2:5" x14ac:dyDescent="0.4">
      <c r="B758" s="218">
        <v>754</v>
      </c>
      <c r="C758" s="82" t="s">
        <v>9</v>
      </c>
      <c r="D758" s="82">
        <v>34151</v>
      </c>
      <c r="E758" s="85" t="s">
        <v>537</v>
      </c>
    </row>
    <row r="759" spans="2:5" x14ac:dyDescent="0.4">
      <c r="B759" s="218">
        <v>755</v>
      </c>
      <c r="C759" s="82" t="s">
        <v>9</v>
      </c>
      <c r="D759" s="82">
        <v>35147</v>
      </c>
      <c r="E759" s="85" t="s">
        <v>539</v>
      </c>
    </row>
    <row r="760" spans="2:5" x14ac:dyDescent="0.4">
      <c r="B760" s="219">
        <v>756</v>
      </c>
      <c r="C760" s="70" t="s">
        <v>248</v>
      </c>
      <c r="D760" s="82">
        <v>34150</v>
      </c>
      <c r="E760" s="85" t="s">
        <v>537</v>
      </c>
    </row>
    <row r="761" spans="2:5" x14ac:dyDescent="0.4">
      <c r="B761" s="218">
        <v>757</v>
      </c>
      <c r="C761" s="82" t="s">
        <v>528</v>
      </c>
      <c r="D761" s="82">
        <v>38114</v>
      </c>
      <c r="E761" s="85" t="s">
        <v>536</v>
      </c>
    </row>
    <row r="762" spans="2:5" x14ac:dyDescent="0.4">
      <c r="B762" s="218">
        <v>758</v>
      </c>
      <c r="C762" s="82" t="s">
        <v>9</v>
      </c>
      <c r="D762" s="82">
        <v>31209</v>
      </c>
      <c r="E762" s="85" t="s">
        <v>538</v>
      </c>
    </row>
    <row r="763" spans="2:5" x14ac:dyDescent="0.4">
      <c r="B763" s="218">
        <v>759</v>
      </c>
      <c r="C763" s="82" t="s">
        <v>9</v>
      </c>
      <c r="D763" s="82">
        <v>34144</v>
      </c>
      <c r="E763" s="85" t="s">
        <v>538</v>
      </c>
    </row>
    <row r="764" spans="2:5" x14ac:dyDescent="0.4">
      <c r="B764" s="218">
        <v>760</v>
      </c>
      <c r="C764" s="82" t="s">
        <v>9</v>
      </c>
      <c r="D764" s="82">
        <v>31214</v>
      </c>
      <c r="E764" s="85" t="s">
        <v>537</v>
      </c>
    </row>
    <row r="765" spans="2:5" x14ac:dyDescent="0.4">
      <c r="B765" s="218">
        <v>761</v>
      </c>
      <c r="C765" s="82" t="s">
        <v>9</v>
      </c>
      <c r="D765" s="82">
        <v>34144</v>
      </c>
      <c r="E765" s="85" t="s">
        <v>538</v>
      </c>
    </row>
    <row r="766" spans="2:5" x14ac:dyDescent="0.4">
      <c r="B766" s="218">
        <v>762</v>
      </c>
      <c r="C766" s="82" t="s">
        <v>9</v>
      </c>
      <c r="D766" s="82">
        <v>34151</v>
      </c>
      <c r="E766" s="85" t="s">
        <v>537</v>
      </c>
    </row>
    <row r="767" spans="2:5" x14ac:dyDescent="0.4">
      <c r="B767" s="219">
        <v>763</v>
      </c>
      <c r="C767" s="69" t="s">
        <v>248</v>
      </c>
      <c r="D767" s="69">
        <v>34149</v>
      </c>
      <c r="E767" s="85" t="s">
        <v>537</v>
      </c>
    </row>
    <row r="768" spans="2:5" x14ac:dyDescent="0.4">
      <c r="B768" s="218">
        <v>764</v>
      </c>
      <c r="C768" s="82" t="s">
        <v>528</v>
      </c>
      <c r="D768" s="82">
        <v>34147</v>
      </c>
      <c r="E768" s="85" t="s">
        <v>535</v>
      </c>
    </row>
    <row r="769" spans="2:5" x14ac:dyDescent="0.4">
      <c r="B769" s="218">
        <v>765</v>
      </c>
      <c r="C769" s="82" t="s">
        <v>9</v>
      </c>
      <c r="D769" s="82">
        <v>34152</v>
      </c>
      <c r="E769" s="85" t="s">
        <v>537</v>
      </c>
    </row>
    <row r="770" spans="2:5" x14ac:dyDescent="0.4">
      <c r="B770" s="218">
        <v>766</v>
      </c>
      <c r="C770" s="82" t="s">
        <v>528</v>
      </c>
      <c r="D770" s="82">
        <v>31215</v>
      </c>
      <c r="E770" s="85" t="s">
        <v>537</v>
      </c>
    </row>
    <row r="771" spans="2:5" x14ac:dyDescent="0.4">
      <c r="B771" s="218">
        <v>767</v>
      </c>
      <c r="C771" s="82" t="s">
        <v>528</v>
      </c>
      <c r="D771" s="82">
        <v>34131</v>
      </c>
      <c r="E771" s="85" t="s">
        <v>537</v>
      </c>
    </row>
    <row r="772" spans="2:5" x14ac:dyDescent="0.4">
      <c r="B772" s="218">
        <v>768</v>
      </c>
      <c r="C772" s="82" t="s">
        <v>9</v>
      </c>
      <c r="D772" s="82">
        <v>34149</v>
      </c>
      <c r="E772" s="85" t="s">
        <v>537</v>
      </c>
    </row>
    <row r="773" spans="2:5" x14ac:dyDescent="0.4">
      <c r="B773" s="218">
        <v>769</v>
      </c>
      <c r="C773" s="82" t="s">
        <v>9</v>
      </c>
      <c r="D773" s="82">
        <v>31214</v>
      </c>
      <c r="E773" s="85" t="s">
        <v>537</v>
      </c>
    </row>
    <row r="774" spans="2:5" x14ac:dyDescent="0.4">
      <c r="B774" s="218">
        <v>770</v>
      </c>
      <c r="C774" s="82" t="s">
        <v>9</v>
      </c>
      <c r="D774" s="82">
        <v>38115</v>
      </c>
      <c r="E774" s="85" t="s">
        <v>536</v>
      </c>
    </row>
    <row r="775" spans="2:5" x14ac:dyDescent="0.4">
      <c r="B775" s="218">
        <v>771</v>
      </c>
      <c r="C775" s="82" t="s">
        <v>9</v>
      </c>
      <c r="D775" s="82">
        <v>34131</v>
      </c>
      <c r="E775" s="85" t="s">
        <v>537</v>
      </c>
    </row>
    <row r="776" spans="2:5" x14ac:dyDescent="0.4">
      <c r="B776" s="218">
        <v>772</v>
      </c>
      <c r="C776" s="82" t="s">
        <v>9</v>
      </c>
      <c r="D776" s="82">
        <v>31205</v>
      </c>
      <c r="E776" s="85" t="s">
        <v>538</v>
      </c>
    </row>
    <row r="777" spans="2:5" x14ac:dyDescent="0.4">
      <c r="B777" s="218">
        <v>773</v>
      </c>
      <c r="C777" s="82" t="s">
        <v>9</v>
      </c>
      <c r="D777" s="82">
        <v>31209</v>
      </c>
      <c r="E777" s="85" t="s">
        <v>538</v>
      </c>
    </row>
    <row r="778" spans="2:5" x14ac:dyDescent="0.4">
      <c r="B778" s="219">
        <v>774</v>
      </c>
      <c r="C778" s="69" t="s">
        <v>248</v>
      </c>
      <c r="D778" s="69">
        <v>35145</v>
      </c>
      <c r="E778" s="85" t="s">
        <v>539</v>
      </c>
    </row>
    <row r="779" spans="2:5" x14ac:dyDescent="0.4">
      <c r="B779" s="218">
        <v>775</v>
      </c>
      <c r="C779" s="82" t="s">
        <v>9</v>
      </c>
      <c r="D779" s="82">
        <v>34131</v>
      </c>
      <c r="E779" s="85" t="s">
        <v>537</v>
      </c>
    </row>
    <row r="780" spans="2:5" x14ac:dyDescent="0.4">
      <c r="B780" s="218">
        <v>776</v>
      </c>
      <c r="C780" s="82" t="s">
        <v>9</v>
      </c>
      <c r="D780" s="82">
        <v>34147</v>
      </c>
      <c r="E780" s="85" t="s">
        <v>535</v>
      </c>
    </row>
    <row r="781" spans="2:5" x14ac:dyDescent="0.4">
      <c r="B781" s="218">
        <v>777</v>
      </c>
      <c r="C781" s="82" t="s">
        <v>9</v>
      </c>
      <c r="D781" s="82">
        <v>34141</v>
      </c>
      <c r="E781" s="85" t="s">
        <v>537</v>
      </c>
    </row>
    <row r="782" spans="2:5" x14ac:dyDescent="0.4">
      <c r="B782" s="218">
        <v>778</v>
      </c>
      <c r="C782" s="82" t="s">
        <v>528</v>
      </c>
      <c r="D782" s="82">
        <v>34141</v>
      </c>
      <c r="E782" s="85" t="s">
        <v>537</v>
      </c>
    </row>
    <row r="783" spans="2:5" x14ac:dyDescent="0.4">
      <c r="B783" s="218">
        <v>779</v>
      </c>
      <c r="C783" s="82" t="s">
        <v>9</v>
      </c>
      <c r="D783" s="82">
        <v>34141</v>
      </c>
      <c r="E783" s="85" t="s">
        <v>537</v>
      </c>
    </row>
    <row r="784" spans="2:5" x14ac:dyDescent="0.4">
      <c r="B784" s="218">
        <v>780</v>
      </c>
      <c r="C784" s="82" t="s">
        <v>528</v>
      </c>
      <c r="D784" s="82">
        <v>34145</v>
      </c>
      <c r="E784" s="85" t="s">
        <v>537</v>
      </c>
    </row>
    <row r="785" spans="2:5" x14ac:dyDescent="0.4">
      <c r="B785" s="218">
        <v>781</v>
      </c>
      <c r="C785" s="82" t="s">
        <v>9</v>
      </c>
      <c r="D785" s="82">
        <v>35152</v>
      </c>
      <c r="E785" s="85" t="s">
        <v>539</v>
      </c>
    </row>
    <row r="786" spans="2:5" x14ac:dyDescent="0.4">
      <c r="B786" s="218">
        <v>782</v>
      </c>
      <c r="C786" s="82" t="s">
        <v>9</v>
      </c>
      <c r="D786" s="82">
        <v>31215</v>
      </c>
      <c r="E786" s="85" t="s">
        <v>537</v>
      </c>
    </row>
    <row r="787" spans="2:5" x14ac:dyDescent="0.4">
      <c r="B787" s="218">
        <v>783</v>
      </c>
      <c r="C787" s="82" t="s">
        <v>528</v>
      </c>
      <c r="D787" s="82">
        <v>34141</v>
      </c>
      <c r="E787" s="85" t="s">
        <v>537</v>
      </c>
    </row>
    <row r="788" spans="2:5" x14ac:dyDescent="0.4">
      <c r="B788" s="218">
        <v>784</v>
      </c>
      <c r="C788" s="82" t="s">
        <v>9</v>
      </c>
      <c r="D788" s="82">
        <v>34138</v>
      </c>
      <c r="E788" s="85" t="s">
        <v>535</v>
      </c>
    </row>
    <row r="789" spans="2:5" x14ac:dyDescent="0.4">
      <c r="B789" s="218">
        <v>785</v>
      </c>
      <c r="C789" s="82" t="s">
        <v>9</v>
      </c>
      <c r="D789" s="82">
        <v>34136</v>
      </c>
      <c r="E789" s="85" t="s">
        <v>538</v>
      </c>
    </row>
    <row r="790" spans="2:5" x14ac:dyDescent="0.4">
      <c r="B790" s="218">
        <v>786</v>
      </c>
      <c r="C790" s="82" t="s">
        <v>528</v>
      </c>
      <c r="D790" s="82">
        <v>34149</v>
      </c>
      <c r="E790" s="85" t="s">
        <v>537</v>
      </c>
    </row>
    <row r="791" spans="2:5" x14ac:dyDescent="0.4">
      <c r="B791" s="218">
        <v>787</v>
      </c>
      <c r="C791" s="82" t="s">
        <v>528</v>
      </c>
      <c r="D791" s="82">
        <v>34146</v>
      </c>
      <c r="E791" s="85" t="s">
        <v>535</v>
      </c>
    </row>
    <row r="792" spans="2:5" x14ac:dyDescent="0.4">
      <c r="B792" s="218">
        <v>788</v>
      </c>
      <c r="C792" s="82" t="s">
        <v>9</v>
      </c>
      <c r="D792" s="82">
        <v>31214</v>
      </c>
      <c r="E792" s="85" t="s">
        <v>537</v>
      </c>
    </row>
    <row r="793" spans="2:5" x14ac:dyDescent="0.4">
      <c r="B793" s="218">
        <v>789</v>
      </c>
      <c r="C793" s="82" t="s">
        <v>528</v>
      </c>
      <c r="D793" s="82">
        <v>34141</v>
      </c>
      <c r="E793" s="85" t="s">
        <v>537</v>
      </c>
    </row>
    <row r="794" spans="2:5" x14ac:dyDescent="0.4">
      <c r="B794" s="218">
        <v>790</v>
      </c>
      <c r="C794" s="82" t="s">
        <v>9</v>
      </c>
      <c r="D794" s="82">
        <v>34139</v>
      </c>
      <c r="E794" s="85" t="s">
        <v>535</v>
      </c>
    </row>
    <row r="795" spans="2:5" x14ac:dyDescent="0.4">
      <c r="B795" s="218">
        <v>791</v>
      </c>
      <c r="C795" s="82" t="s">
        <v>9</v>
      </c>
      <c r="D795" s="82">
        <v>35153</v>
      </c>
      <c r="E795" s="85" t="s">
        <v>539</v>
      </c>
    </row>
    <row r="796" spans="2:5" x14ac:dyDescent="0.4">
      <c r="B796" s="218">
        <v>792</v>
      </c>
      <c r="C796" s="82" t="s">
        <v>528</v>
      </c>
      <c r="D796" s="82">
        <v>34150</v>
      </c>
      <c r="E796" s="85" t="s">
        <v>537</v>
      </c>
    </row>
    <row r="797" spans="2:5" x14ac:dyDescent="0.4">
      <c r="B797" s="218">
        <v>793</v>
      </c>
      <c r="C797" s="82" t="s">
        <v>9</v>
      </c>
      <c r="D797" s="82">
        <v>34139</v>
      </c>
      <c r="E797" s="85" t="s">
        <v>535</v>
      </c>
    </row>
    <row r="798" spans="2:5" x14ac:dyDescent="0.4">
      <c r="B798" s="218">
        <v>794</v>
      </c>
      <c r="C798" s="82" t="s">
        <v>9</v>
      </c>
      <c r="D798" s="82">
        <v>34143</v>
      </c>
      <c r="E798" s="85" t="s">
        <v>535</v>
      </c>
    </row>
    <row r="799" spans="2:5" x14ac:dyDescent="0.4">
      <c r="B799" s="218">
        <v>795</v>
      </c>
      <c r="C799" s="82" t="s">
        <v>9</v>
      </c>
      <c r="D799" s="82">
        <v>34141</v>
      </c>
      <c r="E799" s="85" t="s">
        <v>537</v>
      </c>
    </row>
    <row r="800" spans="2:5" x14ac:dyDescent="0.4">
      <c r="B800" s="218">
        <v>796</v>
      </c>
      <c r="C800" s="82" t="s">
        <v>9</v>
      </c>
      <c r="D800" s="82">
        <v>34152</v>
      </c>
      <c r="E800" s="85" t="s">
        <v>537</v>
      </c>
    </row>
    <row r="801" spans="2:5" x14ac:dyDescent="0.4">
      <c r="B801" s="218">
        <v>797</v>
      </c>
      <c r="C801" s="82" t="s">
        <v>528</v>
      </c>
      <c r="D801" s="82">
        <v>31212</v>
      </c>
      <c r="E801" s="85" t="s">
        <v>538</v>
      </c>
    </row>
    <row r="802" spans="2:5" x14ac:dyDescent="0.4">
      <c r="B802" s="218">
        <v>798</v>
      </c>
      <c r="C802" s="82" t="s">
        <v>528</v>
      </c>
      <c r="D802" s="82">
        <v>31212</v>
      </c>
      <c r="E802" s="85" t="s">
        <v>538</v>
      </c>
    </row>
    <row r="803" spans="2:5" x14ac:dyDescent="0.4">
      <c r="B803" s="218">
        <v>799</v>
      </c>
      <c r="C803" s="82" t="s">
        <v>528</v>
      </c>
      <c r="D803" s="82">
        <v>34143</v>
      </c>
      <c r="E803" s="85" t="s">
        <v>535</v>
      </c>
    </row>
    <row r="804" spans="2:5" x14ac:dyDescent="0.4">
      <c r="B804" s="218">
        <v>800</v>
      </c>
      <c r="C804" s="82" t="s">
        <v>9</v>
      </c>
      <c r="D804" s="82">
        <v>34146</v>
      </c>
      <c r="E804" s="85" t="s">
        <v>535</v>
      </c>
    </row>
    <row r="805" spans="2:5" x14ac:dyDescent="0.4">
      <c r="B805" s="218">
        <v>801</v>
      </c>
      <c r="C805" s="82" t="s">
        <v>9</v>
      </c>
      <c r="D805" s="82">
        <v>35153</v>
      </c>
      <c r="E805" s="85" t="s">
        <v>539</v>
      </c>
    </row>
    <row r="806" spans="2:5" x14ac:dyDescent="0.4">
      <c r="B806" s="218">
        <v>802</v>
      </c>
      <c r="C806" s="82" t="s">
        <v>9</v>
      </c>
      <c r="D806" s="82">
        <v>35179</v>
      </c>
      <c r="E806" s="85" t="s">
        <v>539</v>
      </c>
    </row>
    <row r="807" spans="2:5" x14ac:dyDescent="0.4">
      <c r="B807" s="218">
        <v>803</v>
      </c>
      <c r="C807" s="82" t="s">
        <v>9</v>
      </c>
      <c r="D807" s="82">
        <v>31215</v>
      </c>
      <c r="E807" s="85" t="s">
        <v>537</v>
      </c>
    </row>
    <row r="808" spans="2:5" x14ac:dyDescent="0.4">
      <c r="B808" s="218">
        <v>804</v>
      </c>
      <c r="C808" s="82" t="s">
        <v>9</v>
      </c>
      <c r="D808" s="82">
        <v>34149</v>
      </c>
      <c r="E808" s="85" t="s">
        <v>537</v>
      </c>
    </row>
    <row r="809" spans="2:5" x14ac:dyDescent="0.4">
      <c r="B809" s="218">
        <v>805</v>
      </c>
      <c r="C809" s="82" t="s">
        <v>528</v>
      </c>
      <c r="D809" s="82">
        <v>31215</v>
      </c>
      <c r="E809" s="85" t="s">
        <v>537</v>
      </c>
    </row>
    <row r="810" spans="2:5" x14ac:dyDescent="0.4">
      <c r="B810" s="218">
        <v>806</v>
      </c>
      <c r="C810" s="82" t="s">
        <v>528</v>
      </c>
      <c r="D810" s="82">
        <v>34150</v>
      </c>
      <c r="E810" s="85" t="s">
        <v>537</v>
      </c>
    </row>
    <row r="811" spans="2:5" x14ac:dyDescent="0.4">
      <c r="B811" s="219">
        <v>807</v>
      </c>
      <c r="C811" s="69" t="s">
        <v>248</v>
      </c>
      <c r="D811" s="69">
        <v>34152</v>
      </c>
      <c r="E811" s="85" t="s">
        <v>537</v>
      </c>
    </row>
    <row r="812" spans="2:5" x14ac:dyDescent="0.4">
      <c r="B812" s="218">
        <v>808</v>
      </c>
      <c r="C812" s="82" t="s">
        <v>528</v>
      </c>
      <c r="D812" s="82">
        <v>34151</v>
      </c>
      <c r="E812" s="85" t="s">
        <v>537</v>
      </c>
    </row>
    <row r="813" spans="2:5" x14ac:dyDescent="0.4">
      <c r="B813" s="218">
        <v>809</v>
      </c>
      <c r="C813" s="82" t="s">
        <v>528</v>
      </c>
      <c r="D813" s="82">
        <v>34152</v>
      </c>
      <c r="E813" s="85" t="s">
        <v>537</v>
      </c>
    </row>
    <row r="814" spans="2:5" x14ac:dyDescent="0.4">
      <c r="B814" s="218">
        <v>810</v>
      </c>
      <c r="C814" s="82" t="s">
        <v>9</v>
      </c>
      <c r="D814" s="82">
        <v>35146</v>
      </c>
      <c r="E814" s="85" t="s">
        <v>539</v>
      </c>
    </row>
    <row r="815" spans="2:5" x14ac:dyDescent="0.4">
      <c r="B815" s="218">
        <v>811</v>
      </c>
      <c r="C815" s="82" t="s">
        <v>9</v>
      </c>
      <c r="D815" s="82">
        <v>35153</v>
      </c>
      <c r="E815" s="85" t="s">
        <v>539</v>
      </c>
    </row>
    <row r="816" spans="2:5" x14ac:dyDescent="0.4">
      <c r="B816" s="219">
        <v>812</v>
      </c>
      <c r="C816" s="69" t="s">
        <v>248</v>
      </c>
      <c r="D816" s="69">
        <v>31211</v>
      </c>
      <c r="E816" s="85" t="s">
        <v>538</v>
      </c>
    </row>
    <row r="817" spans="2:5" x14ac:dyDescent="0.4">
      <c r="B817" s="218">
        <v>813</v>
      </c>
      <c r="C817" s="82" t="s">
        <v>9</v>
      </c>
      <c r="D817" s="82">
        <v>34133</v>
      </c>
      <c r="E817" s="85" t="s">
        <v>538</v>
      </c>
    </row>
    <row r="818" spans="2:5" x14ac:dyDescent="0.4">
      <c r="B818" s="218">
        <v>814</v>
      </c>
      <c r="C818" s="82" t="s">
        <v>9</v>
      </c>
      <c r="D818" s="82">
        <v>34146</v>
      </c>
      <c r="E818" s="85" t="s">
        <v>535</v>
      </c>
    </row>
    <row r="819" spans="2:5" x14ac:dyDescent="0.4">
      <c r="B819" s="218">
        <v>815</v>
      </c>
      <c r="C819" s="82" t="s">
        <v>528</v>
      </c>
      <c r="D819" s="82">
        <v>31212</v>
      </c>
      <c r="E819" s="85" t="s">
        <v>538</v>
      </c>
    </row>
    <row r="820" spans="2:5" x14ac:dyDescent="0.4">
      <c r="B820" s="218">
        <v>816</v>
      </c>
      <c r="C820" s="82" t="s">
        <v>528</v>
      </c>
      <c r="D820" s="82">
        <v>34131</v>
      </c>
      <c r="E820" s="85" t="s">
        <v>537</v>
      </c>
    </row>
    <row r="821" spans="2:5" x14ac:dyDescent="0.4">
      <c r="B821" s="218">
        <v>817</v>
      </c>
      <c r="C821" s="82" t="s">
        <v>528</v>
      </c>
      <c r="D821" s="82">
        <v>34131</v>
      </c>
      <c r="E821" s="85" t="s">
        <v>537</v>
      </c>
    </row>
    <row r="822" spans="2:5" x14ac:dyDescent="0.4">
      <c r="B822" s="218">
        <v>818</v>
      </c>
      <c r="C822" s="82" t="s">
        <v>9</v>
      </c>
      <c r="D822" s="82">
        <v>31213</v>
      </c>
      <c r="E822" s="85" t="s">
        <v>538</v>
      </c>
    </row>
    <row r="823" spans="2:5" x14ac:dyDescent="0.4">
      <c r="B823" s="219">
        <v>819</v>
      </c>
      <c r="C823" s="70" t="s">
        <v>248</v>
      </c>
      <c r="D823" s="82">
        <v>31213</v>
      </c>
      <c r="E823" s="85" t="s">
        <v>538</v>
      </c>
    </row>
    <row r="824" spans="2:5" x14ac:dyDescent="0.4">
      <c r="B824" s="218">
        <v>820</v>
      </c>
      <c r="C824" s="82" t="s">
        <v>9</v>
      </c>
      <c r="D824" s="82">
        <v>31213</v>
      </c>
      <c r="E824" s="85" t="s">
        <v>538</v>
      </c>
    </row>
    <row r="825" spans="2:5" x14ac:dyDescent="0.4">
      <c r="B825" s="219">
        <v>821</v>
      </c>
      <c r="C825" s="70" t="s">
        <v>248</v>
      </c>
      <c r="D825" s="82">
        <v>31208</v>
      </c>
      <c r="E825" s="85" t="s">
        <v>538</v>
      </c>
    </row>
    <row r="826" spans="2:5" x14ac:dyDescent="0.4">
      <c r="B826" s="218">
        <v>822</v>
      </c>
      <c r="C826" s="82" t="s">
        <v>528</v>
      </c>
      <c r="D826" s="82">
        <v>31212</v>
      </c>
      <c r="E826" s="85" t="s">
        <v>538</v>
      </c>
    </row>
    <row r="827" spans="2:5" x14ac:dyDescent="0.4">
      <c r="B827" s="218">
        <v>823</v>
      </c>
      <c r="C827" s="82" t="s">
        <v>528</v>
      </c>
      <c r="D827" s="82">
        <v>34145</v>
      </c>
      <c r="E827" s="85" t="s">
        <v>537</v>
      </c>
    </row>
    <row r="828" spans="2:5" x14ac:dyDescent="0.4">
      <c r="B828" s="218">
        <v>824</v>
      </c>
      <c r="C828" s="82" t="s">
        <v>9</v>
      </c>
      <c r="D828" s="82">
        <v>34150</v>
      </c>
      <c r="E828" s="85" t="s">
        <v>537</v>
      </c>
    </row>
    <row r="829" spans="2:5" x14ac:dyDescent="0.4">
      <c r="B829" s="218">
        <v>825</v>
      </c>
      <c r="C829" s="82" t="s">
        <v>528</v>
      </c>
      <c r="D829" s="82">
        <v>31213</v>
      </c>
      <c r="E829" s="85" t="s">
        <v>538</v>
      </c>
    </row>
    <row r="830" spans="2:5" x14ac:dyDescent="0.4">
      <c r="B830" s="218">
        <v>826</v>
      </c>
      <c r="C830" s="82" t="s">
        <v>528</v>
      </c>
      <c r="D830" s="82">
        <v>31210</v>
      </c>
      <c r="E830" s="85" t="s">
        <v>538</v>
      </c>
    </row>
    <row r="831" spans="2:5" x14ac:dyDescent="0.4">
      <c r="B831" s="219">
        <v>827</v>
      </c>
      <c r="C831" s="69" t="s">
        <v>248</v>
      </c>
      <c r="D831" s="69">
        <v>34147</v>
      </c>
      <c r="E831" s="85" t="s">
        <v>535</v>
      </c>
    </row>
    <row r="832" spans="2:5" x14ac:dyDescent="0.4">
      <c r="B832" s="218">
        <v>828</v>
      </c>
      <c r="C832" s="82" t="s">
        <v>9</v>
      </c>
      <c r="D832" s="82">
        <v>31215</v>
      </c>
      <c r="E832" s="85" t="s">
        <v>537</v>
      </c>
    </row>
    <row r="833" spans="2:5" x14ac:dyDescent="0.4">
      <c r="B833" s="218">
        <v>829</v>
      </c>
      <c r="C833" s="82" t="s">
        <v>528</v>
      </c>
      <c r="D833" s="82">
        <v>34154</v>
      </c>
      <c r="E833" s="85" t="s">
        <v>538</v>
      </c>
    </row>
    <row r="834" spans="2:5" x14ac:dyDescent="0.4">
      <c r="B834" s="218">
        <v>830</v>
      </c>
      <c r="C834" s="82" t="s">
        <v>528</v>
      </c>
      <c r="D834" s="82">
        <v>34154</v>
      </c>
      <c r="E834" s="85" t="s">
        <v>538</v>
      </c>
    </row>
    <row r="835" spans="2:5" x14ac:dyDescent="0.4">
      <c r="B835" s="218">
        <v>831</v>
      </c>
      <c r="C835" s="82" t="s">
        <v>528</v>
      </c>
      <c r="D835" s="82">
        <v>34132</v>
      </c>
      <c r="E835" s="85" t="s">
        <v>538</v>
      </c>
    </row>
    <row r="836" spans="2:5" x14ac:dyDescent="0.4">
      <c r="B836" s="218">
        <v>832</v>
      </c>
      <c r="C836" s="82" t="s">
        <v>9</v>
      </c>
      <c r="D836" s="82">
        <v>31211</v>
      </c>
      <c r="E836" s="85" t="s">
        <v>538</v>
      </c>
    </row>
    <row r="837" spans="2:5" x14ac:dyDescent="0.4">
      <c r="B837" s="218">
        <v>833</v>
      </c>
      <c r="C837" s="82" t="s">
        <v>528</v>
      </c>
      <c r="D837" s="82">
        <v>34133</v>
      </c>
      <c r="E837" s="85" t="s">
        <v>538</v>
      </c>
    </row>
    <row r="838" spans="2:5" x14ac:dyDescent="0.4">
      <c r="B838" s="218">
        <v>834</v>
      </c>
      <c r="C838" s="82" t="s">
        <v>528</v>
      </c>
      <c r="D838" s="82">
        <v>34133</v>
      </c>
      <c r="E838" s="85" t="s">
        <v>538</v>
      </c>
    </row>
    <row r="839" spans="2:5" x14ac:dyDescent="0.4">
      <c r="B839" s="218">
        <v>835</v>
      </c>
      <c r="C839" s="82" t="s">
        <v>528</v>
      </c>
      <c r="D839" s="82">
        <v>31208</v>
      </c>
      <c r="E839" s="85" t="s">
        <v>538</v>
      </c>
    </row>
    <row r="840" spans="2:5" x14ac:dyDescent="0.4">
      <c r="B840" s="218">
        <v>836</v>
      </c>
      <c r="C840" s="82" t="s">
        <v>9</v>
      </c>
      <c r="D840" s="82">
        <v>35148</v>
      </c>
      <c r="E840" s="85" t="s">
        <v>539</v>
      </c>
    </row>
    <row r="841" spans="2:5" x14ac:dyDescent="0.4">
      <c r="B841" s="218">
        <v>837</v>
      </c>
      <c r="C841" s="82" t="s">
        <v>9</v>
      </c>
      <c r="D841" s="82">
        <v>38116</v>
      </c>
      <c r="E841" s="85" t="s">
        <v>536</v>
      </c>
    </row>
    <row r="842" spans="2:5" x14ac:dyDescent="0.4">
      <c r="B842" s="218">
        <v>838</v>
      </c>
      <c r="C842" s="82" t="s">
        <v>528</v>
      </c>
      <c r="D842" s="82">
        <v>35144</v>
      </c>
      <c r="E842" s="85" t="s">
        <v>539</v>
      </c>
    </row>
    <row r="843" spans="2:5" x14ac:dyDescent="0.4">
      <c r="B843" s="218">
        <v>839</v>
      </c>
      <c r="C843" s="82" t="s">
        <v>528</v>
      </c>
      <c r="D843" s="82">
        <v>34131</v>
      </c>
      <c r="E843" s="85" t="s">
        <v>537</v>
      </c>
    </row>
    <row r="844" spans="2:5" x14ac:dyDescent="0.4">
      <c r="B844" s="218">
        <v>840</v>
      </c>
      <c r="C844" s="82" t="s">
        <v>528</v>
      </c>
      <c r="D844" s="82">
        <v>34132</v>
      </c>
      <c r="E844" s="85" t="s">
        <v>538</v>
      </c>
    </row>
    <row r="845" spans="2:5" x14ac:dyDescent="0.4">
      <c r="B845" s="218">
        <v>841</v>
      </c>
      <c r="C845" s="82" t="s">
        <v>528</v>
      </c>
      <c r="D845" s="82">
        <v>31215</v>
      </c>
      <c r="E845" s="85" t="s">
        <v>537</v>
      </c>
    </row>
    <row r="846" spans="2:5" x14ac:dyDescent="0.4">
      <c r="B846" s="218">
        <v>842</v>
      </c>
      <c r="C846" s="82" t="s">
        <v>9</v>
      </c>
      <c r="D846" s="82">
        <v>34151</v>
      </c>
      <c r="E846" s="85" t="s">
        <v>537</v>
      </c>
    </row>
    <row r="847" spans="2:5" x14ac:dyDescent="0.4">
      <c r="B847" s="218">
        <v>843</v>
      </c>
      <c r="C847" s="82" t="s">
        <v>9</v>
      </c>
      <c r="D847" s="82">
        <v>34149</v>
      </c>
      <c r="E847" s="85" t="s">
        <v>537</v>
      </c>
    </row>
    <row r="848" spans="2:5" x14ac:dyDescent="0.4">
      <c r="B848" s="218">
        <v>844</v>
      </c>
      <c r="C848" s="82" t="s">
        <v>528</v>
      </c>
      <c r="D848" s="82">
        <v>31215</v>
      </c>
      <c r="E848" s="85" t="s">
        <v>537</v>
      </c>
    </row>
    <row r="849" spans="2:5" x14ac:dyDescent="0.4">
      <c r="B849" s="218">
        <v>845</v>
      </c>
      <c r="C849" s="82" t="s">
        <v>528</v>
      </c>
      <c r="D849" s="82">
        <v>31215</v>
      </c>
      <c r="E849" s="85" t="s">
        <v>537</v>
      </c>
    </row>
    <row r="850" spans="2:5" x14ac:dyDescent="0.4">
      <c r="B850" s="218">
        <v>846</v>
      </c>
      <c r="C850" s="82" t="s">
        <v>528</v>
      </c>
      <c r="D850" s="82">
        <v>31215</v>
      </c>
      <c r="E850" s="85" t="s">
        <v>537</v>
      </c>
    </row>
    <row r="851" spans="2:5" x14ac:dyDescent="0.4">
      <c r="B851" s="218">
        <v>847</v>
      </c>
      <c r="C851" s="82" t="s">
        <v>528</v>
      </c>
      <c r="D851" s="82">
        <v>34148</v>
      </c>
      <c r="E851" s="85" t="s">
        <v>537</v>
      </c>
    </row>
    <row r="852" spans="2:5" x14ac:dyDescent="0.4">
      <c r="B852" s="218">
        <v>848</v>
      </c>
      <c r="C852" s="82" t="s">
        <v>528</v>
      </c>
      <c r="D852" s="82">
        <v>34148</v>
      </c>
      <c r="E852" s="85" t="s">
        <v>537</v>
      </c>
    </row>
    <row r="853" spans="2:5" x14ac:dyDescent="0.4">
      <c r="B853" s="218">
        <v>849</v>
      </c>
      <c r="C853" s="82" t="s">
        <v>9</v>
      </c>
      <c r="D853" s="82">
        <v>34148</v>
      </c>
      <c r="E853" s="85" t="s">
        <v>537</v>
      </c>
    </row>
    <row r="854" spans="2:5" x14ac:dyDescent="0.4">
      <c r="B854" s="218">
        <v>850</v>
      </c>
      <c r="C854" s="82" t="s">
        <v>528</v>
      </c>
      <c r="D854" s="82">
        <v>31212</v>
      </c>
      <c r="E854" s="85" t="s">
        <v>538</v>
      </c>
    </row>
    <row r="855" spans="2:5" x14ac:dyDescent="0.4">
      <c r="B855" s="219">
        <v>851</v>
      </c>
      <c r="C855" s="70" t="s">
        <v>248</v>
      </c>
      <c r="D855" s="82">
        <v>31211</v>
      </c>
      <c r="E855" s="85" t="s">
        <v>538</v>
      </c>
    </row>
    <row r="856" spans="2:5" x14ac:dyDescent="0.4">
      <c r="B856" s="218">
        <v>852</v>
      </c>
      <c r="C856" s="82" t="s">
        <v>528</v>
      </c>
      <c r="D856" s="82">
        <v>34153</v>
      </c>
      <c r="E856" s="85" t="s">
        <v>538</v>
      </c>
    </row>
    <row r="857" spans="2:5" x14ac:dyDescent="0.4">
      <c r="B857" s="218">
        <v>853</v>
      </c>
      <c r="C857" s="82" t="s">
        <v>9</v>
      </c>
      <c r="D857" s="82">
        <v>34150</v>
      </c>
      <c r="E857" s="85" t="s">
        <v>537</v>
      </c>
    </row>
    <row r="858" spans="2:5" x14ac:dyDescent="0.4">
      <c r="B858" s="213">
        <v>854</v>
      </c>
      <c r="C858" s="82" t="s">
        <v>528</v>
      </c>
      <c r="D858" s="85">
        <v>34134</v>
      </c>
      <c r="E858" s="85" t="s">
        <v>538</v>
      </c>
    </row>
    <row r="859" spans="2:5" x14ac:dyDescent="0.4">
      <c r="B859" s="213">
        <v>855</v>
      </c>
      <c r="C859" s="82" t="s">
        <v>528</v>
      </c>
      <c r="D859" s="85">
        <v>34132</v>
      </c>
      <c r="E859" s="85" t="s">
        <v>538</v>
      </c>
    </row>
    <row r="860" spans="2:5" x14ac:dyDescent="0.4">
      <c r="B860" s="213">
        <v>856</v>
      </c>
      <c r="C860" s="82" t="s">
        <v>528</v>
      </c>
      <c r="D860" s="85">
        <v>34142</v>
      </c>
      <c r="E860" s="85" t="s">
        <v>535</v>
      </c>
    </row>
    <row r="861" spans="2:5" x14ac:dyDescent="0.4">
      <c r="B861" s="213">
        <v>857</v>
      </c>
      <c r="C861" s="82" t="s">
        <v>9</v>
      </c>
      <c r="D861" s="85">
        <v>34143</v>
      </c>
      <c r="E861" s="85" t="s">
        <v>535</v>
      </c>
    </row>
    <row r="862" spans="2:5" x14ac:dyDescent="0.4">
      <c r="B862" s="213">
        <v>858</v>
      </c>
      <c r="C862" s="82" t="s">
        <v>528</v>
      </c>
      <c r="D862" s="85">
        <v>31215</v>
      </c>
      <c r="E862" s="85" t="s">
        <v>537</v>
      </c>
    </row>
    <row r="863" spans="2:5" x14ac:dyDescent="0.4">
      <c r="B863" s="213">
        <v>859</v>
      </c>
      <c r="C863" s="82" t="s">
        <v>528</v>
      </c>
      <c r="D863" s="85">
        <v>35147</v>
      </c>
      <c r="E863" s="85" t="s">
        <v>539</v>
      </c>
    </row>
    <row r="864" spans="2:5" x14ac:dyDescent="0.4">
      <c r="B864" s="215">
        <v>860</v>
      </c>
      <c r="C864" s="69" t="s">
        <v>248</v>
      </c>
      <c r="D864" s="85">
        <v>34134</v>
      </c>
      <c r="E864" s="85" t="s">
        <v>538</v>
      </c>
    </row>
    <row r="865" spans="2:5" x14ac:dyDescent="0.4">
      <c r="B865" s="213">
        <v>861</v>
      </c>
      <c r="C865" s="82" t="s">
        <v>528</v>
      </c>
      <c r="D865" s="85">
        <v>34150</v>
      </c>
      <c r="E865" s="85" t="s">
        <v>537</v>
      </c>
    </row>
    <row r="866" spans="2:5" x14ac:dyDescent="0.4">
      <c r="B866" s="213">
        <v>862</v>
      </c>
      <c r="C866" s="82" t="s">
        <v>528</v>
      </c>
      <c r="D866" s="85">
        <v>31214</v>
      </c>
      <c r="E866" s="85" t="s">
        <v>537</v>
      </c>
    </row>
    <row r="867" spans="2:5" x14ac:dyDescent="0.4">
      <c r="B867" s="213">
        <v>863</v>
      </c>
      <c r="C867" s="82" t="s">
        <v>528</v>
      </c>
      <c r="D867" s="85">
        <v>31215</v>
      </c>
      <c r="E867" s="85" t="s">
        <v>537</v>
      </c>
    </row>
    <row r="868" spans="2:5" x14ac:dyDescent="0.4">
      <c r="B868" s="213">
        <v>864</v>
      </c>
      <c r="C868" s="82" t="s">
        <v>528</v>
      </c>
      <c r="D868" s="85">
        <v>31215</v>
      </c>
      <c r="E868" s="85" t="s">
        <v>537</v>
      </c>
    </row>
    <row r="869" spans="2:5" x14ac:dyDescent="0.4">
      <c r="B869" s="218">
        <v>865</v>
      </c>
      <c r="C869" s="82" t="s">
        <v>528</v>
      </c>
      <c r="D869" s="85">
        <v>34151</v>
      </c>
      <c r="E869" s="85" t="s">
        <v>537</v>
      </c>
    </row>
    <row r="870" spans="2:5" x14ac:dyDescent="0.4">
      <c r="B870" s="218">
        <v>866</v>
      </c>
      <c r="C870" s="82" t="s">
        <v>528</v>
      </c>
      <c r="D870" s="85">
        <v>34151</v>
      </c>
      <c r="E870" s="85" t="s">
        <v>537</v>
      </c>
    </row>
    <row r="871" spans="2:5" x14ac:dyDescent="0.4">
      <c r="B871" s="218">
        <v>867</v>
      </c>
      <c r="C871" s="82" t="s">
        <v>528</v>
      </c>
      <c r="D871" s="85">
        <v>34150</v>
      </c>
      <c r="E871" s="85" t="s">
        <v>537</v>
      </c>
    </row>
    <row r="872" spans="2:5" x14ac:dyDescent="0.4">
      <c r="B872" s="218">
        <v>868</v>
      </c>
      <c r="C872" s="82" t="s">
        <v>528</v>
      </c>
      <c r="D872" s="85">
        <v>34150</v>
      </c>
      <c r="E872" s="85" t="s">
        <v>537</v>
      </c>
    </row>
    <row r="873" spans="2:5" x14ac:dyDescent="0.4">
      <c r="B873" s="218">
        <v>869</v>
      </c>
      <c r="C873" s="82" t="s">
        <v>528</v>
      </c>
      <c r="D873" s="85">
        <v>34134</v>
      </c>
      <c r="E873" s="85" t="s">
        <v>538</v>
      </c>
    </row>
    <row r="874" spans="2:5" x14ac:dyDescent="0.4">
      <c r="B874" s="218">
        <v>870</v>
      </c>
      <c r="C874" s="82" t="s">
        <v>528</v>
      </c>
      <c r="D874" s="85">
        <v>35152</v>
      </c>
      <c r="E874" s="85" t="s">
        <v>539</v>
      </c>
    </row>
    <row r="875" spans="2:5" x14ac:dyDescent="0.4">
      <c r="B875" s="218">
        <v>871</v>
      </c>
      <c r="C875" s="82" t="s">
        <v>528</v>
      </c>
      <c r="D875" s="85">
        <v>31215</v>
      </c>
      <c r="E875" s="85" t="s">
        <v>537</v>
      </c>
    </row>
    <row r="876" spans="2:5" x14ac:dyDescent="0.4">
      <c r="B876" s="218">
        <v>872</v>
      </c>
      <c r="C876" s="82" t="s">
        <v>528</v>
      </c>
      <c r="D876" s="85">
        <v>34154</v>
      </c>
      <c r="E876" s="85" t="s">
        <v>538</v>
      </c>
    </row>
    <row r="877" spans="2:5" x14ac:dyDescent="0.4">
      <c r="B877" s="218">
        <v>873</v>
      </c>
      <c r="C877" s="82" t="s">
        <v>528</v>
      </c>
      <c r="D877" s="85">
        <v>34154</v>
      </c>
      <c r="E877" s="85" t="s">
        <v>538</v>
      </c>
    </row>
    <row r="878" spans="2:5" x14ac:dyDescent="0.4">
      <c r="B878" s="218">
        <v>874</v>
      </c>
      <c r="C878" s="82" t="s">
        <v>528</v>
      </c>
      <c r="D878" s="85">
        <v>34144</v>
      </c>
      <c r="E878" s="85" t="s">
        <v>538</v>
      </c>
    </row>
    <row r="879" spans="2:5" x14ac:dyDescent="0.4">
      <c r="B879" s="218">
        <v>875</v>
      </c>
      <c r="C879" s="82" t="s">
        <v>528</v>
      </c>
      <c r="D879" s="85">
        <v>34149</v>
      </c>
      <c r="E879" s="85" t="s">
        <v>537</v>
      </c>
    </row>
    <row r="880" spans="2:5" x14ac:dyDescent="0.4">
      <c r="B880" s="218">
        <v>876</v>
      </c>
      <c r="C880" s="82" t="s">
        <v>528</v>
      </c>
      <c r="D880" s="85">
        <v>34149</v>
      </c>
      <c r="E880" s="85" t="s">
        <v>537</v>
      </c>
    </row>
    <row r="881" spans="2:5" x14ac:dyDescent="0.4">
      <c r="B881" s="218">
        <v>877</v>
      </c>
      <c r="C881" s="82" t="s">
        <v>528</v>
      </c>
      <c r="D881" s="85">
        <v>34134</v>
      </c>
      <c r="E881" s="85" t="s">
        <v>538</v>
      </c>
    </row>
    <row r="882" spans="2:5" x14ac:dyDescent="0.4">
      <c r="B882" s="218">
        <v>878</v>
      </c>
      <c r="C882" s="82" t="s">
        <v>9</v>
      </c>
      <c r="D882" s="85">
        <v>34151</v>
      </c>
      <c r="E882" s="85" t="s">
        <v>537</v>
      </c>
    </row>
    <row r="883" spans="2:5" x14ac:dyDescent="0.4">
      <c r="B883" s="218">
        <v>879</v>
      </c>
      <c r="C883" s="82" t="s">
        <v>528</v>
      </c>
      <c r="D883" s="85">
        <v>35145</v>
      </c>
      <c r="E883" s="85" t="s">
        <v>539</v>
      </c>
    </row>
    <row r="884" spans="2:5" x14ac:dyDescent="0.4">
      <c r="B884" s="218">
        <v>880</v>
      </c>
      <c r="C884" s="82" t="s">
        <v>528</v>
      </c>
      <c r="D884" s="85">
        <v>34143</v>
      </c>
      <c r="E884" s="85" t="s">
        <v>535</v>
      </c>
    </row>
    <row r="885" spans="2:5" x14ac:dyDescent="0.4">
      <c r="B885" s="218">
        <v>881</v>
      </c>
      <c r="C885" s="82" t="s">
        <v>528</v>
      </c>
      <c r="D885" s="85">
        <v>35156</v>
      </c>
      <c r="E885" s="85" t="s">
        <v>539</v>
      </c>
    </row>
    <row r="886" spans="2:5" x14ac:dyDescent="0.4">
      <c r="B886" s="218">
        <v>882</v>
      </c>
      <c r="C886" s="82" t="s">
        <v>9</v>
      </c>
      <c r="D886" s="85">
        <v>34133</v>
      </c>
      <c r="E886" s="85" t="s">
        <v>538</v>
      </c>
    </row>
    <row r="887" spans="2:5" x14ac:dyDescent="0.4">
      <c r="B887" s="218">
        <v>883</v>
      </c>
      <c r="C887" s="82" t="s">
        <v>9</v>
      </c>
      <c r="D887" s="85">
        <v>34133</v>
      </c>
      <c r="E887" s="85" t="s">
        <v>538</v>
      </c>
    </row>
    <row r="888" spans="2:5" x14ac:dyDescent="0.4">
      <c r="B888" s="218">
        <v>884</v>
      </c>
      <c r="C888" s="82" t="s">
        <v>9</v>
      </c>
      <c r="D888" s="85">
        <v>34144</v>
      </c>
      <c r="E888" s="85" t="s">
        <v>538</v>
      </c>
    </row>
    <row r="889" spans="2:5" x14ac:dyDescent="0.4">
      <c r="B889" s="218">
        <v>885</v>
      </c>
      <c r="C889" s="82" t="s">
        <v>528</v>
      </c>
      <c r="D889" s="85">
        <v>34144</v>
      </c>
      <c r="E889" s="85" t="s">
        <v>538</v>
      </c>
    </row>
    <row r="890" spans="2:5" x14ac:dyDescent="0.4">
      <c r="B890" s="218">
        <v>886</v>
      </c>
      <c r="C890" s="82" t="s">
        <v>528</v>
      </c>
      <c r="D890" s="85">
        <v>34154</v>
      </c>
      <c r="E890" s="85" t="s">
        <v>538</v>
      </c>
    </row>
    <row r="891" spans="2:5" x14ac:dyDescent="0.4">
      <c r="B891" s="218">
        <v>887</v>
      </c>
      <c r="C891" s="82" t="s">
        <v>528</v>
      </c>
      <c r="D891" s="85">
        <v>34154</v>
      </c>
      <c r="E891" s="85" t="s">
        <v>538</v>
      </c>
    </row>
    <row r="892" spans="2:5" x14ac:dyDescent="0.4">
      <c r="B892" s="218">
        <v>888</v>
      </c>
      <c r="C892" s="82" t="s">
        <v>528</v>
      </c>
      <c r="D892" s="85">
        <v>31909</v>
      </c>
      <c r="E892" s="85" t="s">
        <v>535</v>
      </c>
    </row>
    <row r="893" spans="2:5" x14ac:dyDescent="0.4">
      <c r="B893" s="218">
        <v>889</v>
      </c>
      <c r="C893" s="82" t="s">
        <v>9</v>
      </c>
      <c r="D893" s="85">
        <v>34154</v>
      </c>
      <c r="E893" s="85" t="s">
        <v>538</v>
      </c>
    </row>
    <row r="894" spans="2:5" x14ac:dyDescent="0.4">
      <c r="B894" s="218">
        <v>890</v>
      </c>
      <c r="C894" s="82" t="s">
        <v>248</v>
      </c>
      <c r="D894" s="85">
        <v>31212</v>
      </c>
      <c r="E894" s="85" t="s">
        <v>538</v>
      </c>
    </row>
    <row r="895" spans="2:5" x14ac:dyDescent="0.4">
      <c r="B895" s="218">
        <v>891</v>
      </c>
      <c r="C895" s="82" t="s">
        <v>9</v>
      </c>
      <c r="D895" s="85">
        <v>34154</v>
      </c>
      <c r="E895" s="85" t="s">
        <v>538</v>
      </c>
    </row>
    <row r="896" spans="2:5" x14ac:dyDescent="0.4">
      <c r="B896" s="218">
        <v>892</v>
      </c>
      <c r="C896" s="82" t="s">
        <v>9</v>
      </c>
      <c r="D896" s="85">
        <v>35157</v>
      </c>
      <c r="E896" s="85" t="s">
        <v>539</v>
      </c>
    </row>
    <row r="897" spans="2:5" x14ac:dyDescent="0.4">
      <c r="B897" s="218">
        <v>893</v>
      </c>
      <c r="C897" s="82" t="s">
        <v>9</v>
      </c>
      <c r="D897" s="85">
        <v>34133</v>
      </c>
      <c r="E897" s="85" t="s">
        <v>538</v>
      </c>
    </row>
    <row r="898" spans="2:5" x14ac:dyDescent="0.4">
      <c r="B898" s="218">
        <v>894</v>
      </c>
      <c r="C898" s="82" t="s">
        <v>528</v>
      </c>
      <c r="D898" s="85">
        <v>34152</v>
      </c>
      <c r="E898" s="85" t="s">
        <v>537</v>
      </c>
    </row>
    <row r="899" spans="2:5" x14ac:dyDescent="0.4">
      <c r="B899" s="218">
        <v>895</v>
      </c>
      <c r="C899" s="82" t="s">
        <v>9</v>
      </c>
      <c r="D899" s="85">
        <v>34143</v>
      </c>
      <c r="E899" s="85" t="s">
        <v>535</v>
      </c>
    </row>
    <row r="900" spans="2:5" x14ac:dyDescent="0.4">
      <c r="B900" s="219">
        <v>896</v>
      </c>
      <c r="C900" s="69" t="s">
        <v>248</v>
      </c>
      <c r="D900" s="85">
        <v>35147</v>
      </c>
      <c r="E900" s="85" t="s">
        <v>539</v>
      </c>
    </row>
    <row r="901" spans="2:5" x14ac:dyDescent="0.4">
      <c r="B901" s="218">
        <v>897</v>
      </c>
      <c r="C901" s="82" t="s">
        <v>528</v>
      </c>
      <c r="D901" s="85">
        <v>34141</v>
      </c>
      <c r="E901" s="85" t="s">
        <v>537</v>
      </c>
    </row>
    <row r="902" spans="2:5" x14ac:dyDescent="0.4">
      <c r="B902" s="218">
        <v>898</v>
      </c>
      <c r="C902" s="82" t="s">
        <v>528</v>
      </c>
      <c r="D902" s="85">
        <v>34145</v>
      </c>
      <c r="E902" s="85" t="s">
        <v>537</v>
      </c>
    </row>
    <row r="903" spans="2:5" x14ac:dyDescent="0.4">
      <c r="B903" s="218">
        <v>899</v>
      </c>
      <c r="C903" s="82" t="s">
        <v>528</v>
      </c>
      <c r="D903" s="85">
        <v>31206</v>
      </c>
      <c r="E903" s="85" t="s">
        <v>538</v>
      </c>
    </row>
    <row r="904" spans="2:5" x14ac:dyDescent="0.4">
      <c r="B904" s="219">
        <v>900</v>
      </c>
      <c r="C904" s="69" t="s">
        <v>248</v>
      </c>
      <c r="D904" s="85">
        <v>34150</v>
      </c>
      <c r="E904" s="85" t="s">
        <v>537</v>
      </c>
    </row>
    <row r="905" spans="2:5" x14ac:dyDescent="0.4">
      <c r="B905" s="218">
        <v>901</v>
      </c>
      <c r="C905" s="82" t="s">
        <v>528</v>
      </c>
      <c r="D905" s="85">
        <v>34144</v>
      </c>
      <c r="E905" s="85" t="s">
        <v>538</v>
      </c>
    </row>
    <row r="906" spans="2:5" x14ac:dyDescent="0.4">
      <c r="B906" s="218">
        <v>902</v>
      </c>
      <c r="C906" s="82" t="s">
        <v>248</v>
      </c>
      <c r="D906" s="85">
        <v>34144</v>
      </c>
      <c r="E906" s="85" t="s">
        <v>538</v>
      </c>
    </row>
    <row r="907" spans="2:5" x14ac:dyDescent="0.4">
      <c r="B907" s="218">
        <v>903</v>
      </c>
      <c r="C907" s="82" t="s">
        <v>528</v>
      </c>
      <c r="D907" s="85">
        <v>34144</v>
      </c>
      <c r="E907" s="85" t="s">
        <v>538</v>
      </c>
    </row>
    <row r="908" spans="2:5" x14ac:dyDescent="0.4">
      <c r="B908" s="218">
        <v>904</v>
      </c>
      <c r="C908" s="82" t="s">
        <v>9</v>
      </c>
      <c r="D908" s="85">
        <v>34133</v>
      </c>
      <c r="E908" s="85" t="s">
        <v>538</v>
      </c>
    </row>
    <row r="909" spans="2:5" x14ac:dyDescent="0.4">
      <c r="B909" s="218">
        <v>905</v>
      </c>
      <c r="C909" s="82" t="s">
        <v>528</v>
      </c>
      <c r="D909" s="85">
        <v>34149</v>
      </c>
      <c r="E909" s="85" t="s">
        <v>537</v>
      </c>
    </row>
    <row r="910" spans="2:5" x14ac:dyDescent="0.4">
      <c r="B910" s="219">
        <v>906</v>
      </c>
      <c r="C910" s="69" t="s">
        <v>248</v>
      </c>
      <c r="D910" s="85">
        <v>34149</v>
      </c>
      <c r="E910" s="85" t="s">
        <v>537</v>
      </c>
    </row>
    <row r="911" spans="2:5" x14ac:dyDescent="0.4">
      <c r="B911" s="219">
        <v>907</v>
      </c>
      <c r="C911" s="69" t="s">
        <v>248</v>
      </c>
      <c r="D911" s="85">
        <v>31210</v>
      </c>
      <c r="E911" s="85" t="s">
        <v>538</v>
      </c>
    </row>
    <row r="912" spans="2:5" x14ac:dyDescent="0.4">
      <c r="B912" s="218">
        <v>908</v>
      </c>
      <c r="C912" s="82" t="s">
        <v>528</v>
      </c>
      <c r="D912" s="85">
        <v>34145</v>
      </c>
      <c r="E912" s="85" t="s">
        <v>537</v>
      </c>
    </row>
    <row r="913" spans="2:5" x14ac:dyDescent="0.4">
      <c r="B913" s="218">
        <v>909</v>
      </c>
      <c r="C913" s="82" t="s">
        <v>528</v>
      </c>
      <c r="D913" s="85">
        <v>35149</v>
      </c>
      <c r="E913" s="85" t="s">
        <v>539</v>
      </c>
    </row>
    <row r="914" spans="2:5" x14ac:dyDescent="0.4">
      <c r="B914" s="218">
        <v>910</v>
      </c>
      <c r="C914" s="82" t="s">
        <v>528</v>
      </c>
      <c r="D914" s="85">
        <v>35150</v>
      </c>
      <c r="E914" s="85" t="s">
        <v>539</v>
      </c>
    </row>
    <row r="915" spans="2:5" x14ac:dyDescent="0.4">
      <c r="B915" s="218">
        <v>911</v>
      </c>
      <c r="C915" s="82" t="s">
        <v>528</v>
      </c>
      <c r="D915" s="85">
        <v>34143</v>
      </c>
      <c r="E915" s="85" t="s">
        <v>535</v>
      </c>
    </row>
    <row r="916" spans="2:5" x14ac:dyDescent="0.4">
      <c r="B916" s="218">
        <v>912</v>
      </c>
      <c r="C916" s="82" t="s">
        <v>9</v>
      </c>
      <c r="D916" s="85">
        <v>34133</v>
      </c>
      <c r="E916" s="85" t="s">
        <v>538</v>
      </c>
    </row>
    <row r="917" spans="2:5" x14ac:dyDescent="0.4">
      <c r="B917" s="218">
        <v>913</v>
      </c>
      <c r="C917" s="82" t="s">
        <v>528</v>
      </c>
      <c r="D917" s="85">
        <v>34133</v>
      </c>
      <c r="E917" s="85" t="s">
        <v>538</v>
      </c>
    </row>
    <row r="918" spans="2:5" x14ac:dyDescent="0.4">
      <c r="B918" s="218">
        <v>914</v>
      </c>
      <c r="C918" s="82" t="s">
        <v>528</v>
      </c>
      <c r="D918" s="85">
        <v>34133</v>
      </c>
      <c r="E918" s="85" t="s">
        <v>538</v>
      </c>
    </row>
    <row r="919" spans="2:5" x14ac:dyDescent="0.4">
      <c r="B919" s="218">
        <v>915</v>
      </c>
      <c r="C919" s="82" t="s">
        <v>528</v>
      </c>
      <c r="D919" s="85">
        <v>35155</v>
      </c>
      <c r="E919" s="85" t="s">
        <v>539</v>
      </c>
    </row>
    <row r="920" spans="2:5" x14ac:dyDescent="0.4">
      <c r="B920" s="218">
        <v>916</v>
      </c>
      <c r="C920" s="82" t="s">
        <v>9</v>
      </c>
      <c r="D920" s="85">
        <v>34140</v>
      </c>
      <c r="E920" s="85" t="s">
        <v>535</v>
      </c>
    </row>
    <row r="921" spans="2:5" x14ac:dyDescent="0.4">
      <c r="B921" s="219">
        <v>917</v>
      </c>
      <c r="C921" s="69" t="s">
        <v>248</v>
      </c>
      <c r="D921" s="85">
        <v>34135</v>
      </c>
      <c r="E921" s="85" t="s">
        <v>535</v>
      </c>
    </row>
    <row r="922" spans="2:5" x14ac:dyDescent="0.4">
      <c r="B922" s="218">
        <v>918</v>
      </c>
      <c r="C922" s="82" t="s">
        <v>528</v>
      </c>
      <c r="D922" s="85">
        <v>34150</v>
      </c>
      <c r="E922" s="85" t="s">
        <v>537</v>
      </c>
    </row>
    <row r="923" spans="2:5" x14ac:dyDescent="0.4">
      <c r="B923" s="218">
        <v>919</v>
      </c>
      <c r="C923" s="82" t="s">
        <v>9</v>
      </c>
      <c r="D923" s="85">
        <v>34133</v>
      </c>
      <c r="E923" s="85" t="s">
        <v>538</v>
      </c>
    </row>
    <row r="924" spans="2:5" x14ac:dyDescent="0.4">
      <c r="B924" s="218">
        <v>920</v>
      </c>
      <c r="C924" s="82" t="s">
        <v>528</v>
      </c>
      <c r="D924" s="85">
        <v>34133</v>
      </c>
      <c r="E924" s="85" t="s">
        <v>538</v>
      </c>
    </row>
    <row r="925" spans="2:5" x14ac:dyDescent="0.4">
      <c r="B925" s="218">
        <v>921</v>
      </c>
      <c r="C925" s="82" t="s">
        <v>9</v>
      </c>
      <c r="D925" s="85">
        <v>34133</v>
      </c>
      <c r="E925" s="85" t="s">
        <v>538</v>
      </c>
    </row>
    <row r="926" spans="2:5" x14ac:dyDescent="0.4">
      <c r="B926" s="218">
        <v>922</v>
      </c>
      <c r="C926" s="82" t="s">
        <v>528</v>
      </c>
      <c r="D926" s="85">
        <v>34152</v>
      </c>
      <c r="E926" s="85" t="s">
        <v>537</v>
      </c>
    </row>
    <row r="927" spans="2:5" x14ac:dyDescent="0.4">
      <c r="B927" s="218">
        <v>923</v>
      </c>
      <c r="C927" s="82" t="s">
        <v>9</v>
      </c>
      <c r="D927" s="85">
        <v>31215</v>
      </c>
      <c r="E927" s="85" t="s">
        <v>537</v>
      </c>
    </row>
    <row r="928" spans="2:5" x14ac:dyDescent="0.4">
      <c r="B928" s="218">
        <v>924</v>
      </c>
      <c r="C928" s="82" t="s">
        <v>9</v>
      </c>
      <c r="D928" s="85">
        <v>31215</v>
      </c>
      <c r="E928" s="85" t="s">
        <v>537</v>
      </c>
    </row>
    <row r="929" spans="2:5" x14ac:dyDescent="0.4">
      <c r="B929" s="218">
        <v>925</v>
      </c>
      <c r="C929" s="82" t="s">
        <v>528</v>
      </c>
      <c r="D929" s="85">
        <v>31212</v>
      </c>
      <c r="E929" s="85" t="s">
        <v>538</v>
      </c>
    </row>
    <row r="930" spans="2:5" x14ac:dyDescent="0.4">
      <c r="B930" s="219">
        <v>926</v>
      </c>
      <c r="C930" s="69" t="s">
        <v>248</v>
      </c>
      <c r="D930" s="85">
        <v>31212</v>
      </c>
      <c r="E930" s="85" t="s">
        <v>538</v>
      </c>
    </row>
    <row r="931" spans="2:5" x14ac:dyDescent="0.4">
      <c r="B931" s="218">
        <v>927</v>
      </c>
      <c r="C931" s="82" t="s">
        <v>528</v>
      </c>
      <c r="D931" s="85">
        <v>34133</v>
      </c>
      <c r="E931" s="85" t="s">
        <v>538</v>
      </c>
    </row>
    <row r="932" spans="2:5" x14ac:dyDescent="0.4">
      <c r="B932" s="218">
        <v>928</v>
      </c>
      <c r="C932" s="82" t="s">
        <v>9</v>
      </c>
      <c r="D932" s="85">
        <v>34131</v>
      </c>
      <c r="E932" s="85" t="s">
        <v>537</v>
      </c>
    </row>
    <row r="933" spans="2:5" x14ac:dyDescent="0.4">
      <c r="B933" s="218">
        <v>929</v>
      </c>
      <c r="C933" s="82" t="s">
        <v>528</v>
      </c>
      <c r="D933" s="85">
        <v>34131</v>
      </c>
      <c r="E933" s="85" t="s">
        <v>537</v>
      </c>
    </row>
    <row r="934" spans="2:5" x14ac:dyDescent="0.4">
      <c r="B934" s="218">
        <v>930</v>
      </c>
      <c r="C934" s="82" t="s">
        <v>9</v>
      </c>
      <c r="D934" s="85">
        <v>34138</v>
      </c>
      <c r="E934" s="85" t="s">
        <v>535</v>
      </c>
    </row>
    <row r="935" spans="2:5" x14ac:dyDescent="0.4">
      <c r="B935" s="218">
        <v>931</v>
      </c>
      <c r="C935" s="82" t="s">
        <v>9</v>
      </c>
      <c r="D935" s="85">
        <v>31214</v>
      </c>
      <c r="E935" s="85" t="s">
        <v>537</v>
      </c>
    </row>
    <row r="936" spans="2:5" x14ac:dyDescent="0.4">
      <c r="B936" s="218">
        <v>932</v>
      </c>
      <c r="C936" s="82" t="s">
        <v>528</v>
      </c>
      <c r="D936" s="85">
        <v>34143</v>
      </c>
      <c r="E936" s="85" t="s">
        <v>535</v>
      </c>
    </row>
    <row r="937" spans="2:5" x14ac:dyDescent="0.4">
      <c r="B937" s="218">
        <v>933</v>
      </c>
      <c r="C937" s="82" t="s">
        <v>9</v>
      </c>
      <c r="D937" s="85">
        <v>34139</v>
      </c>
      <c r="E937" s="85" t="s">
        <v>535</v>
      </c>
    </row>
    <row r="938" spans="2:5" x14ac:dyDescent="0.4">
      <c r="B938" s="218">
        <v>934</v>
      </c>
      <c r="C938" s="82" t="s">
        <v>9</v>
      </c>
      <c r="D938" s="85">
        <v>31208</v>
      </c>
      <c r="E938" s="85" t="s">
        <v>538</v>
      </c>
    </row>
    <row r="939" spans="2:5" x14ac:dyDescent="0.4">
      <c r="B939" s="218">
        <v>935</v>
      </c>
      <c r="C939" s="82" t="s">
        <v>528</v>
      </c>
      <c r="D939" s="85">
        <v>34135</v>
      </c>
      <c r="E939" s="85" t="s">
        <v>535</v>
      </c>
    </row>
    <row r="940" spans="2:5" x14ac:dyDescent="0.4">
      <c r="B940" s="218">
        <v>936</v>
      </c>
      <c r="C940" s="82" t="s">
        <v>528</v>
      </c>
      <c r="D940" s="85">
        <v>34131</v>
      </c>
      <c r="E940" s="85" t="s">
        <v>537</v>
      </c>
    </row>
    <row r="941" spans="2:5" x14ac:dyDescent="0.4">
      <c r="B941" s="218">
        <v>937</v>
      </c>
      <c r="C941" s="82" t="s">
        <v>528</v>
      </c>
      <c r="D941" s="85">
        <v>31208</v>
      </c>
      <c r="E941" s="85" t="s">
        <v>538</v>
      </c>
    </row>
    <row r="942" spans="2:5" x14ac:dyDescent="0.4">
      <c r="B942" s="218">
        <v>938</v>
      </c>
      <c r="C942" s="82" t="s">
        <v>9</v>
      </c>
      <c r="D942" s="85">
        <v>34154</v>
      </c>
      <c r="E942" s="85" t="s">
        <v>538</v>
      </c>
    </row>
    <row r="943" spans="2:5" x14ac:dyDescent="0.4">
      <c r="B943" s="218">
        <v>939</v>
      </c>
      <c r="C943" s="82" t="s">
        <v>528</v>
      </c>
      <c r="D943" s="85">
        <v>34154</v>
      </c>
      <c r="E943" s="85" t="s">
        <v>538</v>
      </c>
    </row>
    <row r="944" spans="2:5" x14ac:dyDescent="0.4">
      <c r="B944" s="218">
        <v>940</v>
      </c>
      <c r="C944" s="82" t="s">
        <v>528</v>
      </c>
      <c r="D944" s="85">
        <v>34141</v>
      </c>
      <c r="E944" s="85" t="s">
        <v>537</v>
      </c>
    </row>
    <row r="945" spans="2:5" x14ac:dyDescent="0.4">
      <c r="B945" s="218">
        <v>941</v>
      </c>
      <c r="C945" s="82" t="s">
        <v>528</v>
      </c>
      <c r="D945" s="85">
        <v>34141</v>
      </c>
      <c r="E945" s="85" t="s">
        <v>537</v>
      </c>
    </row>
    <row r="946" spans="2:5" x14ac:dyDescent="0.4">
      <c r="B946" s="218">
        <v>942</v>
      </c>
      <c r="C946" s="82" t="s">
        <v>528</v>
      </c>
      <c r="D946" s="85">
        <v>34141</v>
      </c>
      <c r="E946" s="85" t="s">
        <v>537</v>
      </c>
    </row>
    <row r="947" spans="2:5" x14ac:dyDescent="0.4">
      <c r="B947" s="218">
        <v>943</v>
      </c>
      <c r="C947" s="82" t="s">
        <v>528</v>
      </c>
      <c r="D947" s="85">
        <v>34141</v>
      </c>
      <c r="E947" s="85" t="s">
        <v>537</v>
      </c>
    </row>
    <row r="948" spans="2:5" x14ac:dyDescent="0.4">
      <c r="B948" s="218">
        <v>944</v>
      </c>
      <c r="C948" s="82" t="s">
        <v>9</v>
      </c>
      <c r="D948" s="85">
        <v>35149</v>
      </c>
      <c r="E948" s="85" t="s">
        <v>539</v>
      </c>
    </row>
    <row r="949" spans="2:5" x14ac:dyDescent="0.4">
      <c r="B949" s="218">
        <v>945</v>
      </c>
      <c r="C949" s="82" t="s">
        <v>528</v>
      </c>
      <c r="D949" s="85">
        <v>35146</v>
      </c>
      <c r="E949" s="85" t="s">
        <v>539</v>
      </c>
    </row>
    <row r="950" spans="2:5" x14ac:dyDescent="0.4">
      <c r="B950" s="218">
        <v>946</v>
      </c>
      <c r="C950" s="82" t="s">
        <v>9</v>
      </c>
      <c r="D950" s="85">
        <v>35157</v>
      </c>
      <c r="E950" s="85" t="s">
        <v>539</v>
      </c>
    </row>
    <row r="951" spans="2:5" x14ac:dyDescent="0.4">
      <c r="B951" s="218">
        <v>947</v>
      </c>
      <c r="C951" s="82" t="s">
        <v>528</v>
      </c>
      <c r="D951" s="85">
        <v>34134</v>
      </c>
      <c r="E951" s="85" t="s">
        <v>538</v>
      </c>
    </row>
    <row r="952" spans="2:5" x14ac:dyDescent="0.4">
      <c r="B952" s="218">
        <v>948</v>
      </c>
      <c r="C952" s="82" t="s">
        <v>528</v>
      </c>
      <c r="D952" s="85">
        <v>34132</v>
      </c>
      <c r="E952" s="85" t="s">
        <v>538</v>
      </c>
    </row>
    <row r="953" spans="2:5" x14ac:dyDescent="0.4">
      <c r="B953" s="218">
        <v>949</v>
      </c>
      <c r="C953" s="82" t="s">
        <v>9</v>
      </c>
      <c r="D953" s="85">
        <v>31208</v>
      </c>
      <c r="E953" s="85" t="s">
        <v>538</v>
      </c>
    </row>
    <row r="954" spans="2:5" x14ac:dyDescent="0.4">
      <c r="B954" s="218">
        <v>950</v>
      </c>
      <c r="C954" s="82" t="s">
        <v>528</v>
      </c>
      <c r="D954" s="85">
        <v>31208</v>
      </c>
      <c r="E954" s="85" t="s">
        <v>538</v>
      </c>
    </row>
    <row r="955" spans="2:5" x14ac:dyDescent="0.4">
      <c r="B955" s="218">
        <v>951</v>
      </c>
      <c r="C955" s="82" t="s">
        <v>528</v>
      </c>
      <c r="D955" s="85">
        <v>34149</v>
      </c>
      <c r="E955" s="85" t="s">
        <v>537</v>
      </c>
    </row>
    <row r="956" spans="2:5" x14ac:dyDescent="0.4">
      <c r="B956" s="219">
        <v>952</v>
      </c>
      <c r="C956" s="69" t="s">
        <v>248</v>
      </c>
      <c r="D956" s="85">
        <v>34134</v>
      </c>
      <c r="E956" s="85" t="s">
        <v>538</v>
      </c>
    </row>
    <row r="957" spans="2:5" x14ac:dyDescent="0.4">
      <c r="B957" s="218">
        <v>953</v>
      </c>
      <c r="C957" s="82" t="s">
        <v>528</v>
      </c>
      <c r="D957" s="85">
        <v>31204</v>
      </c>
      <c r="E957" s="85" t="s">
        <v>538</v>
      </c>
    </row>
    <row r="958" spans="2:5" x14ac:dyDescent="0.4">
      <c r="B958" s="218">
        <v>954</v>
      </c>
      <c r="C958" s="82" t="s">
        <v>528</v>
      </c>
      <c r="D958" s="85">
        <v>35157</v>
      </c>
      <c r="E958" s="85" t="s">
        <v>539</v>
      </c>
    </row>
    <row r="959" spans="2:5" x14ac:dyDescent="0.4">
      <c r="B959" s="218">
        <v>955</v>
      </c>
      <c r="C959" s="82" t="s">
        <v>528</v>
      </c>
      <c r="D959" s="85">
        <v>31204</v>
      </c>
      <c r="E959" s="85" t="s">
        <v>538</v>
      </c>
    </row>
    <row r="960" spans="2:5" x14ac:dyDescent="0.4">
      <c r="B960" s="218">
        <v>956</v>
      </c>
      <c r="C960" s="82" t="s">
        <v>528</v>
      </c>
      <c r="D960" s="85">
        <v>34148</v>
      </c>
      <c r="E960" s="85" t="s">
        <v>537</v>
      </c>
    </row>
    <row r="961" spans="2:5" x14ac:dyDescent="0.4">
      <c r="B961" s="218">
        <v>957</v>
      </c>
      <c r="C961" s="82" t="s">
        <v>9</v>
      </c>
      <c r="D961" s="85">
        <v>34153</v>
      </c>
      <c r="E961" s="85" t="s">
        <v>538</v>
      </c>
    </row>
    <row r="962" spans="2:5" x14ac:dyDescent="0.4">
      <c r="B962" s="218">
        <v>958</v>
      </c>
      <c r="C962" s="82" t="s">
        <v>9</v>
      </c>
      <c r="D962" s="85">
        <v>34144</v>
      </c>
      <c r="E962" s="85" t="s">
        <v>538</v>
      </c>
    </row>
    <row r="963" spans="2:5" x14ac:dyDescent="0.4">
      <c r="B963" s="218">
        <v>959</v>
      </c>
      <c r="C963" s="82" t="s">
        <v>528</v>
      </c>
      <c r="D963" s="85">
        <v>34134</v>
      </c>
      <c r="E963" s="85" t="s">
        <v>538</v>
      </c>
    </row>
    <row r="964" spans="2:5" x14ac:dyDescent="0.4">
      <c r="B964" s="218">
        <v>960</v>
      </c>
      <c r="C964" s="82" t="s">
        <v>528</v>
      </c>
      <c r="D964" s="85">
        <v>34134</v>
      </c>
      <c r="E964" s="85" t="s">
        <v>538</v>
      </c>
    </row>
    <row r="965" spans="2:5" x14ac:dyDescent="0.4">
      <c r="B965" s="218">
        <v>961</v>
      </c>
      <c r="C965" s="82" t="s">
        <v>248</v>
      </c>
      <c r="D965" s="85">
        <v>34153</v>
      </c>
      <c r="E965" s="85" t="s">
        <v>538</v>
      </c>
    </row>
    <row r="966" spans="2:5" x14ac:dyDescent="0.4">
      <c r="B966" s="218">
        <v>962</v>
      </c>
      <c r="C966" s="82" t="s">
        <v>528</v>
      </c>
      <c r="D966" s="85">
        <v>34133</v>
      </c>
      <c r="E966" s="85" t="s">
        <v>538</v>
      </c>
    </row>
    <row r="967" spans="2:5" x14ac:dyDescent="0.4">
      <c r="B967" s="218">
        <v>963</v>
      </c>
      <c r="C967" s="82" t="s">
        <v>9</v>
      </c>
      <c r="D967" s="85">
        <v>34138</v>
      </c>
      <c r="E967" s="85" t="s">
        <v>535</v>
      </c>
    </row>
    <row r="968" spans="2:5" x14ac:dyDescent="0.4">
      <c r="B968" s="218">
        <v>964</v>
      </c>
      <c r="C968" s="82" t="s">
        <v>9</v>
      </c>
      <c r="D968" s="85">
        <v>34154</v>
      </c>
      <c r="E968" s="85" t="s">
        <v>538</v>
      </c>
    </row>
    <row r="969" spans="2:5" x14ac:dyDescent="0.4">
      <c r="B969" s="218">
        <v>965</v>
      </c>
      <c r="C969" s="82" t="s">
        <v>528</v>
      </c>
      <c r="D969" s="85">
        <v>34144</v>
      </c>
      <c r="E969" s="85" t="s">
        <v>538</v>
      </c>
    </row>
    <row r="970" spans="2:5" x14ac:dyDescent="0.4">
      <c r="B970" s="218">
        <v>966</v>
      </c>
      <c r="C970" s="82" t="s">
        <v>528</v>
      </c>
      <c r="D970" s="85">
        <v>34144</v>
      </c>
      <c r="E970" s="85" t="s">
        <v>538</v>
      </c>
    </row>
    <row r="971" spans="2:5" x14ac:dyDescent="0.4">
      <c r="B971" s="218">
        <v>967</v>
      </c>
      <c r="C971" s="82" t="s">
        <v>528</v>
      </c>
      <c r="D971" s="85">
        <v>31212</v>
      </c>
      <c r="E971" s="85" t="s">
        <v>538</v>
      </c>
    </row>
    <row r="972" spans="2:5" x14ac:dyDescent="0.4">
      <c r="B972" s="218">
        <v>968</v>
      </c>
      <c r="C972" s="82" t="s">
        <v>9</v>
      </c>
      <c r="D972" s="85">
        <v>34142</v>
      </c>
      <c r="E972" s="85" t="s">
        <v>535</v>
      </c>
    </row>
    <row r="973" spans="2:5" x14ac:dyDescent="0.4">
      <c r="B973" s="218">
        <v>969</v>
      </c>
      <c r="C973" s="82" t="s">
        <v>9</v>
      </c>
      <c r="D973" s="85">
        <v>34133</v>
      </c>
      <c r="E973" s="85" t="s">
        <v>538</v>
      </c>
    </row>
    <row r="974" spans="2:5" x14ac:dyDescent="0.4">
      <c r="B974" s="218">
        <v>970</v>
      </c>
      <c r="C974" s="82" t="s">
        <v>528</v>
      </c>
      <c r="D974" s="85">
        <v>34133</v>
      </c>
      <c r="E974" s="85" t="s">
        <v>538</v>
      </c>
    </row>
    <row r="975" spans="2:5" x14ac:dyDescent="0.4">
      <c r="B975" s="218">
        <v>971</v>
      </c>
      <c r="C975" s="82" t="s">
        <v>528</v>
      </c>
      <c r="D975" s="85">
        <v>31213</v>
      </c>
      <c r="E975" s="85" t="s">
        <v>538</v>
      </c>
    </row>
    <row r="976" spans="2:5" x14ac:dyDescent="0.4">
      <c r="B976" s="219">
        <v>972</v>
      </c>
      <c r="C976" s="69" t="s">
        <v>248</v>
      </c>
      <c r="D976" s="85">
        <v>34148</v>
      </c>
      <c r="E976" s="85" t="s">
        <v>537</v>
      </c>
    </row>
    <row r="977" spans="2:5" x14ac:dyDescent="0.4">
      <c r="B977" s="218">
        <v>973</v>
      </c>
      <c r="C977" s="82" t="s">
        <v>528</v>
      </c>
      <c r="D977" s="85">
        <v>34137</v>
      </c>
      <c r="E977" s="85" t="s">
        <v>535</v>
      </c>
    </row>
    <row r="978" spans="2:5" x14ac:dyDescent="0.4">
      <c r="B978" s="218">
        <v>974</v>
      </c>
      <c r="C978" s="82" t="s">
        <v>9</v>
      </c>
      <c r="D978" s="85">
        <v>34148</v>
      </c>
      <c r="E978" s="85" t="s">
        <v>537</v>
      </c>
    </row>
    <row r="979" spans="2:5" x14ac:dyDescent="0.4">
      <c r="B979" s="212">
        <v>975</v>
      </c>
      <c r="C979" s="82" t="s">
        <v>9</v>
      </c>
      <c r="D979" s="85">
        <v>34154</v>
      </c>
      <c r="E979" s="85" t="s">
        <v>538</v>
      </c>
    </row>
    <row r="980" spans="2:5" x14ac:dyDescent="0.4">
      <c r="B980" s="218">
        <v>976</v>
      </c>
      <c r="C980" s="82" t="s">
        <v>9</v>
      </c>
      <c r="D980" s="85">
        <v>34154</v>
      </c>
      <c r="E980" s="85" t="s">
        <v>538</v>
      </c>
    </row>
    <row r="981" spans="2:5" x14ac:dyDescent="0.4">
      <c r="B981" s="218">
        <v>977</v>
      </c>
      <c r="C981" s="82" t="s">
        <v>528</v>
      </c>
      <c r="D981" s="85">
        <v>34151</v>
      </c>
      <c r="E981" s="85" t="s">
        <v>537</v>
      </c>
    </row>
    <row r="982" spans="2:5" x14ac:dyDescent="0.4">
      <c r="B982" s="218">
        <v>978</v>
      </c>
      <c r="C982" s="82" t="s">
        <v>528</v>
      </c>
      <c r="D982" s="85">
        <v>34152</v>
      </c>
      <c r="E982" s="85" t="s">
        <v>537</v>
      </c>
    </row>
    <row r="983" spans="2:5" x14ac:dyDescent="0.4">
      <c r="B983" s="218">
        <v>979</v>
      </c>
      <c r="C983" s="82" t="s">
        <v>9</v>
      </c>
      <c r="D983" s="85">
        <v>31208</v>
      </c>
      <c r="E983" s="85" t="s">
        <v>538</v>
      </c>
    </row>
    <row r="984" spans="2:5" x14ac:dyDescent="0.4">
      <c r="B984" s="212">
        <v>980</v>
      </c>
      <c r="C984" s="82" t="s">
        <v>528</v>
      </c>
      <c r="D984" s="85">
        <v>31215</v>
      </c>
      <c r="E984" s="85" t="s">
        <v>537</v>
      </c>
    </row>
    <row r="985" spans="2:5" x14ac:dyDescent="0.4">
      <c r="B985" s="218">
        <v>981</v>
      </c>
      <c r="C985" s="82" t="s">
        <v>528</v>
      </c>
      <c r="D985" s="85">
        <v>31206</v>
      </c>
      <c r="E985" s="85" t="s">
        <v>538</v>
      </c>
    </row>
    <row r="986" spans="2:5" x14ac:dyDescent="0.4">
      <c r="B986" s="218">
        <v>982</v>
      </c>
      <c r="C986" s="82" t="s">
        <v>528</v>
      </c>
      <c r="D986" s="85">
        <v>34141</v>
      </c>
      <c r="E986" s="85" t="s">
        <v>537</v>
      </c>
    </row>
    <row r="987" spans="2:5" x14ac:dyDescent="0.4">
      <c r="B987" s="218">
        <v>983</v>
      </c>
      <c r="C987" s="82" t="s">
        <v>9</v>
      </c>
      <c r="D987" s="85">
        <v>35159</v>
      </c>
      <c r="E987" s="85" t="s">
        <v>539</v>
      </c>
    </row>
    <row r="988" spans="2:5" x14ac:dyDescent="0.4">
      <c r="B988" s="218">
        <v>984</v>
      </c>
      <c r="C988" s="82" t="s">
        <v>9</v>
      </c>
      <c r="D988" s="85">
        <v>34144</v>
      </c>
      <c r="E988" s="85" t="s">
        <v>538</v>
      </c>
    </row>
    <row r="989" spans="2:5" x14ac:dyDescent="0.4">
      <c r="B989" s="212">
        <v>985</v>
      </c>
      <c r="C989" s="82" t="s">
        <v>528</v>
      </c>
      <c r="D989" s="85">
        <v>34131</v>
      </c>
      <c r="E989" s="85" t="s">
        <v>537</v>
      </c>
    </row>
    <row r="990" spans="2:5" x14ac:dyDescent="0.4">
      <c r="B990" s="218">
        <v>986</v>
      </c>
      <c r="C990" s="82" t="s">
        <v>528</v>
      </c>
      <c r="D990" s="85">
        <v>34149</v>
      </c>
      <c r="E990" s="85" t="s">
        <v>537</v>
      </c>
    </row>
    <row r="991" spans="2:5" x14ac:dyDescent="0.4">
      <c r="B991" s="218">
        <v>987</v>
      </c>
      <c r="C991" s="82" t="s">
        <v>528</v>
      </c>
      <c r="D991" s="85">
        <v>34149</v>
      </c>
      <c r="E991" s="85" t="s">
        <v>537</v>
      </c>
    </row>
    <row r="992" spans="2:5" x14ac:dyDescent="0.4">
      <c r="B992" s="218">
        <v>988</v>
      </c>
      <c r="C992" s="82" t="s">
        <v>528</v>
      </c>
      <c r="D992" s="85">
        <v>34149</v>
      </c>
      <c r="E992" s="85" t="s">
        <v>537</v>
      </c>
    </row>
    <row r="993" spans="2:5" x14ac:dyDescent="0.4">
      <c r="B993" s="218">
        <v>989</v>
      </c>
      <c r="C993" s="82" t="s">
        <v>528</v>
      </c>
      <c r="D993" s="85">
        <v>31208</v>
      </c>
      <c r="E993" s="85" t="s">
        <v>538</v>
      </c>
    </row>
    <row r="994" spans="2:5" x14ac:dyDescent="0.4">
      <c r="B994" s="212">
        <v>990</v>
      </c>
      <c r="C994" s="82" t="s">
        <v>528</v>
      </c>
      <c r="D994" s="85">
        <v>34155</v>
      </c>
      <c r="E994" s="85" t="s">
        <v>538</v>
      </c>
    </row>
    <row r="995" spans="2:5" x14ac:dyDescent="0.4">
      <c r="B995" s="218">
        <v>991</v>
      </c>
      <c r="C995" s="82" t="s">
        <v>528</v>
      </c>
      <c r="D995" s="85">
        <v>34132</v>
      </c>
      <c r="E995" s="85" t="s">
        <v>538</v>
      </c>
    </row>
    <row r="996" spans="2:5" x14ac:dyDescent="0.4">
      <c r="B996" s="218">
        <v>992</v>
      </c>
      <c r="C996" s="82" t="s">
        <v>528</v>
      </c>
      <c r="D996" s="85">
        <v>34132</v>
      </c>
      <c r="E996" s="85" t="s">
        <v>538</v>
      </c>
    </row>
    <row r="997" spans="2:5" x14ac:dyDescent="0.4">
      <c r="B997" s="218">
        <v>993</v>
      </c>
      <c r="C997" s="82" t="s">
        <v>9</v>
      </c>
      <c r="D997" s="85">
        <v>34148</v>
      </c>
      <c r="E997" s="85" t="s">
        <v>537</v>
      </c>
    </row>
    <row r="998" spans="2:5" x14ac:dyDescent="0.4">
      <c r="B998" s="218">
        <v>994</v>
      </c>
      <c r="C998" s="82" t="s">
        <v>528</v>
      </c>
      <c r="D998" s="85">
        <v>34148</v>
      </c>
      <c r="E998" s="85" t="s">
        <v>537</v>
      </c>
    </row>
    <row r="999" spans="2:5" x14ac:dyDescent="0.4">
      <c r="B999" s="212">
        <v>995</v>
      </c>
      <c r="C999" s="82" t="s">
        <v>528</v>
      </c>
      <c r="D999" s="85">
        <v>34148</v>
      </c>
      <c r="E999" s="85" t="s">
        <v>537</v>
      </c>
    </row>
    <row r="1000" spans="2:5" x14ac:dyDescent="0.4">
      <c r="B1000" s="218">
        <v>996</v>
      </c>
      <c r="C1000" s="82" t="s">
        <v>528</v>
      </c>
      <c r="D1000" s="85">
        <v>34148</v>
      </c>
      <c r="E1000" s="85" t="s">
        <v>537</v>
      </c>
    </row>
    <row r="1001" spans="2:5" x14ac:dyDescent="0.4">
      <c r="B1001" s="218">
        <v>997</v>
      </c>
      <c r="C1001" s="82" t="s">
        <v>528</v>
      </c>
      <c r="D1001" s="85">
        <v>34148</v>
      </c>
      <c r="E1001" s="85" t="s">
        <v>537</v>
      </c>
    </row>
    <row r="1002" spans="2:5" x14ac:dyDescent="0.4">
      <c r="B1002" s="218">
        <v>998</v>
      </c>
      <c r="C1002" s="82" t="s">
        <v>528</v>
      </c>
      <c r="D1002" s="85">
        <v>34148</v>
      </c>
      <c r="E1002" s="85" t="s">
        <v>537</v>
      </c>
    </row>
    <row r="1003" spans="2:5" x14ac:dyDescent="0.4">
      <c r="B1003" s="219">
        <v>999</v>
      </c>
      <c r="C1003" s="69" t="s">
        <v>248</v>
      </c>
      <c r="D1003" s="85">
        <v>34141</v>
      </c>
      <c r="E1003" s="85" t="s">
        <v>537</v>
      </c>
    </row>
    <row r="1004" spans="2:5" x14ac:dyDescent="0.4">
      <c r="B1004" s="216">
        <v>1000</v>
      </c>
      <c r="C1004" s="69" t="s">
        <v>248</v>
      </c>
      <c r="D1004" s="85">
        <v>35159</v>
      </c>
      <c r="E1004" s="85" t="s">
        <v>539</v>
      </c>
    </row>
    <row r="1005" spans="2:5" x14ac:dyDescent="0.4">
      <c r="B1005" s="218">
        <v>1001</v>
      </c>
      <c r="C1005" s="82" t="s">
        <v>528</v>
      </c>
      <c r="D1005" s="85">
        <v>38112</v>
      </c>
      <c r="E1005" s="85" t="s">
        <v>536</v>
      </c>
    </row>
    <row r="1006" spans="2:5" x14ac:dyDescent="0.4">
      <c r="B1006" s="218">
        <v>1002</v>
      </c>
      <c r="C1006" s="82" t="s">
        <v>9</v>
      </c>
      <c r="D1006" s="85">
        <v>34143</v>
      </c>
      <c r="E1006" s="85" t="s">
        <v>535</v>
      </c>
    </row>
    <row r="1007" spans="2:5" x14ac:dyDescent="0.4">
      <c r="B1007" s="218">
        <v>1003</v>
      </c>
      <c r="C1007" s="82" t="s">
        <v>528</v>
      </c>
      <c r="D1007" s="85">
        <v>31212</v>
      </c>
      <c r="E1007" s="85" t="s">
        <v>538</v>
      </c>
    </row>
    <row r="1008" spans="2:5" x14ac:dyDescent="0.4">
      <c r="B1008" s="212">
        <v>1004</v>
      </c>
      <c r="C1008" s="82" t="s">
        <v>9</v>
      </c>
      <c r="D1008" s="85">
        <v>35147</v>
      </c>
      <c r="E1008" s="85" t="s">
        <v>539</v>
      </c>
    </row>
    <row r="1009" spans="2:5" x14ac:dyDescent="0.4">
      <c r="B1009" s="218">
        <v>1005</v>
      </c>
      <c r="C1009" s="82" t="s">
        <v>9</v>
      </c>
      <c r="D1009" s="85">
        <v>31214</v>
      </c>
      <c r="E1009" s="85" t="s">
        <v>537</v>
      </c>
    </row>
    <row r="1010" spans="2:5" x14ac:dyDescent="0.4">
      <c r="B1010" s="218">
        <v>1006</v>
      </c>
      <c r="C1010" s="82" t="s">
        <v>9</v>
      </c>
      <c r="D1010" s="85">
        <v>34148</v>
      </c>
      <c r="E1010" s="85" t="s">
        <v>537</v>
      </c>
    </row>
    <row r="1011" spans="2:5" x14ac:dyDescent="0.4">
      <c r="B1011" s="218">
        <v>1007</v>
      </c>
      <c r="C1011" s="82" t="s">
        <v>9</v>
      </c>
      <c r="D1011" s="85">
        <v>35145</v>
      </c>
      <c r="E1011" s="85" t="s">
        <v>539</v>
      </c>
    </row>
    <row r="1012" spans="2:5" x14ac:dyDescent="0.4">
      <c r="B1012" s="212">
        <v>1008</v>
      </c>
      <c r="C1012" s="82" t="s">
        <v>528</v>
      </c>
      <c r="D1012" s="85">
        <v>35149</v>
      </c>
      <c r="E1012" s="85" t="s">
        <v>539</v>
      </c>
    </row>
    <row r="1013" spans="2:5" x14ac:dyDescent="0.4">
      <c r="B1013" s="218">
        <v>1009</v>
      </c>
      <c r="C1013" s="82" t="s">
        <v>9</v>
      </c>
      <c r="D1013" s="85">
        <v>34134</v>
      </c>
      <c r="E1013" s="85" t="s">
        <v>538</v>
      </c>
    </row>
    <row r="1014" spans="2:5" x14ac:dyDescent="0.4">
      <c r="B1014" s="218">
        <v>1010</v>
      </c>
      <c r="C1014" s="82" t="s">
        <v>9</v>
      </c>
      <c r="D1014" s="85">
        <v>34154</v>
      </c>
      <c r="E1014" s="85" t="s">
        <v>538</v>
      </c>
    </row>
    <row r="1015" spans="2:5" x14ac:dyDescent="0.4">
      <c r="B1015" s="218">
        <v>1011</v>
      </c>
      <c r="C1015" s="82" t="s">
        <v>9</v>
      </c>
      <c r="D1015" s="85">
        <v>34148</v>
      </c>
      <c r="E1015" s="85" t="s">
        <v>537</v>
      </c>
    </row>
    <row r="1016" spans="2:5" x14ac:dyDescent="0.4">
      <c r="B1016" s="212">
        <v>1012</v>
      </c>
      <c r="C1016" s="82" t="s">
        <v>248</v>
      </c>
      <c r="D1016" s="85">
        <v>31211</v>
      </c>
      <c r="E1016" s="85" t="s">
        <v>538</v>
      </c>
    </row>
    <row r="1017" spans="2:5" x14ac:dyDescent="0.4">
      <c r="B1017" s="218">
        <v>1013</v>
      </c>
      <c r="C1017" s="82" t="s">
        <v>528</v>
      </c>
      <c r="D1017" s="85">
        <v>34145</v>
      </c>
      <c r="E1017" s="85" t="s">
        <v>537</v>
      </c>
    </row>
    <row r="1018" spans="2:5" x14ac:dyDescent="0.4">
      <c r="B1018" s="218">
        <v>1014</v>
      </c>
      <c r="C1018" s="82" t="s">
        <v>528</v>
      </c>
      <c r="D1018" s="85">
        <v>34132</v>
      </c>
      <c r="E1018" s="85" t="s">
        <v>538</v>
      </c>
    </row>
    <row r="1019" spans="2:5" x14ac:dyDescent="0.4">
      <c r="B1019" s="218">
        <v>1015</v>
      </c>
      <c r="C1019" s="82" t="s">
        <v>528</v>
      </c>
      <c r="D1019" s="85">
        <v>34139</v>
      </c>
      <c r="E1019" s="85" t="s">
        <v>535</v>
      </c>
    </row>
    <row r="1020" spans="2:5" x14ac:dyDescent="0.4">
      <c r="B1020" s="218">
        <v>1016</v>
      </c>
      <c r="C1020" s="82" t="s">
        <v>528</v>
      </c>
      <c r="D1020" s="85">
        <v>31213</v>
      </c>
      <c r="E1020" s="85" t="s">
        <v>538</v>
      </c>
    </row>
    <row r="1021" spans="2:5" x14ac:dyDescent="0.4">
      <c r="B1021" s="212">
        <v>1017</v>
      </c>
      <c r="C1021" s="82" t="s">
        <v>9</v>
      </c>
      <c r="D1021" s="85">
        <v>34137</v>
      </c>
      <c r="E1021" s="85" t="s">
        <v>535</v>
      </c>
    </row>
    <row r="1022" spans="2:5" x14ac:dyDescent="0.4">
      <c r="B1022" s="218">
        <v>1018</v>
      </c>
      <c r="C1022" s="82" t="s">
        <v>528</v>
      </c>
      <c r="D1022" s="85">
        <v>34151</v>
      </c>
      <c r="E1022" s="85" t="s">
        <v>537</v>
      </c>
    </row>
    <row r="1023" spans="2:5" x14ac:dyDescent="0.4">
      <c r="B1023" s="218">
        <v>1019</v>
      </c>
      <c r="C1023" s="82" t="s">
        <v>528</v>
      </c>
      <c r="D1023" s="85">
        <v>34151</v>
      </c>
      <c r="E1023" s="85" t="s">
        <v>537</v>
      </c>
    </row>
    <row r="1024" spans="2:5" x14ac:dyDescent="0.4">
      <c r="B1024" s="218">
        <v>1020</v>
      </c>
      <c r="C1024" s="82" t="s">
        <v>528</v>
      </c>
      <c r="D1024" s="85">
        <v>34151</v>
      </c>
      <c r="E1024" s="85" t="s">
        <v>537</v>
      </c>
    </row>
    <row r="1025" spans="2:5" x14ac:dyDescent="0.4">
      <c r="B1025" s="218">
        <v>1021</v>
      </c>
      <c r="C1025" s="82" t="s">
        <v>9</v>
      </c>
      <c r="D1025" s="85">
        <v>34134</v>
      </c>
      <c r="E1025" s="85" t="s">
        <v>538</v>
      </c>
    </row>
    <row r="1026" spans="2:5" x14ac:dyDescent="0.4">
      <c r="B1026" s="212">
        <v>1022</v>
      </c>
      <c r="C1026" s="82" t="s">
        <v>528</v>
      </c>
      <c r="D1026" s="85">
        <v>31204</v>
      </c>
      <c r="E1026" s="85" t="s">
        <v>538</v>
      </c>
    </row>
    <row r="1027" spans="2:5" x14ac:dyDescent="0.4">
      <c r="B1027" s="218">
        <v>1023</v>
      </c>
      <c r="C1027" s="82" t="s">
        <v>528</v>
      </c>
      <c r="D1027" s="85">
        <v>34132</v>
      </c>
      <c r="E1027" s="85" t="s">
        <v>538</v>
      </c>
    </row>
    <row r="1028" spans="2:5" x14ac:dyDescent="0.4">
      <c r="B1028" s="218">
        <v>1024</v>
      </c>
      <c r="C1028" s="82" t="s">
        <v>528</v>
      </c>
      <c r="D1028" s="85">
        <v>31908</v>
      </c>
      <c r="E1028" s="85" t="s">
        <v>535</v>
      </c>
    </row>
    <row r="1029" spans="2:5" x14ac:dyDescent="0.4">
      <c r="B1029" s="218">
        <v>1025</v>
      </c>
      <c r="C1029" s="82" t="s">
        <v>9</v>
      </c>
      <c r="D1029" s="85">
        <v>34154</v>
      </c>
      <c r="E1029" s="85" t="s">
        <v>538</v>
      </c>
    </row>
    <row r="1030" spans="2:5" x14ac:dyDescent="0.4">
      <c r="B1030" s="218">
        <v>1026</v>
      </c>
      <c r="C1030" s="82" t="s">
        <v>528</v>
      </c>
      <c r="D1030" s="85">
        <v>35157</v>
      </c>
      <c r="E1030" s="85" t="s">
        <v>539</v>
      </c>
    </row>
    <row r="1031" spans="2:5" x14ac:dyDescent="0.4">
      <c r="B1031" s="212">
        <v>1027</v>
      </c>
      <c r="C1031" s="82" t="s">
        <v>528</v>
      </c>
      <c r="D1031" s="85">
        <v>34145</v>
      </c>
      <c r="E1031" s="85" t="s">
        <v>537</v>
      </c>
    </row>
    <row r="1032" spans="2:5" x14ac:dyDescent="0.4">
      <c r="B1032" s="218">
        <v>1028</v>
      </c>
      <c r="C1032" s="82" t="s">
        <v>9</v>
      </c>
      <c r="D1032" s="85">
        <v>35148</v>
      </c>
      <c r="E1032" s="85" t="s">
        <v>539</v>
      </c>
    </row>
    <row r="1033" spans="2:5" x14ac:dyDescent="0.4">
      <c r="B1033" s="218">
        <v>1029</v>
      </c>
      <c r="C1033" s="82" t="s">
        <v>9</v>
      </c>
      <c r="D1033" s="85">
        <v>34154</v>
      </c>
      <c r="E1033" s="85" t="s">
        <v>538</v>
      </c>
    </row>
    <row r="1034" spans="2:5" x14ac:dyDescent="0.4">
      <c r="B1034" s="218">
        <v>1030</v>
      </c>
      <c r="C1034" s="82" t="s">
        <v>9</v>
      </c>
      <c r="D1034" s="85">
        <v>34155</v>
      </c>
      <c r="E1034" s="85" t="s">
        <v>538</v>
      </c>
    </row>
    <row r="1035" spans="2:5" x14ac:dyDescent="0.4">
      <c r="B1035" s="218">
        <v>1031</v>
      </c>
      <c r="C1035" s="82" t="s">
        <v>528</v>
      </c>
      <c r="D1035" s="85">
        <v>34155</v>
      </c>
      <c r="E1035" s="85" t="s">
        <v>538</v>
      </c>
    </row>
    <row r="1036" spans="2:5" x14ac:dyDescent="0.4">
      <c r="B1036" s="212">
        <v>1032</v>
      </c>
      <c r="C1036" s="82" t="s">
        <v>528</v>
      </c>
      <c r="D1036" s="85">
        <v>34155</v>
      </c>
      <c r="E1036" s="85" t="s">
        <v>538</v>
      </c>
    </row>
    <row r="1037" spans="2:5" x14ac:dyDescent="0.4">
      <c r="B1037" s="218">
        <v>1033</v>
      </c>
      <c r="C1037" s="82" t="s">
        <v>528</v>
      </c>
      <c r="D1037" s="85">
        <v>34145</v>
      </c>
      <c r="E1037" s="85" t="s">
        <v>537</v>
      </c>
    </row>
    <row r="1038" spans="2:5" x14ac:dyDescent="0.4">
      <c r="B1038" s="218">
        <v>1034</v>
      </c>
      <c r="C1038" s="82" t="s">
        <v>528</v>
      </c>
      <c r="D1038" s="85">
        <v>31204</v>
      </c>
      <c r="E1038" s="85" t="s">
        <v>538</v>
      </c>
    </row>
    <row r="1039" spans="2:5" x14ac:dyDescent="0.4">
      <c r="B1039" s="219">
        <v>1035</v>
      </c>
      <c r="C1039" s="69" t="s">
        <v>248</v>
      </c>
      <c r="D1039" s="85">
        <v>34148</v>
      </c>
      <c r="E1039" s="85" t="s">
        <v>537</v>
      </c>
    </row>
    <row r="1040" spans="2:5" x14ac:dyDescent="0.4">
      <c r="B1040" s="218">
        <v>1036</v>
      </c>
      <c r="C1040" s="82" t="s">
        <v>528</v>
      </c>
      <c r="D1040" s="85">
        <v>34131</v>
      </c>
      <c r="E1040" s="85" t="s">
        <v>537</v>
      </c>
    </row>
    <row r="1041" spans="2:5" x14ac:dyDescent="0.4">
      <c r="B1041" s="212">
        <v>1037</v>
      </c>
      <c r="C1041" s="82" t="s">
        <v>528</v>
      </c>
      <c r="D1041" s="85">
        <v>34148</v>
      </c>
      <c r="E1041" s="85" t="s">
        <v>537</v>
      </c>
    </row>
    <row r="1042" spans="2:5" x14ac:dyDescent="0.4">
      <c r="B1042" s="218">
        <v>1038</v>
      </c>
      <c r="C1042" s="82" t="s">
        <v>528</v>
      </c>
      <c r="D1042" s="85">
        <v>34147</v>
      </c>
      <c r="E1042" s="85" t="s">
        <v>535</v>
      </c>
    </row>
    <row r="1043" spans="2:5" x14ac:dyDescent="0.4">
      <c r="B1043" s="218">
        <v>1039</v>
      </c>
      <c r="C1043" s="82" t="s">
        <v>528</v>
      </c>
      <c r="D1043" s="85">
        <v>34151</v>
      </c>
      <c r="E1043" s="85" t="s">
        <v>537</v>
      </c>
    </row>
    <row r="1044" spans="2:5" x14ac:dyDescent="0.4">
      <c r="B1044" s="212">
        <v>1040</v>
      </c>
      <c r="C1044" s="82" t="s">
        <v>528</v>
      </c>
      <c r="D1044" s="85">
        <v>34144</v>
      </c>
      <c r="E1044" s="85" t="s">
        <v>538</v>
      </c>
    </row>
    <row r="1045" spans="2:5" x14ac:dyDescent="0.4">
      <c r="B1045" s="212">
        <v>1041</v>
      </c>
      <c r="C1045" s="82" t="s">
        <v>528</v>
      </c>
      <c r="D1045" s="85">
        <v>34155</v>
      </c>
      <c r="E1045" s="85" t="s">
        <v>538</v>
      </c>
    </row>
    <row r="1046" spans="2:5" x14ac:dyDescent="0.4">
      <c r="B1046" s="218">
        <v>1042</v>
      </c>
      <c r="C1046" s="82" t="s">
        <v>528</v>
      </c>
      <c r="D1046" s="85">
        <v>34155</v>
      </c>
      <c r="E1046" s="85" t="s">
        <v>538</v>
      </c>
    </row>
    <row r="1047" spans="2:5" x14ac:dyDescent="0.4">
      <c r="B1047" s="218">
        <v>1043</v>
      </c>
      <c r="C1047" s="82" t="s">
        <v>9</v>
      </c>
      <c r="D1047" s="85">
        <v>34155</v>
      </c>
      <c r="E1047" s="85" t="s">
        <v>538</v>
      </c>
    </row>
    <row r="1048" spans="2:5" x14ac:dyDescent="0.4">
      <c r="B1048" s="212">
        <v>1044</v>
      </c>
      <c r="C1048" s="82" t="s">
        <v>528</v>
      </c>
      <c r="D1048" s="85">
        <v>31205</v>
      </c>
      <c r="E1048" s="85" t="s">
        <v>538</v>
      </c>
    </row>
    <row r="1049" spans="2:5" x14ac:dyDescent="0.4">
      <c r="B1049" s="218">
        <v>1045</v>
      </c>
      <c r="C1049" s="82" t="s">
        <v>528</v>
      </c>
      <c r="D1049" s="85">
        <v>34144</v>
      </c>
      <c r="E1049" s="85" t="s">
        <v>538</v>
      </c>
    </row>
    <row r="1050" spans="2:5" x14ac:dyDescent="0.4">
      <c r="B1050" s="218">
        <v>1046</v>
      </c>
      <c r="C1050" s="82" t="s">
        <v>528</v>
      </c>
      <c r="D1050" s="85">
        <v>34134</v>
      </c>
      <c r="E1050" s="85" t="s">
        <v>538</v>
      </c>
    </row>
    <row r="1051" spans="2:5" x14ac:dyDescent="0.4">
      <c r="B1051" s="218">
        <v>1047</v>
      </c>
      <c r="C1051" s="82" t="s">
        <v>528</v>
      </c>
      <c r="D1051" s="85">
        <v>34134</v>
      </c>
      <c r="E1051" s="85" t="s">
        <v>538</v>
      </c>
    </row>
    <row r="1052" spans="2:5" x14ac:dyDescent="0.4">
      <c r="B1052" s="218">
        <v>1048</v>
      </c>
      <c r="C1052" s="82" t="s">
        <v>528</v>
      </c>
      <c r="D1052" s="85">
        <v>34134</v>
      </c>
      <c r="E1052" s="85" t="s">
        <v>538</v>
      </c>
    </row>
    <row r="1053" spans="2:5" x14ac:dyDescent="0.4">
      <c r="B1053" s="218">
        <v>1049</v>
      </c>
      <c r="C1053" s="82" t="s">
        <v>528</v>
      </c>
      <c r="D1053" s="85">
        <v>34133</v>
      </c>
      <c r="E1053" s="85" t="s">
        <v>538</v>
      </c>
    </row>
    <row r="1054" spans="2:5" x14ac:dyDescent="0.4">
      <c r="B1054" s="218">
        <v>1050</v>
      </c>
      <c r="C1054" s="82" t="s">
        <v>9</v>
      </c>
      <c r="D1054" s="85">
        <v>34143</v>
      </c>
      <c r="E1054" s="85" t="s">
        <v>535</v>
      </c>
    </row>
    <row r="1055" spans="2:5" x14ac:dyDescent="0.4">
      <c r="B1055" s="218">
        <v>1051</v>
      </c>
      <c r="C1055" s="82" t="s">
        <v>528</v>
      </c>
      <c r="D1055" s="85">
        <v>34145</v>
      </c>
      <c r="E1055" s="85" t="s">
        <v>537</v>
      </c>
    </row>
    <row r="1056" spans="2:5" x14ac:dyDescent="0.4">
      <c r="B1056" s="218">
        <v>1052</v>
      </c>
      <c r="C1056" s="82" t="s">
        <v>528</v>
      </c>
      <c r="D1056" s="85">
        <v>31212</v>
      </c>
      <c r="E1056" s="85" t="s">
        <v>538</v>
      </c>
    </row>
    <row r="1057" spans="2:5" x14ac:dyDescent="0.4">
      <c r="B1057" s="218">
        <v>1053</v>
      </c>
      <c r="C1057" s="82" t="s">
        <v>528</v>
      </c>
      <c r="D1057" s="85">
        <v>34140</v>
      </c>
      <c r="E1057" s="85" t="s">
        <v>535</v>
      </c>
    </row>
    <row r="1058" spans="2:5" x14ac:dyDescent="0.4">
      <c r="B1058" s="218">
        <v>1054</v>
      </c>
      <c r="C1058" s="82" t="s">
        <v>9</v>
      </c>
      <c r="D1058" s="85">
        <v>34143</v>
      </c>
      <c r="E1058" s="85" t="s">
        <v>535</v>
      </c>
    </row>
    <row r="1059" spans="2:5" x14ac:dyDescent="0.4">
      <c r="B1059" s="218">
        <v>1055</v>
      </c>
      <c r="C1059" s="82" t="s">
        <v>248</v>
      </c>
      <c r="D1059" s="85">
        <v>31213</v>
      </c>
      <c r="E1059" s="85" t="s">
        <v>538</v>
      </c>
    </row>
    <row r="1060" spans="2:5" x14ac:dyDescent="0.4">
      <c r="B1060" s="218">
        <v>1056</v>
      </c>
      <c r="C1060" s="82" t="s">
        <v>528</v>
      </c>
      <c r="D1060" s="85">
        <v>34144</v>
      </c>
      <c r="E1060" s="85" t="s">
        <v>538</v>
      </c>
    </row>
    <row r="1061" spans="2:5" x14ac:dyDescent="0.4">
      <c r="B1061" s="218">
        <v>1057</v>
      </c>
      <c r="C1061" s="82" t="s">
        <v>528</v>
      </c>
      <c r="D1061" s="85">
        <v>34144</v>
      </c>
      <c r="E1061" s="85" t="s">
        <v>538</v>
      </c>
    </row>
    <row r="1062" spans="2:5" x14ac:dyDescent="0.4">
      <c r="B1062" s="218">
        <v>1058</v>
      </c>
      <c r="C1062" s="82" t="s">
        <v>528</v>
      </c>
      <c r="D1062" s="85">
        <v>31215</v>
      </c>
      <c r="E1062" s="85" t="s">
        <v>537</v>
      </c>
    </row>
    <row r="1063" spans="2:5" x14ac:dyDescent="0.4">
      <c r="B1063" s="218">
        <v>1059</v>
      </c>
      <c r="C1063" s="82" t="s">
        <v>528</v>
      </c>
      <c r="D1063" s="85">
        <v>34151</v>
      </c>
      <c r="E1063" s="85" t="s">
        <v>537</v>
      </c>
    </row>
    <row r="1064" spans="2:5" x14ac:dyDescent="0.4">
      <c r="B1064" s="218">
        <v>1060</v>
      </c>
      <c r="C1064" s="82" t="s">
        <v>528</v>
      </c>
      <c r="D1064" s="85">
        <v>34136</v>
      </c>
      <c r="E1064" s="85" t="s">
        <v>538</v>
      </c>
    </row>
    <row r="1065" spans="2:5" x14ac:dyDescent="0.4">
      <c r="B1065" s="219">
        <v>1061</v>
      </c>
      <c r="C1065" s="69" t="s">
        <v>248</v>
      </c>
      <c r="D1065" s="85">
        <v>34136</v>
      </c>
      <c r="E1065" s="85" t="s">
        <v>538</v>
      </c>
    </row>
    <row r="1066" spans="2:5" x14ac:dyDescent="0.4">
      <c r="B1066" s="218">
        <v>1062</v>
      </c>
      <c r="C1066" s="82" t="s">
        <v>528</v>
      </c>
      <c r="D1066" s="85">
        <v>34136</v>
      </c>
      <c r="E1066" s="85" t="s">
        <v>538</v>
      </c>
    </row>
    <row r="1067" spans="2:5" x14ac:dyDescent="0.4">
      <c r="B1067" s="218">
        <v>1063</v>
      </c>
      <c r="C1067" s="82" t="s">
        <v>9</v>
      </c>
      <c r="D1067" s="85">
        <v>34136</v>
      </c>
      <c r="E1067" s="85" t="s">
        <v>538</v>
      </c>
    </row>
    <row r="1068" spans="2:5" x14ac:dyDescent="0.4">
      <c r="B1068" s="218">
        <v>1064</v>
      </c>
      <c r="C1068" s="82" t="s">
        <v>528</v>
      </c>
      <c r="D1068" s="85">
        <v>38117</v>
      </c>
      <c r="E1068" s="85" t="s">
        <v>536</v>
      </c>
    </row>
    <row r="1069" spans="2:5" x14ac:dyDescent="0.4">
      <c r="B1069" s="218">
        <v>1065</v>
      </c>
      <c r="C1069" s="82" t="s">
        <v>528</v>
      </c>
      <c r="D1069" s="85">
        <v>31213</v>
      </c>
      <c r="E1069" s="85" t="s">
        <v>538</v>
      </c>
    </row>
    <row r="1070" spans="2:5" x14ac:dyDescent="0.4">
      <c r="B1070" s="218">
        <v>1066</v>
      </c>
      <c r="C1070" s="82" t="s">
        <v>9</v>
      </c>
      <c r="D1070" s="85">
        <v>34147</v>
      </c>
      <c r="E1070" s="85" t="s">
        <v>535</v>
      </c>
    </row>
    <row r="1071" spans="2:5" x14ac:dyDescent="0.4">
      <c r="B1071" s="218">
        <v>1067</v>
      </c>
      <c r="C1071" s="82" t="s">
        <v>9</v>
      </c>
      <c r="D1071" s="85">
        <v>31215</v>
      </c>
      <c r="E1071" s="85" t="s">
        <v>537</v>
      </c>
    </row>
    <row r="1072" spans="2:5" x14ac:dyDescent="0.4">
      <c r="B1072" s="218">
        <v>1068</v>
      </c>
      <c r="C1072" s="82" t="s">
        <v>9</v>
      </c>
      <c r="D1072" s="85">
        <v>31215</v>
      </c>
      <c r="E1072" s="85" t="s">
        <v>537</v>
      </c>
    </row>
    <row r="1073" spans="2:5" x14ac:dyDescent="0.4">
      <c r="B1073" s="218">
        <v>1069</v>
      </c>
      <c r="C1073" s="82" t="s">
        <v>9</v>
      </c>
      <c r="D1073" s="85">
        <v>31215</v>
      </c>
      <c r="E1073" s="85" t="s">
        <v>537</v>
      </c>
    </row>
    <row r="1074" spans="2:5" x14ac:dyDescent="0.4">
      <c r="B1074" s="218">
        <v>1070</v>
      </c>
      <c r="C1074" s="82" t="s">
        <v>9</v>
      </c>
      <c r="D1074" s="85">
        <v>31215</v>
      </c>
      <c r="E1074" s="85" t="s">
        <v>537</v>
      </c>
    </row>
    <row r="1075" spans="2:5" x14ac:dyDescent="0.4">
      <c r="B1075" s="218">
        <v>1071</v>
      </c>
      <c r="C1075" s="82" t="s">
        <v>9</v>
      </c>
      <c r="D1075" s="85">
        <v>35145</v>
      </c>
      <c r="E1075" s="85" t="s">
        <v>539</v>
      </c>
    </row>
    <row r="1076" spans="2:5" x14ac:dyDescent="0.4">
      <c r="B1076" s="218">
        <v>1072</v>
      </c>
      <c r="C1076" s="82" t="s">
        <v>528</v>
      </c>
      <c r="D1076" s="85">
        <v>34136</v>
      </c>
      <c r="E1076" s="85" t="s">
        <v>538</v>
      </c>
    </row>
    <row r="1077" spans="2:5" x14ac:dyDescent="0.4">
      <c r="B1077" s="218">
        <v>1073</v>
      </c>
      <c r="C1077" s="82" t="s">
        <v>9</v>
      </c>
      <c r="D1077" s="85">
        <v>34143</v>
      </c>
      <c r="E1077" s="85" t="s">
        <v>535</v>
      </c>
    </row>
    <row r="1078" spans="2:5" x14ac:dyDescent="0.4">
      <c r="B1078" s="218">
        <v>1074</v>
      </c>
      <c r="C1078" s="82" t="s">
        <v>528</v>
      </c>
      <c r="D1078" s="85">
        <v>34135</v>
      </c>
      <c r="E1078" s="85" t="s">
        <v>535</v>
      </c>
    </row>
    <row r="1079" spans="2:5" x14ac:dyDescent="0.4">
      <c r="B1079" s="218">
        <v>1075</v>
      </c>
      <c r="C1079" s="82" t="s">
        <v>528</v>
      </c>
      <c r="D1079" s="85">
        <v>31215</v>
      </c>
      <c r="E1079" s="85" t="s">
        <v>537</v>
      </c>
    </row>
    <row r="1080" spans="2:5" x14ac:dyDescent="0.4">
      <c r="B1080" s="218">
        <v>1076</v>
      </c>
      <c r="C1080" s="82" t="s">
        <v>9</v>
      </c>
      <c r="D1080" s="85">
        <v>31215</v>
      </c>
      <c r="E1080" s="85" t="s">
        <v>537</v>
      </c>
    </row>
    <row r="1081" spans="2:5" x14ac:dyDescent="0.4">
      <c r="B1081" s="218">
        <v>1077</v>
      </c>
      <c r="C1081" s="82" t="s">
        <v>528</v>
      </c>
      <c r="D1081" s="85">
        <v>34135</v>
      </c>
      <c r="E1081" s="85" t="s">
        <v>535</v>
      </c>
    </row>
    <row r="1082" spans="2:5" x14ac:dyDescent="0.4">
      <c r="B1082" s="218">
        <v>1078</v>
      </c>
      <c r="C1082" s="82" t="s">
        <v>9</v>
      </c>
      <c r="D1082" s="85">
        <v>31211</v>
      </c>
      <c r="E1082" s="85" t="s">
        <v>538</v>
      </c>
    </row>
    <row r="1083" spans="2:5" x14ac:dyDescent="0.4">
      <c r="B1083" s="218">
        <v>1079</v>
      </c>
      <c r="C1083" s="82" t="s">
        <v>528</v>
      </c>
      <c r="D1083" s="85">
        <v>34142</v>
      </c>
      <c r="E1083" s="85" t="s">
        <v>535</v>
      </c>
    </row>
    <row r="1084" spans="2:5" x14ac:dyDescent="0.4">
      <c r="B1084" s="85">
        <v>1080</v>
      </c>
      <c r="C1084" s="85" t="s">
        <v>9</v>
      </c>
      <c r="D1084" s="85">
        <v>34143</v>
      </c>
      <c r="E1084" s="85" t="s">
        <v>535</v>
      </c>
    </row>
    <row r="1085" spans="2:5" x14ac:dyDescent="0.4">
      <c r="B1085" s="85">
        <v>1081</v>
      </c>
      <c r="C1085" s="85" t="s">
        <v>9</v>
      </c>
      <c r="D1085" s="85">
        <v>34132</v>
      </c>
      <c r="E1085" s="85" t="s">
        <v>538</v>
      </c>
    </row>
    <row r="1086" spans="2:5" x14ac:dyDescent="0.4">
      <c r="B1086" s="85">
        <v>1082</v>
      </c>
      <c r="C1086" s="85" t="s">
        <v>528</v>
      </c>
      <c r="D1086" s="85">
        <v>34152</v>
      </c>
      <c r="E1086" s="85" t="s">
        <v>537</v>
      </c>
    </row>
    <row r="1087" spans="2:5" x14ac:dyDescent="0.4">
      <c r="B1087" s="85">
        <v>1083</v>
      </c>
      <c r="C1087" s="85" t="s">
        <v>528</v>
      </c>
      <c r="D1087" s="85">
        <v>35160</v>
      </c>
      <c r="E1087" s="85" t="s">
        <v>539</v>
      </c>
    </row>
    <row r="1088" spans="2:5" x14ac:dyDescent="0.4">
      <c r="B1088" s="85">
        <v>1084</v>
      </c>
      <c r="C1088" s="85" t="s">
        <v>528</v>
      </c>
      <c r="D1088" s="85">
        <v>34135</v>
      </c>
      <c r="E1088" s="85" t="s">
        <v>535</v>
      </c>
    </row>
    <row r="1089" spans="2:5" x14ac:dyDescent="0.4">
      <c r="B1089" s="85">
        <v>1085</v>
      </c>
      <c r="C1089" s="85" t="s">
        <v>9</v>
      </c>
      <c r="D1089" s="85">
        <v>34152</v>
      </c>
      <c r="E1089" s="85" t="s">
        <v>537</v>
      </c>
    </row>
    <row r="1090" spans="2:5" x14ac:dyDescent="0.4">
      <c r="B1090" s="85">
        <v>1086</v>
      </c>
      <c r="C1090" s="85" t="s">
        <v>528</v>
      </c>
      <c r="D1090" s="85">
        <v>34148</v>
      </c>
      <c r="E1090" s="85" t="s">
        <v>537</v>
      </c>
    </row>
    <row r="1091" spans="2:5" x14ac:dyDescent="0.4">
      <c r="B1091" s="85">
        <v>1087</v>
      </c>
      <c r="C1091" s="85" t="s">
        <v>528</v>
      </c>
      <c r="D1091" s="85">
        <v>31209</v>
      </c>
      <c r="E1091" s="85" t="s">
        <v>538</v>
      </c>
    </row>
    <row r="1092" spans="2:5" x14ac:dyDescent="0.4">
      <c r="B1092" s="85">
        <v>1088</v>
      </c>
      <c r="C1092" s="85" t="s">
        <v>528</v>
      </c>
      <c r="D1092" s="85">
        <v>35160</v>
      </c>
      <c r="E1092" s="85" t="s">
        <v>539</v>
      </c>
    </row>
    <row r="1093" spans="2:5" x14ac:dyDescent="0.4">
      <c r="B1093" s="85">
        <v>1089</v>
      </c>
      <c r="C1093" s="85" t="s">
        <v>9</v>
      </c>
      <c r="D1093" s="85">
        <v>35155</v>
      </c>
      <c r="E1093" s="85" t="s">
        <v>539</v>
      </c>
    </row>
    <row r="1094" spans="2:5" x14ac:dyDescent="0.4">
      <c r="B1094" s="85">
        <v>1090</v>
      </c>
      <c r="C1094" s="85" t="s">
        <v>248</v>
      </c>
      <c r="D1094" s="85">
        <v>34151</v>
      </c>
      <c r="E1094" s="85" t="s">
        <v>537</v>
      </c>
    </row>
    <row r="1095" spans="2:5" x14ac:dyDescent="0.4">
      <c r="B1095" s="85">
        <v>1091</v>
      </c>
      <c r="C1095" s="85" t="s">
        <v>528</v>
      </c>
      <c r="D1095" s="85">
        <v>34137</v>
      </c>
      <c r="E1095" s="85" t="s">
        <v>535</v>
      </c>
    </row>
    <row r="1096" spans="2:5" x14ac:dyDescent="0.4">
      <c r="B1096" s="85">
        <v>1092</v>
      </c>
      <c r="C1096" s="85" t="s">
        <v>528</v>
      </c>
      <c r="D1096" s="85">
        <v>34151</v>
      </c>
      <c r="E1096" s="85" t="s">
        <v>537</v>
      </c>
    </row>
    <row r="1097" spans="2:5" x14ac:dyDescent="0.4">
      <c r="B1097" s="85">
        <v>1093</v>
      </c>
      <c r="C1097" s="85" t="s">
        <v>528</v>
      </c>
      <c r="D1097" s="85">
        <v>35152</v>
      </c>
      <c r="E1097" s="85" t="s">
        <v>539</v>
      </c>
    </row>
    <row r="1098" spans="2:5" x14ac:dyDescent="0.4">
      <c r="B1098" s="85">
        <v>1094</v>
      </c>
      <c r="C1098" s="85" t="s">
        <v>528</v>
      </c>
      <c r="D1098" s="85">
        <v>34150</v>
      </c>
      <c r="E1098" s="85" t="s">
        <v>537</v>
      </c>
    </row>
    <row r="1099" spans="2:5" x14ac:dyDescent="0.4">
      <c r="B1099" s="85">
        <v>1095</v>
      </c>
      <c r="C1099" s="85" t="s">
        <v>528</v>
      </c>
      <c r="D1099" s="85">
        <v>34145</v>
      </c>
      <c r="E1099" s="85" t="s">
        <v>537</v>
      </c>
    </row>
    <row r="1100" spans="2:5" x14ac:dyDescent="0.4">
      <c r="B1100" s="85">
        <v>1096</v>
      </c>
      <c r="C1100" s="85" t="s">
        <v>528</v>
      </c>
      <c r="D1100" s="85">
        <v>31205</v>
      </c>
      <c r="E1100" s="85" t="s">
        <v>538</v>
      </c>
    </row>
    <row r="1101" spans="2:5" x14ac:dyDescent="0.4">
      <c r="B1101" s="85">
        <v>1097</v>
      </c>
      <c r="C1101" s="85" t="s">
        <v>528</v>
      </c>
      <c r="D1101" s="85">
        <v>31214</v>
      </c>
      <c r="E1101" s="85" t="s">
        <v>537</v>
      </c>
    </row>
    <row r="1102" spans="2:5" x14ac:dyDescent="0.4">
      <c r="B1102" s="85">
        <v>1098</v>
      </c>
      <c r="C1102" s="85" t="s">
        <v>528</v>
      </c>
      <c r="D1102" s="85">
        <v>34154</v>
      </c>
      <c r="E1102" s="85" t="s">
        <v>538</v>
      </c>
    </row>
    <row r="1103" spans="2:5" x14ac:dyDescent="0.4">
      <c r="B1103" s="85">
        <v>1099</v>
      </c>
      <c r="C1103" s="85" t="s">
        <v>528</v>
      </c>
      <c r="D1103" s="85">
        <v>35152</v>
      </c>
      <c r="E1103" s="85" t="s">
        <v>539</v>
      </c>
    </row>
    <row r="1104" spans="2:5" x14ac:dyDescent="0.4">
      <c r="B1104" s="85">
        <v>1100</v>
      </c>
      <c r="C1104" s="85" t="s">
        <v>528</v>
      </c>
      <c r="D1104" s="85">
        <v>34144</v>
      </c>
      <c r="E1104" s="85" t="s">
        <v>538</v>
      </c>
    </row>
    <row r="1105" spans="2:5" x14ac:dyDescent="0.4">
      <c r="B1105" s="85">
        <v>1101</v>
      </c>
      <c r="C1105" s="85" t="s">
        <v>528</v>
      </c>
      <c r="D1105" s="85">
        <v>34155</v>
      </c>
      <c r="E1105" s="85" t="s">
        <v>538</v>
      </c>
    </row>
    <row r="1106" spans="2:5" x14ac:dyDescent="0.4">
      <c r="B1106" s="85">
        <v>1102</v>
      </c>
      <c r="C1106" s="85" t="s">
        <v>248</v>
      </c>
      <c r="D1106" s="85">
        <v>31210</v>
      </c>
      <c r="E1106" s="85" t="s">
        <v>538</v>
      </c>
    </row>
    <row r="1107" spans="2:5" x14ac:dyDescent="0.4">
      <c r="B1107" s="85">
        <v>1103</v>
      </c>
      <c r="C1107" s="85" t="s">
        <v>528</v>
      </c>
      <c r="D1107" s="85">
        <v>34141</v>
      </c>
      <c r="E1107" s="85" t="s">
        <v>537</v>
      </c>
    </row>
    <row r="1108" spans="2:5" x14ac:dyDescent="0.4">
      <c r="B1108" s="85">
        <v>1104</v>
      </c>
      <c r="C1108" s="85" t="s">
        <v>528</v>
      </c>
      <c r="D1108" s="85">
        <v>34148</v>
      </c>
      <c r="E1108" s="85" t="s">
        <v>537</v>
      </c>
    </row>
    <row r="1109" spans="2:5" x14ac:dyDescent="0.4">
      <c r="B1109" s="85">
        <v>1105</v>
      </c>
      <c r="C1109" s="85" t="s">
        <v>528</v>
      </c>
      <c r="D1109" s="85">
        <v>34148</v>
      </c>
      <c r="E1109" s="85" t="s">
        <v>537</v>
      </c>
    </row>
    <row r="1110" spans="2:5" x14ac:dyDescent="0.4">
      <c r="B1110" s="85">
        <v>1106</v>
      </c>
      <c r="C1110" s="85" t="s">
        <v>528</v>
      </c>
      <c r="D1110" s="85">
        <v>34148</v>
      </c>
      <c r="E1110" s="85" t="s">
        <v>537</v>
      </c>
    </row>
    <row r="1111" spans="2:5" x14ac:dyDescent="0.4">
      <c r="B1111" s="85">
        <v>1107</v>
      </c>
      <c r="C1111" s="85" t="s">
        <v>528</v>
      </c>
      <c r="D1111" s="85">
        <v>34132</v>
      </c>
      <c r="E1111" s="85" t="s">
        <v>538</v>
      </c>
    </row>
    <row r="1112" spans="2:5" x14ac:dyDescent="0.4">
      <c r="B1112" s="85">
        <v>1108</v>
      </c>
      <c r="C1112" s="85" t="s">
        <v>528</v>
      </c>
      <c r="D1112" s="85">
        <v>35158</v>
      </c>
      <c r="E1112" s="85" t="s">
        <v>539</v>
      </c>
    </row>
    <row r="1113" spans="2:5" x14ac:dyDescent="0.4">
      <c r="B1113" s="85">
        <v>1109</v>
      </c>
      <c r="C1113" s="85" t="s">
        <v>528</v>
      </c>
      <c r="D1113" s="85">
        <v>31210</v>
      </c>
      <c r="E1113" s="85" t="s">
        <v>538</v>
      </c>
    </row>
    <row r="1114" spans="2:5" x14ac:dyDescent="0.4">
      <c r="B1114" s="85">
        <v>1110</v>
      </c>
      <c r="C1114" s="85" t="s">
        <v>528</v>
      </c>
      <c r="D1114" s="85">
        <v>34146</v>
      </c>
      <c r="E1114" s="85" t="s">
        <v>535</v>
      </c>
    </row>
    <row r="1115" spans="2:5" x14ac:dyDescent="0.4">
      <c r="B1115" s="85">
        <v>1111</v>
      </c>
      <c r="C1115" s="85" t="s">
        <v>528</v>
      </c>
      <c r="D1115" s="85">
        <v>31214</v>
      </c>
      <c r="E1115" s="85" t="s">
        <v>537</v>
      </c>
    </row>
    <row r="1116" spans="2:5" x14ac:dyDescent="0.4">
      <c r="B1116" s="85">
        <v>1112</v>
      </c>
      <c r="C1116" s="85" t="s">
        <v>528</v>
      </c>
      <c r="D1116" s="85">
        <v>31214</v>
      </c>
      <c r="E1116" s="85" t="s">
        <v>537</v>
      </c>
    </row>
    <row r="1117" spans="2:5" x14ac:dyDescent="0.4">
      <c r="B1117" s="85">
        <v>1113</v>
      </c>
      <c r="C1117" s="85" t="s">
        <v>528</v>
      </c>
      <c r="D1117" s="85">
        <v>31214</v>
      </c>
      <c r="E1117" s="85" t="s">
        <v>537</v>
      </c>
    </row>
    <row r="1118" spans="2:5" x14ac:dyDescent="0.4">
      <c r="B1118" s="85">
        <v>1114</v>
      </c>
      <c r="C1118" s="85" t="s">
        <v>528</v>
      </c>
      <c r="D1118" s="85">
        <v>34134</v>
      </c>
      <c r="E1118" s="85" t="s">
        <v>538</v>
      </c>
    </row>
    <row r="1119" spans="2:5" x14ac:dyDescent="0.4">
      <c r="B1119" s="85">
        <v>1115</v>
      </c>
      <c r="C1119" s="85" t="s">
        <v>528</v>
      </c>
      <c r="D1119" s="85">
        <v>34134</v>
      </c>
      <c r="E1119" s="85" t="s">
        <v>538</v>
      </c>
    </row>
    <row r="1120" spans="2:5" x14ac:dyDescent="0.4">
      <c r="B1120" s="85">
        <v>1116</v>
      </c>
      <c r="C1120" s="85" t="s">
        <v>528</v>
      </c>
      <c r="D1120" s="85">
        <v>34134</v>
      </c>
      <c r="E1120" s="85" t="s">
        <v>538</v>
      </c>
    </row>
    <row r="1121" spans="2:5" x14ac:dyDescent="0.4">
      <c r="B1121" s="85">
        <v>1117</v>
      </c>
      <c r="C1121" s="85" t="s">
        <v>528</v>
      </c>
      <c r="D1121" s="85">
        <v>31207</v>
      </c>
      <c r="E1121" s="85" t="s">
        <v>538</v>
      </c>
    </row>
    <row r="1122" spans="2:5" x14ac:dyDescent="0.4">
      <c r="B1122" s="85">
        <v>1118</v>
      </c>
      <c r="C1122" s="85" t="s">
        <v>528</v>
      </c>
      <c r="D1122" s="85">
        <v>34139</v>
      </c>
      <c r="E1122" s="85" t="s">
        <v>535</v>
      </c>
    </row>
    <row r="1123" spans="2:5" x14ac:dyDescent="0.4">
      <c r="B1123" s="85">
        <v>1119</v>
      </c>
      <c r="C1123" s="85" t="s">
        <v>528</v>
      </c>
      <c r="D1123" s="85">
        <v>34141</v>
      </c>
      <c r="E1123" s="85" t="s">
        <v>537</v>
      </c>
    </row>
    <row r="1124" spans="2:5" x14ac:dyDescent="0.4">
      <c r="B1124" s="85">
        <v>1120</v>
      </c>
      <c r="C1124" s="85" t="s">
        <v>248</v>
      </c>
      <c r="D1124" s="85">
        <v>34145</v>
      </c>
      <c r="E1124" s="85" t="s">
        <v>537</v>
      </c>
    </row>
    <row r="1125" spans="2:5" x14ac:dyDescent="0.4">
      <c r="B1125" s="85">
        <v>1121</v>
      </c>
      <c r="C1125" s="85" t="s">
        <v>528</v>
      </c>
      <c r="D1125" s="85">
        <v>34149</v>
      </c>
      <c r="E1125" s="85" t="s">
        <v>537</v>
      </c>
    </row>
  </sheetData>
  <autoFilter ref="B4:E839"/>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M6"/>
  <sheetViews>
    <sheetView workbookViewId="0">
      <selection activeCell="F4" sqref="F4:F5"/>
    </sheetView>
  </sheetViews>
  <sheetFormatPr defaultRowHeight="17.399999999999999" x14ac:dyDescent="0.4"/>
  <cols>
    <col min="4" max="4" width="10.69921875" customWidth="1"/>
    <col min="5" max="5" width="9.19921875" customWidth="1"/>
    <col min="6" max="9" width="14" customWidth="1"/>
    <col min="10" max="10" width="9.19921875" customWidth="1"/>
    <col min="11" max="11" width="14" customWidth="1"/>
    <col min="12" max="12" width="10.69921875" customWidth="1"/>
    <col min="13" max="13" width="10" customWidth="1"/>
  </cols>
  <sheetData>
    <row r="2" spans="4:13" ht="37.5" customHeight="1" x14ac:dyDescent="0.4">
      <c r="D2" s="310" t="s">
        <v>19</v>
      </c>
      <c r="E2" s="453" t="s">
        <v>517</v>
      </c>
      <c r="F2" s="454"/>
      <c r="G2" s="454"/>
      <c r="H2" s="454"/>
      <c r="I2" s="455"/>
      <c r="J2" s="453" t="s">
        <v>521</v>
      </c>
      <c r="K2" s="454"/>
      <c r="L2" s="454"/>
      <c r="M2" s="454"/>
    </row>
    <row r="3" spans="4:13" ht="33" customHeight="1" x14ac:dyDescent="0.4">
      <c r="D3" s="456">
        <v>714</v>
      </c>
      <c r="E3" s="458">
        <f>F4+G4+H4+I4</f>
        <v>24</v>
      </c>
      <c r="F3" s="266" t="s">
        <v>515</v>
      </c>
      <c r="G3" s="266" t="s">
        <v>163</v>
      </c>
      <c r="H3" s="266" t="s">
        <v>173</v>
      </c>
      <c r="I3" s="266" t="s">
        <v>518</v>
      </c>
      <c r="J3" s="458" t="e">
        <f>K4+L4+M4</f>
        <v>#REF!</v>
      </c>
      <c r="K3" s="266" t="s">
        <v>484</v>
      </c>
      <c r="L3" s="266" t="s">
        <v>519</v>
      </c>
      <c r="M3" s="309" t="s">
        <v>520</v>
      </c>
    </row>
    <row r="4" spans="4:13" ht="16.5" customHeight="1" x14ac:dyDescent="0.4">
      <c r="D4" s="456"/>
      <c r="E4" s="458"/>
      <c r="F4" s="460">
        <f>COUNTIFS('2023년 신조차 고장관리 세부현황'!$AL$5:$AL$31,"기타 프로젝트")</f>
        <v>0</v>
      </c>
      <c r="G4" s="461">
        <f>COUNTIFS('2023년 신조차 고장관리 세부현황'!$AL$5:$AL$31,"삭제")</f>
        <v>0</v>
      </c>
      <c r="H4" s="461">
        <f>COUNTIFS('2023년 신조차 고장관리 세부현황'!$AL$5:$AL$31,"삭제 협의중")</f>
        <v>9</v>
      </c>
      <c r="I4" s="461">
        <f>COUNTIF('2023년 신조차 고장관리 세부현황'!$AL$5:$AL$31,"중복")+COUNTIF('2023년 신조차 고장관리 세부현황'!$AL$5:$AL$31,"중복-개선작업")+COUNTIF('2023년 신조차 고장관리 세부현황'!$AL$5:$AL$31,"중복-일제점검")</f>
        <v>15</v>
      </c>
      <c r="J4" s="458"/>
      <c r="K4" s="460" t="e">
        <f>'필드오픈이슈 연계현황_2'!E29</f>
        <v>#REF!</v>
      </c>
      <c r="L4" s="461" t="e">
        <f>'필드오픈이슈 연계현황_2'!E30</f>
        <v>#REF!</v>
      </c>
      <c r="M4" s="463" t="e">
        <f>'필드오픈이슈 연계현황_2'!E31</f>
        <v>#REF!</v>
      </c>
    </row>
    <row r="5" spans="4:13" ht="16.5" customHeight="1" x14ac:dyDescent="0.4">
      <c r="D5" s="457"/>
      <c r="E5" s="459"/>
      <c r="F5" s="460"/>
      <c r="G5" s="462"/>
      <c r="H5" s="462"/>
      <c r="I5" s="462"/>
      <c r="J5" s="459"/>
      <c r="K5" s="460"/>
      <c r="L5" s="462"/>
      <c r="M5" s="464"/>
    </row>
    <row r="6" spans="4:13" ht="16.5" customHeight="1" x14ac:dyDescent="0.4"/>
  </sheetData>
  <mergeCells count="12">
    <mergeCell ref="E2:I2"/>
    <mergeCell ref="J2:M2"/>
    <mergeCell ref="D3:D5"/>
    <mergeCell ref="E3:E5"/>
    <mergeCell ref="J3:J5"/>
    <mergeCell ref="K4:K5"/>
    <mergeCell ref="G4:G5"/>
    <mergeCell ref="H4:H5"/>
    <mergeCell ref="I4:I5"/>
    <mergeCell ref="F4:F5"/>
    <mergeCell ref="L4:L5"/>
    <mergeCell ref="M4:M5"/>
  </mergeCells>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
  <sheetViews>
    <sheetView zoomScale="85" zoomScaleNormal="85" workbookViewId="0">
      <selection activeCell="D5" sqref="D5"/>
    </sheetView>
  </sheetViews>
  <sheetFormatPr defaultColWidth="9" defaultRowHeight="17.399999999999999" x14ac:dyDescent="0.4"/>
  <cols>
    <col min="1" max="1" width="9" style="269" customWidth="1"/>
    <col min="2" max="2" width="13.69921875" style="269" hidden="1" customWidth="1"/>
    <col min="3" max="3" width="19.59765625" style="269" customWidth="1"/>
    <col min="4" max="5" width="12.8984375" style="269" customWidth="1"/>
    <col min="6" max="9" width="12.59765625" style="269" customWidth="1"/>
    <col min="10" max="10" width="12.59765625" style="269" hidden="1" customWidth="1"/>
    <col min="11" max="11" width="19" style="269" customWidth="1"/>
    <col min="12" max="16384" width="9" style="269"/>
  </cols>
  <sheetData>
    <row r="1" spans="1:11" ht="28.95" customHeight="1" x14ac:dyDescent="0.25">
      <c r="A1" s="268" t="s">
        <v>514</v>
      </c>
      <c r="B1" s="268"/>
      <c r="K1" s="270">
        <v>45079</v>
      </c>
    </row>
    <row r="2" spans="1:11" ht="28.95" hidden="1" customHeight="1" x14ac:dyDescent="0.25">
      <c r="A2" s="268"/>
      <c r="B2" s="268"/>
      <c r="F2" s="305" t="s">
        <v>460</v>
      </c>
      <c r="G2" s="305" t="s">
        <v>483</v>
      </c>
      <c r="H2" s="305" t="s">
        <v>486</v>
      </c>
      <c r="I2" s="305" t="s">
        <v>512</v>
      </c>
      <c r="K2" s="270"/>
    </row>
    <row r="3" spans="1:11" ht="39" customHeight="1" x14ac:dyDescent="0.4">
      <c r="A3" s="271" t="s">
        <v>487</v>
      </c>
      <c r="B3" s="272"/>
      <c r="C3" s="272" t="s">
        <v>488</v>
      </c>
      <c r="D3" s="480" t="s">
        <v>489</v>
      </c>
      <c r="E3" s="481"/>
      <c r="F3" s="273" t="s">
        <v>490</v>
      </c>
      <c r="G3" s="271" t="s">
        <v>491</v>
      </c>
      <c r="H3" s="271" t="s">
        <v>492</v>
      </c>
      <c r="I3" s="311" t="s">
        <v>493</v>
      </c>
      <c r="J3" s="274" t="s">
        <v>494</v>
      </c>
      <c r="K3" s="271" t="s">
        <v>495</v>
      </c>
    </row>
    <row r="4" spans="1:11" ht="18.600000000000001" customHeight="1" x14ac:dyDescent="0.4">
      <c r="A4" s="482" t="s">
        <v>496</v>
      </c>
      <c r="B4" s="306" t="s">
        <v>73</v>
      </c>
      <c r="C4" s="483" t="s">
        <v>497</v>
      </c>
      <c r="D4" s="275" t="s">
        <v>498</v>
      </c>
      <c r="E4" s="276" t="e">
        <f t="shared" ref="E4:E12" si="0">SUM(F4:J4)</f>
        <v>#REF!</v>
      </c>
      <c r="F4" s="281" t="e">
        <f>COUNTIFS('2023년 신조차 고장관리 세부현황'!$AL$5:$AL$31,$B$4,'2023년 신조차 고장관리 세부현황'!#REF!,'필드오픈이슈 연계현황_2'!$D4,'2023년 신조차 고장관리 세부현황'!#REF!,'필드오픈이슈 연계현황_2'!F$2)</f>
        <v>#REF!</v>
      </c>
      <c r="G4" s="281" t="e">
        <f>COUNTIFS('2023년 신조차 고장관리 세부현황'!$AL$5:$AL$31,$B$4,'2023년 신조차 고장관리 세부현황'!#REF!,'필드오픈이슈 연계현황_2'!$D4,'2023년 신조차 고장관리 세부현황'!#REF!,'필드오픈이슈 연계현황_2'!G$2)</f>
        <v>#REF!</v>
      </c>
      <c r="H4" s="281" t="e">
        <f>COUNTIFS('2023년 신조차 고장관리 세부현황'!$AL$5:$AL$31,$B$4,'2023년 신조차 고장관리 세부현황'!#REF!,'필드오픈이슈 연계현황_2'!$D4,'2023년 신조차 고장관리 세부현황'!#REF!,'필드오픈이슈 연계현황_2'!H$2)</f>
        <v>#REF!</v>
      </c>
      <c r="I4" s="281" t="e">
        <f>COUNTIFS('2023년 신조차 고장관리 세부현황'!$AL$5:$AL$31,$B$4,'2023년 신조차 고장관리 세부현황'!#REF!,'필드오픈이슈 연계현황_2'!$D4,'2023년 신조차 고장관리 세부현황'!#REF!,'필드오픈이슈 연계현황_2'!I$2)</f>
        <v>#REF!</v>
      </c>
      <c r="J4" s="281"/>
      <c r="K4" s="277"/>
    </row>
    <row r="5" spans="1:11" ht="18.600000000000001" customHeight="1" x14ac:dyDescent="0.4">
      <c r="A5" s="482"/>
      <c r="B5" s="306"/>
      <c r="C5" s="483"/>
      <c r="D5" s="278" t="s">
        <v>499</v>
      </c>
      <c r="E5" s="279" t="e">
        <f t="shared" si="0"/>
        <v>#REF!</v>
      </c>
      <c r="F5" s="281" t="e">
        <f>COUNTIFS('2023년 신조차 고장관리 세부현황'!$AL$5:$AL$31,$B$4,'2023년 신조차 고장관리 세부현황'!#REF!,'필드오픈이슈 연계현황_2'!$D5,'2023년 신조차 고장관리 세부현황'!#REF!,'필드오픈이슈 연계현황_2'!F$2)</f>
        <v>#REF!</v>
      </c>
      <c r="G5" s="281" t="e">
        <f>COUNTIFS('2023년 신조차 고장관리 세부현황'!$AL$5:$AL$31,$B$4,'2023년 신조차 고장관리 세부현황'!#REF!,'필드오픈이슈 연계현황_2'!$D5,'2023년 신조차 고장관리 세부현황'!#REF!,'필드오픈이슈 연계현황_2'!G$2)</f>
        <v>#REF!</v>
      </c>
      <c r="H5" s="281" t="e">
        <f>COUNTIFS('2023년 신조차 고장관리 세부현황'!$AL$5:$AL$31,$B$4,'2023년 신조차 고장관리 세부현황'!#REF!,'필드오픈이슈 연계현황_2'!$D5,'2023년 신조차 고장관리 세부현황'!#REF!,'필드오픈이슈 연계현황_2'!H$2)</f>
        <v>#REF!</v>
      </c>
      <c r="I5" s="281" t="e">
        <f>COUNTIFS('2023년 신조차 고장관리 세부현황'!$AL$5:$AL$31,$B$4,'2023년 신조차 고장관리 세부현황'!#REF!,'필드오픈이슈 연계현황_2'!$D5,'2023년 신조차 고장관리 세부현황'!#REF!,'필드오픈이슈 연계현황_2'!I$2)</f>
        <v>#REF!</v>
      </c>
      <c r="J5" s="277"/>
      <c r="K5" s="277"/>
    </row>
    <row r="6" spans="1:11" ht="18.600000000000001" customHeight="1" x14ac:dyDescent="0.4">
      <c r="A6" s="471"/>
      <c r="B6" s="307"/>
      <c r="C6" s="474"/>
      <c r="D6" s="280" t="s">
        <v>500</v>
      </c>
      <c r="E6" s="279" t="e">
        <f t="shared" si="0"/>
        <v>#REF!</v>
      </c>
      <c r="F6" s="281" t="e">
        <f>COUNTIFS('2023년 신조차 고장관리 세부현황'!$AL$5:$AL$31,$B$4,'2023년 신조차 고장관리 세부현황'!#REF!,'필드오픈이슈 연계현황_2'!$D6,'2023년 신조차 고장관리 세부현황'!#REF!,'필드오픈이슈 연계현황_2'!F$2)</f>
        <v>#REF!</v>
      </c>
      <c r="G6" s="281" t="e">
        <f>COUNTIFS('2023년 신조차 고장관리 세부현황'!$AL$5:$AL$31,$B$4,'2023년 신조차 고장관리 세부현황'!#REF!,'필드오픈이슈 연계현황_2'!$D6,'2023년 신조차 고장관리 세부현황'!#REF!,'필드오픈이슈 연계현황_2'!G$2)</f>
        <v>#REF!</v>
      </c>
      <c r="H6" s="281" t="e">
        <f>COUNTIFS('2023년 신조차 고장관리 세부현황'!$AL$5:$AL$31,$B$4,'2023년 신조차 고장관리 세부현황'!#REF!,'필드오픈이슈 연계현황_2'!$D6,'2023년 신조차 고장관리 세부현황'!#REF!,'필드오픈이슈 연계현황_2'!H$2)</f>
        <v>#REF!</v>
      </c>
      <c r="I6" s="281" t="e">
        <f>COUNTIFS('2023년 신조차 고장관리 세부현황'!$AL$5:$AL$31,$B$4,'2023년 신조차 고장관리 세부현황'!#REF!,'필드오픈이슈 연계현황_2'!$D6,'2023년 신조차 고장관리 세부현황'!#REF!,'필드오픈이슈 연계현황_2'!I$2)</f>
        <v>#REF!</v>
      </c>
      <c r="J6" s="282"/>
      <c r="K6" s="282"/>
    </row>
    <row r="7" spans="1:11" ht="18.600000000000001" customHeight="1" x14ac:dyDescent="0.4">
      <c r="A7" s="471"/>
      <c r="B7" s="307" t="s">
        <v>74</v>
      </c>
      <c r="C7" s="474" t="s">
        <v>501</v>
      </c>
      <c r="D7" s="278" t="s">
        <v>498</v>
      </c>
      <c r="E7" s="279" t="e">
        <f t="shared" si="0"/>
        <v>#REF!</v>
      </c>
      <c r="F7" s="281" t="e">
        <f>COUNTIFS('2023년 신조차 고장관리 세부현황'!$AL$5:$AL$31,$B$7,'2023년 신조차 고장관리 세부현황'!#REF!,'필드오픈이슈 연계현황_2'!$D7,'2023년 신조차 고장관리 세부현황'!#REF!,'필드오픈이슈 연계현황_2'!F$2)</f>
        <v>#REF!</v>
      </c>
      <c r="G7" s="281" t="e">
        <f>COUNTIFS('2023년 신조차 고장관리 세부현황'!$AL$5:$AL$31,$B$7,'2023년 신조차 고장관리 세부현황'!#REF!,'필드오픈이슈 연계현황_2'!$D7,'2023년 신조차 고장관리 세부현황'!#REF!,'필드오픈이슈 연계현황_2'!G$2)</f>
        <v>#REF!</v>
      </c>
      <c r="H7" s="281" t="e">
        <f>COUNTIFS('2023년 신조차 고장관리 세부현황'!$AL$5:$AL$31,$B$7,'2023년 신조차 고장관리 세부현황'!#REF!,'필드오픈이슈 연계현황_2'!$D7,'2023년 신조차 고장관리 세부현황'!#REF!,'필드오픈이슈 연계현황_2'!H$2)</f>
        <v>#REF!</v>
      </c>
      <c r="I7" s="281" t="e">
        <f>COUNTIFS('2023년 신조차 고장관리 세부현황'!$AL$5:$AL$31,$B$7,'2023년 신조차 고장관리 세부현황'!#REF!,'필드오픈이슈 연계현황_2'!$D7,'2023년 신조차 고장관리 세부현황'!#REF!,'필드오픈이슈 연계현황_2'!I$2)</f>
        <v>#REF!</v>
      </c>
      <c r="J7" s="282"/>
      <c r="K7" s="282"/>
    </row>
    <row r="8" spans="1:11" ht="18.600000000000001" customHeight="1" x14ac:dyDescent="0.4">
      <c r="A8" s="471"/>
      <c r="B8" s="307"/>
      <c r="C8" s="474"/>
      <c r="D8" s="278" t="s">
        <v>499</v>
      </c>
      <c r="E8" s="279" t="e">
        <f t="shared" si="0"/>
        <v>#REF!</v>
      </c>
      <c r="F8" s="281" t="e">
        <f>COUNTIFS('2023년 신조차 고장관리 세부현황'!$AL$5:$AL$31,$B$7,'2023년 신조차 고장관리 세부현황'!#REF!,'필드오픈이슈 연계현황_2'!$D8,'2023년 신조차 고장관리 세부현황'!#REF!,'필드오픈이슈 연계현황_2'!F$2)</f>
        <v>#REF!</v>
      </c>
      <c r="G8" s="281" t="e">
        <f>COUNTIFS('2023년 신조차 고장관리 세부현황'!$AL$5:$AL$31,$B$7,'2023년 신조차 고장관리 세부현황'!#REF!,'필드오픈이슈 연계현황_2'!$D8,'2023년 신조차 고장관리 세부현황'!#REF!,'필드오픈이슈 연계현황_2'!G$2)</f>
        <v>#REF!</v>
      </c>
      <c r="H8" s="281" t="e">
        <f>COUNTIFS('2023년 신조차 고장관리 세부현황'!$AL$5:$AL$31,$B$7,'2023년 신조차 고장관리 세부현황'!#REF!,'필드오픈이슈 연계현황_2'!$D8,'2023년 신조차 고장관리 세부현황'!#REF!,'필드오픈이슈 연계현황_2'!H$2)</f>
        <v>#REF!</v>
      </c>
      <c r="I8" s="281" t="e">
        <f>COUNTIFS('2023년 신조차 고장관리 세부현황'!$AL$5:$AL$31,$B$7,'2023년 신조차 고장관리 세부현황'!#REF!,'필드오픈이슈 연계현황_2'!$D8,'2023년 신조차 고장관리 세부현황'!#REF!,'필드오픈이슈 연계현황_2'!I$2)</f>
        <v>#REF!</v>
      </c>
      <c r="J8" s="282"/>
      <c r="K8" s="282"/>
    </row>
    <row r="9" spans="1:11" ht="18.600000000000001" customHeight="1" x14ac:dyDescent="0.4">
      <c r="A9" s="471"/>
      <c r="B9" s="307"/>
      <c r="C9" s="474"/>
      <c r="D9" s="280" t="s">
        <v>500</v>
      </c>
      <c r="E9" s="279" t="e">
        <f t="shared" si="0"/>
        <v>#REF!</v>
      </c>
      <c r="F9" s="281" t="e">
        <f>COUNTIFS('2023년 신조차 고장관리 세부현황'!$AL$5:$AL$31,$B$7,'2023년 신조차 고장관리 세부현황'!#REF!,'필드오픈이슈 연계현황_2'!$D9,'2023년 신조차 고장관리 세부현황'!#REF!,'필드오픈이슈 연계현황_2'!F$2)</f>
        <v>#REF!</v>
      </c>
      <c r="G9" s="281" t="e">
        <f>COUNTIFS('2023년 신조차 고장관리 세부현황'!$AL$5:$AL$31,$B$7,'2023년 신조차 고장관리 세부현황'!#REF!,'필드오픈이슈 연계현황_2'!$D9,'2023년 신조차 고장관리 세부현황'!#REF!,'필드오픈이슈 연계현황_2'!G$2)</f>
        <v>#REF!</v>
      </c>
      <c r="H9" s="281" t="e">
        <f>COUNTIFS('2023년 신조차 고장관리 세부현황'!$AL$5:$AL$31,$B$7,'2023년 신조차 고장관리 세부현황'!#REF!,'필드오픈이슈 연계현황_2'!$D9,'2023년 신조차 고장관리 세부현황'!#REF!,'필드오픈이슈 연계현황_2'!H$2)</f>
        <v>#REF!</v>
      </c>
      <c r="I9" s="281" t="e">
        <f>COUNTIFS('2023년 신조차 고장관리 세부현황'!$AL$5:$AL$31,$B$7,'2023년 신조차 고장관리 세부현황'!#REF!,'필드오픈이슈 연계현황_2'!$D9,'2023년 신조차 고장관리 세부현황'!#REF!,'필드오픈이슈 연계현황_2'!I$2)</f>
        <v>#REF!</v>
      </c>
      <c r="J9" s="282"/>
      <c r="K9" s="282"/>
    </row>
    <row r="10" spans="1:11" ht="18.600000000000001" customHeight="1" x14ac:dyDescent="0.4">
      <c r="A10" s="471"/>
      <c r="B10" s="307" t="s">
        <v>75</v>
      </c>
      <c r="C10" s="474" t="s">
        <v>502</v>
      </c>
      <c r="D10" s="278" t="s">
        <v>498</v>
      </c>
      <c r="E10" s="279" t="e">
        <f t="shared" si="0"/>
        <v>#REF!</v>
      </c>
      <c r="F10" s="281" t="e">
        <f>COUNTIFS('2023년 신조차 고장관리 세부현황'!$AL$5:$AL$31,$B$10,'2023년 신조차 고장관리 세부현황'!#REF!,'필드오픈이슈 연계현황_2'!$D10,'2023년 신조차 고장관리 세부현황'!#REF!,'필드오픈이슈 연계현황_2'!F$2)</f>
        <v>#REF!</v>
      </c>
      <c r="G10" s="281" t="e">
        <f>COUNTIFS('2023년 신조차 고장관리 세부현황'!$AL$5:$AL$31,$B$10,'2023년 신조차 고장관리 세부현황'!#REF!,'필드오픈이슈 연계현황_2'!$D10,'2023년 신조차 고장관리 세부현황'!#REF!,'필드오픈이슈 연계현황_2'!G$2)</f>
        <v>#REF!</v>
      </c>
      <c r="H10" s="281" t="e">
        <f>COUNTIFS('2023년 신조차 고장관리 세부현황'!$AL$5:$AL$31,$B$10,'2023년 신조차 고장관리 세부현황'!#REF!,'필드오픈이슈 연계현황_2'!$D10,'2023년 신조차 고장관리 세부현황'!#REF!,'필드오픈이슈 연계현황_2'!H$2)</f>
        <v>#REF!</v>
      </c>
      <c r="I10" s="281" t="e">
        <f>COUNTIFS('2023년 신조차 고장관리 세부현황'!$AL$5:$AL$31,$B$10,'2023년 신조차 고장관리 세부현황'!#REF!,'필드오픈이슈 연계현황_2'!$D10,'2023년 신조차 고장관리 세부현황'!#REF!,'필드오픈이슈 연계현황_2'!I$2)</f>
        <v>#REF!</v>
      </c>
      <c r="J10" s="282"/>
      <c r="K10" s="282"/>
    </row>
    <row r="11" spans="1:11" ht="18.600000000000001" customHeight="1" x14ac:dyDescent="0.4">
      <c r="A11" s="471"/>
      <c r="B11" s="307"/>
      <c r="C11" s="474"/>
      <c r="D11" s="278" t="s">
        <v>499</v>
      </c>
      <c r="E11" s="279" t="e">
        <f t="shared" si="0"/>
        <v>#REF!</v>
      </c>
      <c r="F11" s="281" t="e">
        <f>COUNTIFS('2023년 신조차 고장관리 세부현황'!$AL$5:$AL$31,$B$10,'2023년 신조차 고장관리 세부현황'!#REF!,'필드오픈이슈 연계현황_2'!$D11,'2023년 신조차 고장관리 세부현황'!#REF!,'필드오픈이슈 연계현황_2'!F$2)</f>
        <v>#REF!</v>
      </c>
      <c r="G11" s="281" t="e">
        <f>COUNTIFS('2023년 신조차 고장관리 세부현황'!$AL$5:$AL$31,$B$10,'2023년 신조차 고장관리 세부현황'!#REF!,'필드오픈이슈 연계현황_2'!$D11,'2023년 신조차 고장관리 세부현황'!#REF!,'필드오픈이슈 연계현황_2'!G$2)</f>
        <v>#REF!</v>
      </c>
      <c r="H11" s="281" t="e">
        <f>COUNTIFS('2023년 신조차 고장관리 세부현황'!$AL$5:$AL$31,$B$10,'2023년 신조차 고장관리 세부현황'!#REF!,'필드오픈이슈 연계현황_2'!$D11,'2023년 신조차 고장관리 세부현황'!#REF!,'필드오픈이슈 연계현황_2'!H$2)</f>
        <v>#REF!</v>
      </c>
      <c r="I11" s="281" t="e">
        <f>COUNTIFS('2023년 신조차 고장관리 세부현황'!$AL$5:$AL$31,$B$10,'2023년 신조차 고장관리 세부현황'!#REF!,'필드오픈이슈 연계현황_2'!$D11,'2023년 신조차 고장관리 세부현황'!#REF!,'필드오픈이슈 연계현황_2'!I$2)</f>
        <v>#REF!</v>
      </c>
      <c r="J11" s="282"/>
      <c r="K11" s="282"/>
    </row>
    <row r="12" spans="1:11" ht="18.600000000000001" customHeight="1" x14ac:dyDescent="0.4">
      <c r="A12" s="471"/>
      <c r="B12" s="307"/>
      <c r="C12" s="474"/>
      <c r="D12" s="280" t="s">
        <v>500</v>
      </c>
      <c r="E12" s="279" t="e">
        <f t="shared" si="0"/>
        <v>#REF!</v>
      </c>
      <c r="F12" s="281" t="e">
        <f>COUNTIFS('2023년 신조차 고장관리 세부현황'!$AL$5:$AL$31,$B$10,'2023년 신조차 고장관리 세부현황'!#REF!,'필드오픈이슈 연계현황_2'!$D12,'2023년 신조차 고장관리 세부현황'!#REF!,'필드오픈이슈 연계현황_2'!F$2)</f>
        <v>#REF!</v>
      </c>
      <c r="G12" s="281" t="e">
        <f>COUNTIFS('2023년 신조차 고장관리 세부현황'!$AL$5:$AL$31,$B$10,'2023년 신조차 고장관리 세부현황'!#REF!,'필드오픈이슈 연계현황_2'!$D12,'2023년 신조차 고장관리 세부현황'!#REF!,'필드오픈이슈 연계현황_2'!G$2)</f>
        <v>#REF!</v>
      </c>
      <c r="H12" s="281" t="e">
        <f>COUNTIFS('2023년 신조차 고장관리 세부현황'!$AL$5:$AL$31,$B$10,'2023년 신조차 고장관리 세부현황'!#REF!,'필드오픈이슈 연계현황_2'!$D12,'2023년 신조차 고장관리 세부현황'!#REF!,'필드오픈이슈 연계현황_2'!H$2)</f>
        <v>#REF!</v>
      </c>
      <c r="I12" s="281" t="e">
        <f>COUNTIFS('2023년 신조차 고장관리 세부현황'!$AL$5:$AL$31,$B$10,'2023년 신조차 고장관리 세부현황'!#REF!,'필드오픈이슈 연계현황_2'!$D12,'2023년 신조차 고장관리 세부현황'!#REF!,'필드오픈이슈 연계현황_2'!I$2)</f>
        <v>#REF!</v>
      </c>
      <c r="J12" s="282"/>
      <c r="K12" s="282"/>
    </row>
    <row r="13" spans="1:11" ht="18.600000000000001" customHeight="1" x14ac:dyDescent="0.4">
      <c r="A13" s="472"/>
      <c r="B13" s="307"/>
      <c r="C13" s="477" t="s">
        <v>503</v>
      </c>
      <c r="D13" s="283" t="s">
        <v>498</v>
      </c>
      <c r="E13" s="284" t="e">
        <f t="shared" ref="E13:J15" si="1">SUM(E4,E7,E10)</f>
        <v>#REF!</v>
      </c>
      <c r="F13" s="285" t="e">
        <f t="shared" si="1"/>
        <v>#REF!</v>
      </c>
      <c r="G13" s="286" t="e">
        <f t="shared" si="1"/>
        <v>#REF!</v>
      </c>
      <c r="H13" s="286" t="e">
        <f t="shared" si="1"/>
        <v>#REF!</v>
      </c>
      <c r="I13" s="286" t="e">
        <f t="shared" si="1"/>
        <v>#REF!</v>
      </c>
      <c r="J13" s="286">
        <f t="shared" si="1"/>
        <v>0</v>
      </c>
      <c r="K13" s="286"/>
    </row>
    <row r="14" spans="1:11" ht="18.600000000000001" customHeight="1" x14ac:dyDescent="0.4">
      <c r="A14" s="472"/>
      <c r="B14" s="307"/>
      <c r="C14" s="477"/>
      <c r="D14" s="283" t="s">
        <v>499</v>
      </c>
      <c r="E14" s="284" t="e">
        <f>SUM(E5,E8,E11)</f>
        <v>#REF!</v>
      </c>
      <c r="F14" s="283" t="e">
        <f t="shared" si="1"/>
        <v>#REF!</v>
      </c>
      <c r="G14" s="286" t="e">
        <f t="shared" si="1"/>
        <v>#REF!</v>
      </c>
      <c r="H14" s="286" t="e">
        <f t="shared" si="1"/>
        <v>#REF!</v>
      </c>
      <c r="I14" s="286" t="e">
        <f t="shared" si="1"/>
        <v>#REF!</v>
      </c>
      <c r="J14" s="284">
        <f t="shared" si="1"/>
        <v>0</v>
      </c>
      <c r="K14" s="286"/>
    </row>
    <row r="15" spans="1:11" ht="18.600000000000001" customHeight="1" x14ac:dyDescent="0.4">
      <c r="A15" s="472"/>
      <c r="B15" s="307"/>
      <c r="C15" s="477"/>
      <c r="D15" s="283" t="s">
        <v>504</v>
      </c>
      <c r="E15" s="284" t="e">
        <f>SUM(E6,E9,E12)</f>
        <v>#REF!</v>
      </c>
      <c r="F15" s="283" t="e">
        <f t="shared" si="1"/>
        <v>#REF!</v>
      </c>
      <c r="G15" s="286" t="e">
        <f t="shared" si="1"/>
        <v>#REF!</v>
      </c>
      <c r="H15" s="286" t="e">
        <f t="shared" si="1"/>
        <v>#REF!</v>
      </c>
      <c r="I15" s="286" t="e">
        <f t="shared" si="1"/>
        <v>#REF!</v>
      </c>
      <c r="J15" s="284">
        <f t="shared" si="1"/>
        <v>0</v>
      </c>
      <c r="K15" s="286"/>
    </row>
    <row r="16" spans="1:11" ht="18.600000000000001" customHeight="1" x14ac:dyDescent="0.4">
      <c r="A16" s="471" t="s">
        <v>505</v>
      </c>
      <c r="B16" s="307" t="s">
        <v>76</v>
      </c>
      <c r="C16" s="474" t="s">
        <v>506</v>
      </c>
      <c r="D16" s="278" t="s">
        <v>498</v>
      </c>
      <c r="E16" s="279" t="e">
        <f t="shared" ref="E16:E24" si="2">SUM(F16:J16)</f>
        <v>#REF!</v>
      </c>
      <c r="F16" s="281" t="e">
        <f>COUNTIFS('2023년 신조차 고장관리 세부현황'!$AL$5:$AL$31,$B$16,'2023년 신조차 고장관리 세부현황'!#REF!,'필드오픈이슈 연계현황_2'!$D16,'2023년 신조차 고장관리 세부현황'!#REF!,'필드오픈이슈 연계현황_2'!F$2)</f>
        <v>#REF!</v>
      </c>
      <c r="G16" s="281" t="e">
        <f>COUNTIFS('2023년 신조차 고장관리 세부현황'!$AL$5:$AL$31,$B$16,'2023년 신조차 고장관리 세부현황'!#REF!,'필드오픈이슈 연계현황_2'!$D16,'2023년 신조차 고장관리 세부현황'!#REF!,'필드오픈이슈 연계현황_2'!G$2)</f>
        <v>#REF!</v>
      </c>
      <c r="H16" s="281" t="e">
        <f>COUNTIFS('2023년 신조차 고장관리 세부현황'!$AL$5:$AL$31,$B$16,'2023년 신조차 고장관리 세부현황'!#REF!,'필드오픈이슈 연계현황_2'!$D16,'2023년 신조차 고장관리 세부현황'!#REF!,'필드오픈이슈 연계현황_2'!H$2)</f>
        <v>#REF!</v>
      </c>
      <c r="I16" s="281" t="e">
        <f>COUNTIFS('2023년 신조차 고장관리 세부현황'!$AL$5:$AL$31,$B$16,'2023년 신조차 고장관리 세부현황'!#REF!,'필드오픈이슈 연계현황_2'!$D16,'2023년 신조차 고장관리 세부현황'!#REF!,'필드오픈이슈 연계현황_2'!I$2)</f>
        <v>#REF!</v>
      </c>
      <c r="J16" s="282"/>
      <c r="K16" s="282"/>
    </row>
    <row r="17" spans="1:11" ht="18.600000000000001" customHeight="1" x14ac:dyDescent="0.4">
      <c r="A17" s="471"/>
      <c r="B17" s="307"/>
      <c r="C17" s="474"/>
      <c r="D17" s="278" t="s">
        <v>499</v>
      </c>
      <c r="E17" s="279" t="e">
        <f t="shared" si="2"/>
        <v>#REF!</v>
      </c>
      <c r="F17" s="281" t="e">
        <f>COUNTIFS('2023년 신조차 고장관리 세부현황'!$AL$5:$AL$31,$B$16,'2023년 신조차 고장관리 세부현황'!#REF!,'필드오픈이슈 연계현황_2'!$D17,'2023년 신조차 고장관리 세부현황'!#REF!,'필드오픈이슈 연계현황_2'!F$2)</f>
        <v>#REF!</v>
      </c>
      <c r="G17" s="281" t="e">
        <f>COUNTIFS('2023년 신조차 고장관리 세부현황'!$AL$5:$AL$31,$B$16,'2023년 신조차 고장관리 세부현황'!#REF!,'필드오픈이슈 연계현황_2'!$D17,'2023년 신조차 고장관리 세부현황'!#REF!,'필드오픈이슈 연계현황_2'!G$2)</f>
        <v>#REF!</v>
      </c>
      <c r="H17" s="281" t="e">
        <f>COUNTIFS('2023년 신조차 고장관리 세부현황'!$AL$5:$AL$31,$B$16,'2023년 신조차 고장관리 세부현황'!#REF!,'필드오픈이슈 연계현황_2'!$D17,'2023년 신조차 고장관리 세부현황'!#REF!,'필드오픈이슈 연계현황_2'!H$2)</f>
        <v>#REF!</v>
      </c>
      <c r="I17" s="281" t="e">
        <f>COUNTIFS('2023년 신조차 고장관리 세부현황'!$AL$5:$AL$31,$B$16,'2023년 신조차 고장관리 세부현황'!#REF!,'필드오픈이슈 연계현황_2'!$D17,'2023년 신조차 고장관리 세부현황'!#REF!,'필드오픈이슈 연계현황_2'!I$2)</f>
        <v>#REF!</v>
      </c>
      <c r="J17" s="282"/>
      <c r="K17" s="282"/>
    </row>
    <row r="18" spans="1:11" ht="18.600000000000001" customHeight="1" x14ac:dyDescent="0.4">
      <c r="A18" s="471"/>
      <c r="B18" s="307"/>
      <c r="C18" s="474"/>
      <c r="D18" s="280" t="s">
        <v>500</v>
      </c>
      <c r="E18" s="279" t="e">
        <f t="shared" si="2"/>
        <v>#REF!</v>
      </c>
      <c r="F18" s="281" t="e">
        <f>COUNTIFS('2023년 신조차 고장관리 세부현황'!$AL$5:$AL$31,$B$16,'2023년 신조차 고장관리 세부현황'!#REF!,'필드오픈이슈 연계현황_2'!$D18,'2023년 신조차 고장관리 세부현황'!#REF!,'필드오픈이슈 연계현황_2'!F$2)</f>
        <v>#REF!</v>
      </c>
      <c r="G18" s="281" t="e">
        <f>COUNTIFS('2023년 신조차 고장관리 세부현황'!$AL$5:$AL$31,$B$16,'2023년 신조차 고장관리 세부현황'!#REF!,'필드오픈이슈 연계현황_2'!$D18,'2023년 신조차 고장관리 세부현황'!#REF!,'필드오픈이슈 연계현황_2'!G$2)</f>
        <v>#REF!</v>
      </c>
      <c r="H18" s="281" t="e">
        <f>COUNTIFS('2023년 신조차 고장관리 세부현황'!$AL$5:$AL$31,$B$16,'2023년 신조차 고장관리 세부현황'!#REF!,'필드오픈이슈 연계현황_2'!$D18,'2023년 신조차 고장관리 세부현황'!#REF!,'필드오픈이슈 연계현황_2'!H$2)</f>
        <v>#REF!</v>
      </c>
      <c r="I18" s="281" t="e">
        <f>COUNTIFS('2023년 신조차 고장관리 세부현황'!$AL$5:$AL$31,$B$16,'2023년 신조차 고장관리 세부현황'!#REF!,'필드오픈이슈 연계현황_2'!$D18,'2023년 신조차 고장관리 세부현황'!#REF!,'필드오픈이슈 연계현황_2'!I$2)</f>
        <v>#REF!</v>
      </c>
      <c r="J18" s="282"/>
      <c r="K18" s="282"/>
    </row>
    <row r="19" spans="1:11" ht="18.600000000000001" customHeight="1" x14ac:dyDescent="0.4">
      <c r="A19" s="471"/>
      <c r="B19" s="307" t="s">
        <v>77</v>
      </c>
      <c r="C19" s="474" t="s">
        <v>507</v>
      </c>
      <c r="D19" s="278" t="s">
        <v>498</v>
      </c>
      <c r="E19" s="279" t="e">
        <f t="shared" si="2"/>
        <v>#REF!</v>
      </c>
      <c r="F19" s="281" t="e">
        <f>COUNTIFS('2023년 신조차 고장관리 세부현황'!$AL$5:$AL$31,$B$19,'2023년 신조차 고장관리 세부현황'!#REF!,'필드오픈이슈 연계현황_2'!$D19,'2023년 신조차 고장관리 세부현황'!#REF!,'필드오픈이슈 연계현황_2'!F$2)</f>
        <v>#REF!</v>
      </c>
      <c r="G19" s="281" t="e">
        <f>COUNTIFS('2023년 신조차 고장관리 세부현황'!$AL$5:$AL$31,$B$19,'2023년 신조차 고장관리 세부현황'!#REF!,'필드오픈이슈 연계현황_2'!$D19,'2023년 신조차 고장관리 세부현황'!#REF!,'필드오픈이슈 연계현황_2'!G$2)</f>
        <v>#REF!</v>
      </c>
      <c r="H19" s="281" t="e">
        <f>COUNTIFS('2023년 신조차 고장관리 세부현황'!$AL$5:$AL$31,$B$19,'2023년 신조차 고장관리 세부현황'!#REF!,'필드오픈이슈 연계현황_2'!$D19,'2023년 신조차 고장관리 세부현황'!#REF!,'필드오픈이슈 연계현황_2'!H$2)</f>
        <v>#REF!</v>
      </c>
      <c r="I19" s="281" t="e">
        <f>COUNTIFS('2023년 신조차 고장관리 세부현황'!$AL$5:$AL$31,$B$19,'2023년 신조차 고장관리 세부현황'!#REF!,'필드오픈이슈 연계현황_2'!$D19,'2023년 신조차 고장관리 세부현황'!#REF!,'필드오픈이슈 연계현황_2'!I$2)</f>
        <v>#REF!</v>
      </c>
      <c r="J19" s="282"/>
      <c r="K19" s="282"/>
    </row>
    <row r="20" spans="1:11" ht="18.600000000000001" customHeight="1" x14ac:dyDescent="0.4">
      <c r="A20" s="471"/>
      <c r="B20" s="307"/>
      <c r="C20" s="474"/>
      <c r="D20" s="278" t="s">
        <v>499</v>
      </c>
      <c r="E20" s="279" t="e">
        <f t="shared" si="2"/>
        <v>#REF!</v>
      </c>
      <c r="F20" s="281" t="e">
        <f>COUNTIFS('2023년 신조차 고장관리 세부현황'!$AL$5:$AL$31,$B$19,'2023년 신조차 고장관리 세부현황'!#REF!,'필드오픈이슈 연계현황_2'!$D20,'2023년 신조차 고장관리 세부현황'!#REF!,'필드오픈이슈 연계현황_2'!F$2)</f>
        <v>#REF!</v>
      </c>
      <c r="G20" s="281" t="e">
        <f>COUNTIFS('2023년 신조차 고장관리 세부현황'!$AL$5:$AL$31,$B$19,'2023년 신조차 고장관리 세부현황'!#REF!,'필드오픈이슈 연계현황_2'!$D20,'2023년 신조차 고장관리 세부현황'!#REF!,'필드오픈이슈 연계현황_2'!G$2)</f>
        <v>#REF!</v>
      </c>
      <c r="H20" s="281" t="e">
        <f>COUNTIFS('2023년 신조차 고장관리 세부현황'!$AL$5:$AL$31,$B$19,'2023년 신조차 고장관리 세부현황'!#REF!,'필드오픈이슈 연계현황_2'!$D20,'2023년 신조차 고장관리 세부현황'!#REF!,'필드오픈이슈 연계현황_2'!H$2)</f>
        <v>#REF!</v>
      </c>
      <c r="I20" s="281" t="e">
        <f>COUNTIFS('2023년 신조차 고장관리 세부현황'!$AL$5:$AL$31,$B$19,'2023년 신조차 고장관리 세부현황'!#REF!,'필드오픈이슈 연계현황_2'!$D20,'2023년 신조차 고장관리 세부현황'!#REF!,'필드오픈이슈 연계현황_2'!I$2)</f>
        <v>#REF!</v>
      </c>
      <c r="J20" s="282"/>
      <c r="K20" s="282"/>
    </row>
    <row r="21" spans="1:11" ht="18.600000000000001" customHeight="1" x14ac:dyDescent="0.4">
      <c r="A21" s="471"/>
      <c r="B21" s="307"/>
      <c r="C21" s="474"/>
      <c r="D21" s="280" t="s">
        <v>500</v>
      </c>
      <c r="E21" s="279" t="e">
        <f t="shared" si="2"/>
        <v>#REF!</v>
      </c>
      <c r="F21" s="281" t="e">
        <f>COUNTIFS('2023년 신조차 고장관리 세부현황'!$AL$5:$AL$31,$B$19,'2023년 신조차 고장관리 세부현황'!#REF!,'필드오픈이슈 연계현황_2'!$D21,'2023년 신조차 고장관리 세부현황'!#REF!,'필드오픈이슈 연계현황_2'!F$2)</f>
        <v>#REF!</v>
      </c>
      <c r="G21" s="281" t="e">
        <f>COUNTIFS('2023년 신조차 고장관리 세부현황'!$AL$5:$AL$31,$B$19,'2023년 신조차 고장관리 세부현황'!#REF!,'필드오픈이슈 연계현황_2'!$D21,'2023년 신조차 고장관리 세부현황'!#REF!,'필드오픈이슈 연계현황_2'!G$2)</f>
        <v>#REF!</v>
      </c>
      <c r="H21" s="281" t="e">
        <f>COUNTIFS('2023년 신조차 고장관리 세부현황'!$AL$5:$AL$31,$B$19,'2023년 신조차 고장관리 세부현황'!#REF!,'필드오픈이슈 연계현황_2'!$D21,'2023년 신조차 고장관리 세부현황'!#REF!,'필드오픈이슈 연계현황_2'!H$2)</f>
        <v>#REF!</v>
      </c>
      <c r="I21" s="281" t="e">
        <f>COUNTIFS('2023년 신조차 고장관리 세부현황'!$AL$5:$AL$31,$B$19,'2023년 신조차 고장관리 세부현황'!#REF!,'필드오픈이슈 연계현황_2'!$D21,'2023년 신조차 고장관리 세부현황'!#REF!,'필드오픈이슈 연계현황_2'!I$2)</f>
        <v>#REF!</v>
      </c>
      <c r="J21" s="282"/>
      <c r="K21" s="282"/>
    </row>
    <row r="22" spans="1:11" ht="18.600000000000001" customHeight="1" x14ac:dyDescent="0.4">
      <c r="A22" s="471"/>
      <c r="B22" s="307" t="s">
        <v>78</v>
      </c>
      <c r="C22" s="474" t="s">
        <v>508</v>
      </c>
      <c r="D22" s="278" t="s">
        <v>498</v>
      </c>
      <c r="E22" s="279" t="e">
        <f t="shared" si="2"/>
        <v>#REF!</v>
      </c>
      <c r="F22" s="281" t="e">
        <f>COUNTIFS('2023년 신조차 고장관리 세부현황'!$AL$5:$AL$31,$B$22,'2023년 신조차 고장관리 세부현황'!#REF!,'필드오픈이슈 연계현황_2'!$D22,'2023년 신조차 고장관리 세부현황'!#REF!,'필드오픈이슈 연계현황_2'!F$2)</f>
        <v>#REF!</v>
      </c>
      <c r="G22" s="281" t="e">
        <f>COUNTIFS('2023년 신조차 고장관리 세부현황'!$AL$5:$AL$31,$B$22,'2023년 신조차 고장관리 세부현황'!#REF!,'필드오픈이슈 연계현황_2'!$D22,'2023년 신조차 고장관리 세부현황'!#REF!,'필드오픈이슈 연계현황_2'!G$2)</f>
        <v>#REF!</v>
      </c>
      <c r="H22" s="281" t="e">
        <f>COUNTIFS('2023년 신조차 고장관리 세부현황'!$AL$5:$AL$31,$B$22,'2023년 신조차 고장관리 세부현황'!#REF!,'필드오픈이슈 연계현황_2'!$D22,'2023년 신조차 고장관리 세부현황'!#REF!,'필드오픈이슈 연계현황_2'!H$2)</f>
        <v>#REF!</v>
      </c>
      <c r="I22" s="281" t="e">
        <f>COUNTIFS('2023년 신조차 고장관리 세부현황'!$AL$5:$AL$31,$B$22,'2023년 신조차 고장관리 세부현황'!#REF!,'필드오픈이슈 연계현황_2'!$D22,'2023년 신조차 고장관리 세부현황'!#REF!,'필드오픈이슈 연계현황_2'!I$2)</f>
        <v>#REF!</v>
      </c>
      <c r="J22" s="282"/>
      <c r="K22" s="282"/>
    </row>
    <row r="23" spans="1:11" ht="18.600000000000001" customHeight="1" x14ac:dyDescent="0.4">
      <c r="A23" s="471"/>
      <c r="B23" s="307"/>
      <c r="C23" s="474"/>
      <c r="D23" s="278" t="s">
        <v>499</v>
      </c>
      <c r="E23" s="279" t="e">
        <f t="shared" si="2"/>
        <v>#REF!</v>
      </c>
      <c r="F23" s="281" t="e">
        <f>COUNTIFS('2023년 신조차 고장관리 세부현황'!$AL$5:$AL$31,$B$22,'2023년 신조차 고장관리 세부현황'!#REF!,'필드오픈이슈 연계현황_2'!$D23,'2023년 신조차 고장관리 세부현황'!#REF!,'필드오픈이슈 연계현황_2'!F$2)</f>
        <v>#REF!</v>
      </c>
      <c r="G23" s="281" t="e">
        <f>COUNTIFS('2023년 신조차 고장관리 세부현황'!$AL$5:$AL$31,$B$22,'2023년 신조차 고장관리 세부현황'!#REF!,'필드오픈이슈 연계현황_2'!$D23,'2023년 신조차 고장관리 세부현황'!#REF!,'필드오픈이슈 연계현황_2'!G$2)</f>
        <v>#REF!</v>
      </c>
      <c r="H23" s="281" t="e">
        <f>COUNTIFS('2023년 신조차 고장관리 세부현황'!$AL$5:$AL$31,$B$22,'2023년 신조차 고장관리 세부현황'!#REF!,'필드오픈이슈 연계현황_2'!$D23,'2023년 신조차 고장관리 세부현황'!#REF!,'필드오픈이슈 연계현황_2'!H$2)</f>
        <v>#REF!</v>
      </c>
      <c r="I23" s="281" t="e">
        <f>COUNTIFS('2023년 신조차 고장관리 세부현황'!$AL$5:$AL$31,$B$22,'2023년 신조차 고장관리 세부현황'!#REF!,'필드오픈이슈 연계현황_2'!$D23,'2023년 신조차 고장관리 세부현황'!#REF!,'필드오픈이슈 연계현황_2'!I$2)</f>
        <v>#REF!</v>
      </c>
      <c r="J23" s="282"/>
      <c r="K23" s="282"/>
    </row>
    <row r="24" spans="1:11" ht="18.600000000000001" customHeight="1" x14ac:dyDescent="0.4">
      <c r="A24" s="471"/>
      <c r="B24" s="307"/>
      <c r="C24" s="474"/>
      <c r="D24" s="280" t="s">
        <v>500</v>
      </c>
      <c r="E24" s="279" t="e">
        <f t="shared" si="2"/>
        <v>#REF!</v>
      </c>
      <c r="F24" s="281" t="e">
        <f>COUNTIFS('2023년 신조차 고장관리 세부현황'!$AL$5:$AL$31,$B$22,'2023년 신조차 고장관리 세부현황'!#REF!,'필드오픈이슈 연계현황_2'!$D24,'2023년 신조차 고장관리 세부현황'!#REF!,'필드오픈이슈 연계현황_2'!F$2)</f>
        <v>#REF!</v>
      </c>
      <c r="G24" s="281" t="e">
        <f>COUNTIFS('2023년 신조차 고장관리 세부현황'!$AL$5:$AL$31,$B$22,'2023년 신조차 고장관리 세부현황'!#REF!,'필드오픈이슈 연계현황_2'!$D24,'2023년 신조차 고장관리 세부현황'!#REF!,'필드오픈이슈 연계현황_2'!G$2)</f>
        <v>#REF!</v>
      </c>
      <c r="H24" s="281" t="e">
        <f>COUNTIFS('2023년 신조차 고장관리 세부현황'!$AL$5:$AL$31,$B$22,'2023년 신조차 고장관리 세부현황'!#REF!,'필드오픈이슈 연계현황_2'!$D24,'2023년 신조차 고장관리 세부현황'!#REF!,'필드오픈이슈 연계현황_2'!H$2)</f>
        <v>#REF!</v>
      </c>
      <c r="I24" s="281" t="e">
        <f>COUNTIFS('2023년 신조차 고장관리 세부현황'!$AL$5:$AL$31,$B$22,'2023년 신조차 고장관리 세부현황'!#REF!,'필드오픈이슈 연계현황_2'!$D24,'2023년 신조차 고장관리 세부현황'!#REF!,'필드오픈이슈 연계현황_2'!I$2)</f>
        <v>#REF!</v>
      </c>
      <c r="J24" s="282"/>
      <c r="K24" s="282"/>
    </row>
    <row r="25" spans="1:11" ht="18.600000000000001" customHeight="1" x14ac:dyDescent="0.4">
      <c r="A25" s="471"/>
      <c r="B25" s="307" t="s">
        <v>513</v>
      </c>
      <c r="C25" s="287" t="s">
        <v>509</v>
      </c>
      <c r="D25" s="288"/>
      <c r="E25" s="289"/>
      <c r="F25" s="290"/>
      <c r="G25" s="475" t="s">
        <v>510</v>
      </c>
      <c r="H25" s="476"/>
      <c r="I25" s="476"/>
      <c r="J25" s="476"/>
      <c r="K25" s="291"/>
    </row>
    <row r="26" spans="1:11" ht="18.600000000000001" customHeight="1" x14ac:dyDescent="0.4">
      <c r="A26" s="472"/>
      <c r="B26" s="307"/>
      <c r="C26" s="477" t="s">
        <v>503</v>
      </c>
      <c r="D26" s="283" t="s">
        <v>498</v>
      </c>
      <c r="E26" s="284" t="e">
        <f t="shared" ref="E26:J28" si="3">SUM(E16,E19,E22)</f>
        <v>#REF!</v>
      </c>
      <c r="F26" s="285" t="e">
        <f t="shared" si="3"/>
        <v>#REF!</v>
      </c>
      <c r="G26" s="286" t="e">
        <f t="shared" si="3"/>
        <v>#REF!</v>
      </c>
      <c r="H26" s="286" t="e">
        <f t="shared" si="3"/>
        <v>#REF!</v>
      </c>
      <c r="I26" s="286" t="e">
        <f t="shared" si="3"/>
        <v>#REF!</v>
      </c>
      <c r="J26" s="286">
        <f t="shared" si="3"/>
        <v>0</v>
      </c>
      <c r="K26" s="286"/>
    </row>
    <row r="27" spans="1:11" ht="18.600000000000001" customHeight="1" x14ac:dyDescent="0.4">
      <c r="A27" s="473"/>
      <c r="B27" s="308"/>
      <c r="C27" s="478"/>
      <c r="D27" s="292" t="s">
        <v>499</v>
      </c>
      <c r="E27" s="293" t="e">
        <f t="shared" si="3"/>
        <v>#REF!</v>
      </c>
      <c r="F27" s="294" t="e">
        <f t="shared" si="3"/>
        <v>#REF!</v>
      </c>
      <c r="G27" s="295" t="e">
        <f t="shared" si="3"/>
        <v>#REF!</v>
      </c>
      <c r="H27" s="295" t="e">
        <f t="shared" si="3"/>
        <v>#REF!</v>
      </c>
      <c r="I27" s="295" t="e">
        <f t="shared" si="3"/>
        <v>#REF!</v>
      </c>
      <c r="J27" s="295">
        <f t="shared" si="3"/>
        <v>0</v>
      </c>
      <c r="K27" s="295"/>
    </row>
    <row r="28" spans="1:11" ht="18.600000000000001" customHeight="1" x14ac:dyDescent="0.4">
      <c r="A28" s="473"/>
      <c r="B28" s="308"/>
      <c r="C28" s="479"/>
      <c r="D28" s="292" t="s">
        <v>500</v>
      </c>
      <c r="E28" s="293" t="e">
        <f t="shared" si="3"/>
        <v>#REF!</v>
      </c>
      <c r="F28" s="294" t="e">
        <f t="shared" si="3"/>
        <v>#REF!</v>
      </c>
      <c r="G28" s="295" t="e">
        <f t="shared" si="3"/>
        <v>#REF!</v>
      </c>
      <c r="H28" s="295" t="e">
        <f t="shared" si="3"/>
        <v>#REF!</v>
      </c>
      <c r="I28" s="295" t="e">
        <f t="shared" si="3"/>
        <v>#REF!</v>
      </c>
      <c r="J28" s="295">
        <f t="shared" si="3"/>
        <v>0</v>
      </c>
      <c r="K28" s="295"/>
    </row>
    <row r="29" spans="1:11" ht="28.2" customHeight="1" x14ac:dyDescent="0.4">
      <c r="A29" s="465" t="s">
        <v>511</v>
      </c>
      <c r="B29" s="466"/>
      <c r="C29" s="466"/>
      <c r="D29" s="296" t="s">
        <v>498</v>
      </c>
      <c r="E29" s="297" t="e">
        <f t="shared" ref="E29:J31" si="4">SUM(E13,E26)</f>
        <v>#REF!</v>
      </c>
      <c r="F29" s="298" t="e">
        <f t="shared" si="4"/>
        <v>#REF!</v>
      </c>
      <c r="G29" s="299" t="e">
        <f t="shared" si="4"/>
        <v>#REF!</v>
      </c>
      <c r="H29" s="299" t="e">
        <f t="shared" si="4"/>
        <v>#REF!</v>
      </c>
      <c r="I29" s="299" t="e">
        <f t="shared" si="4"/>
        <v>#REF!</v>
      </c>
      <c r="J29" s="299">
        <f t="shared" si="4"/>
        <v>0</v>
      </c>
      <c r="K29" s="297"/>
    </row>
    <row r="30" spans="1:11" ht="28.2" customHeight="1" x14ac:dyDescent="0.4">
      <c r="A30" s="467"/>
      <c r="B30" s="468"/>
      <c r="C30" s="468"/>
      <c r="D30" s="300" t="s">
        <v>499</v>
      </c>
      <c r="E30" s="301" t="e">
        <f t="shared" si="4"/>
        <v>#REF!</v>
      </c>
      <c r="F30" s="302" t="e">
        <f t="shared" si="4"/>
        <v>#REF!</v>
      </c>
      <c r="G30" s="303" t="e">
        <f t="shared" si="4"/>
        <v>#REF!</v>
      </c>
      <c r="H30" s="303" t="e">
        <f t="shared" si="4"/>
        <v>#REF!</v>
      </c>
      <c r="I30" s="303" t="e">
        <f t="shared" si="4"/>
        <v>#REF!</v>
      </c>
      <c r="J30" s="303">
        <f t="shared" si="4"/>
        <v>0</v>
      </c>
      <c r="K30" s="301"/>
    </row>
    <row r="31" spans="1:11" ht="28.2" customHeight="1" x14ac:dyDescent="0.4">
      <c r="A31" s="469"/>
      <c r="B31" s="470"/>
      <c r="C31" s="470"/>
      <c r="D31" s="304" t="s">
        <v>500</v>
      </c>
      <c r="E31" s="301" t="e">
        <f t="shared" si="4"/>
        <v>#REF!</v>
      </c>
      <c r="F31" s="302" t="e">
        <f t="shared" si="4"/>
        <v>#REF!</v>
      </c>
      <c r="G31" s="303" t="e">
        <f t="shared" si="4"/>
        <v>#REF!</v>
      </c>
      <c r="H31" s="303" t="e">
        <f t="shared" si="4"/>
        <v>#REF!</v>
      </c>
      <c r="I31" s="303" t="e">
        <f t="shared" si="4"/>
        <v>#REF!</v>
      </c>
      <c r="J31" s="303">
        <f t="shared" si="4"/>
        <v>0</v>
      </c>
      <c r="K31" s="301"/>
    </row>
  </sheetData>
  <mergeCells count="13">
    <mergeCell ref="G25:J25"/>
    <mergeCell ref="C26:C28"/>
    <mergeCell ref="D3:E3"/>
    <mergeCell ref="A4:A15"/>
    <mergeCell ref="C4:C6"/>
    <mergeCell ref="C7:C9"/>
    <mergeCell ref="C10:C12"/>
    <mergeCell ref="C13:C15"/>
    <mergeCell ref="A29:C31"/>
    <mergeCell ref="A16:A28"/>
    <mergeCell ref="C16:C18"/>
    <mergeCell ref="C19:C21"/>
    <mergeCell ref="C22:C24"/>
  </mergeCells>
  <phoneticPr fontId="3" type="noConversion"/>
  <printOptions horizontalCentered="1"/>
  <pageMargins left="0.39370078740157483" right="0.39370078740157483" top="0.74803149606299213" bottom="0.74803149606299213" header="0.31496062992125984" footer="0.31496062992125984"/>
  <pageSetup paperSize="9" scale="78" fitToWidth="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E80"/>
  <sheetViews>
    <sheetView topLeftCell="G40" zoomScaleNormal="100" workbookViewId="0">
      <selection activeCell="Z71" sqref="Z71"/>
    </sheetView>
  </sheetViews>
  <sheetFormatPr defaultColWidth="9" defaultRowHeight="13.2" x14ac:dyDescent="0.4"/>
  <cols>
    <col min="1" max="1" width="3.5" style="16" customWidth="1"/>
    <col min="2" max="2" width="8.69921875" style="16" customWidth="1"/>
    <col min="3" max="4" width="10" style="16" customWidth="1"/>
    <col min="5" max="6" width="6.69921875" style="16" customWidth="1"/>
    <col min="7" max="8" width="10" style="16" customWidth="1"/>
    <col min="9" max="10" width="6.69921875" style="16" customWidth="1"/>
    <col min="11" max="12" width="10" style="16" customWidth="1"/>
    <col min="13" max="13" width="13.3984375" style="16" bestFit="1" customWidth="1"/>
    <col min="14" max="14" width="6.69921875" style="16" customWidth="1"/>
    <col min="15" max="15" width="2.8984375" style="16" customWidth="1"/>
    <col min="16" max="25" width="9" style="16"/>
    <col min="26" max="26" width="13.19921875" style="16" customWidth="1"/>
    <col min="27" max="27" width="10.5" style="16" bestFit="1" customWidth="1"/>
    <col min="28" max="28" width="9" style="141"/>
    <col min="29" max="16384" width="9" style="16"/>
  </cols>
  <sheetData>
    <row r="1" spans="2:31" ht="21.75" customHeight="1" x14ac:dyDescent="0.4"/>
    <row r="2" spans="2:31" ht="21.75" customHeight="1" x14ac:dyDescent="0.4">
      <c r="C2" s="485" t="s">
        <v>69</v>
      </c>
      <c r="D2" s="485"/>
      <c r="E2" s="485"/>
      <c r="F2" s="485"/>
      <c r="G2" s="485" t="s">
        <v>70</v>
      </c>
      <c r="H2" s="485"/>
      <c r="I2" s="485"/>
      <c r="J2" s="485"/>
      <c r="K2" s="485" t="s">
        <v>70</v>
      </c>
      <c r="L2" s="485"/>
      <c r="M2" s="485"/>
      <c r="N2" s="485"/>
      <c r="S2" s="42" t="s">
        <v>53</v>
      </c>
      <c r="T2" s="42" t="s">
        <v>59</v>
      </c>
      <c r="U2" s="42" t="s">
        <v>56</v>
      </c>
      <c r="V2" s="42" t="s">
        <v>57</v>
      </c>
      <c r="W2" s="42" t="s">
        <v>58</v>
      </c>
      <c r="X2" s="42" t="s">
        <v>55</v>
      </c>
      <c r="Y2" s="42" t="s">
        <v>54</v>
      </c>
      <c r="Z2" s="42" t="s">
        <v>72</v>
      </c>
      <c r="AA2" s="42" t="s">
        <v>158</v>
      </c>
      <c r="AB2" s="42" t="s">
        <v>183</v>
      </c>
    </row>
    <row r="3" spans="2:31" ht="16.5" customHeight="1" x14ac:dyDescent="0.4">
      <c r="B3" s="488" t="s">
        <v>35</v>
      </c>
      <c r="C3" s="490" t="s">
        <v>36</v>
      </c>
      <c r="D3" s="491"/>
      <c r="E3" s="491"/>
      <c r="F3" s="491"/>
      <c r="G3" s="491"/>
      <c r="H3" s="491"/>
      <c r="I3" s="491"/>
      <c r="J3" s="491"/>
      <c r="K3" s="491"/>
      <c r="L3" s="491"/>
      <c r="M3" s="491"/>
      <c r="N3" s="492"/>
      <c r="R3" s="16">
        <v>1</v>
      </c>
      <c r="S3" s="30">
        <v>319008</v>
      </c>
      <c r="T3" s="30">
        <f>VALUE(LEFT(S3,3)&amp;RIGHT(S3,2))</f>
        <v>31908</v>
      </c>
      <c r="U3" s="31">
        <v>43861</v>
      </c>
      <c r="V3" s="32">
        <v>6</v>
      </c>
      <c r="W3" s="32" t="s">
        <v>45</v>
      </c>
      <c r="X3" s="41" t="s">
        <v>29</v>
      </c>
      <c r="Y3" s="41" t="s">
        <v>33</v>
      </c>
      <c r="Z3" s="41" t="s">
        <v>73</v>
      </c>
      <c r="AA3" s="41" t="s">
        <v>159</v>
      </c>
      <c r="AB3" s="142">
        <v>43861</v>
      </c>
    </row>
    <row r="4" spans="2:31" ht="16.5" customHeight="1" x14ac:dyDescent="0.4">
      <c r="B4" s="489"/>
      <c r="C4" s="493" t="s">
        <v>37</v>
      </c>
      <c r="D4" s="493"/>
      <c r="E4" s="493"/>
      <c r="F4" s="493"/>
      <c r="G4" s="494" t="s">
        <v>38</v>
      </c>
      <c r="H4" s="494"/>
      <c r="I4" s="494"/>
      <c r="J4" s="494"/>
      <c r="K4" s="494" t="s">
        <v>39</v>
      </c>
      <c r="L4" s="494"/>
      <c r="M4" s="494"/>
      <c r="N4" s="494"/>
      <c r="R4" s="16">
        <v>1</v>
      </c>
      <c r="S4" s="30">
        <v>319009</v>
      </c>
      <c r="T4" s="30">
        <f t="shared" ref="T4:T70" si="0">VALUE(LEFT(S4,3)&amp;RIGHT(S4,2))</f>
        <v>31909</v>
      </c>
      <c r="U4" s="31">
        <v>43867</v>
      </c>
      <c r="V4" s="32">
        <v>6</v>
      </c>
      <c r="W4" s="32" t="s">
        <v>45</v>
      </c>
      <c r="X4" s="41" t="s">
        <v>29</v>
      </c>
      <c r="Y4" s="41" t="s">
        <v>33</v>
      </c>
      <c r="Z4" s="41" t="s">
        <v>73</v>
      </c>
      <c r="AA4" s="41" t="s">
        <v>159</v>
      </c>
      <c r="AB4" s="142">
        <v>43867</v>
      </c>
    </row>
    <row r="5" spans="2:31" ht="16.5" customHeight="1" thickBot="1" x14ac:dyDescent="0.45">
      <c r="B5" s="17" t="s">
        <v>40</v>
      </c>
      <c r="C5" s="18" t="s">
        <v>41</v>
      </c>
      <c r="D5" s="18" t="s">
        <v>42</v>
      </c>
      <c r="E5" s="18" t="s">
        <v>43</v>
      </c>
      <c r="F5" s="18" t="s">
        <v>44</v>
      </c>
      <c r="G5" s="19" t="s">
        <v>41</v>
      </c>
      <c r="H5" s="19" t="s">
        <v>42</v>
      </c>
      <c r="I5" s="19" t="s">
        <v>43</v>
      </c>
      <c r="J5" s="19" t="s">
        <v>44</v>
      </c>
      <c r="K5" s="19" t="s">
        <v>41</v>
      </c>
      <c r="L5" s="19" t="s">
        <v>42</v>
      </c>
      <c r="M5" s="19" t="s">
        <v>43</v>
      </c>
      <c r="N5" s="19" t="s">
        <v>44</v>
      </c>
      <c r="R5" s="16">
        <v>1</v>
      </c>
      <c r="S5" s="145">
        <v>319010</v>
      </c>
      <c r="T5" s="145">
        <f t="shared" si="0"/>
        <v>31910</v>
      </c>
      <c r="U5" s="146">
        <v>43867</v>
      </c>
      <c r="V5" s="147">
        <v>6</v>
      </c>
      <c r="W5" s="147" t="s">
        <v>45</v>
      </c>
      <c r="X5" s="148" t="s">
        <v>29</v>
      </c>
      <c r="Y5" s="148" t="s">
        <v>33</v>
      </c>
      <c r="Z5" s="148" t="s">
        <v>73</v>
      </c>
      <c r="AA5" s="148" t="s">
        <v>159</v>
      </c>
      <c r="AB5" s="149">
        <v>43867</v>
      </c>
    </row>
    <row r="6" spans="2:31" s="29" customFormat="1" ht="16.5" customHeight="1" thickTop="1" x14ac:dyDescent="0.4">
      <c r="B6" s="17">
        <v>1</v>
      </c>
      <c r="C6" s="20">
        <v>319008</v>
      </c>
      <c r="D6" s="21">
        <v>43861</v>
      </c>
      <c r="E6" s="22">
        <v>6</v>
      </c>
      <c r="F6" s="22" t="s">
        <v>45</v>
      </c>
      <c r="G6" s="23">
        <v>341031</v>
      </c>
      <c r="H6" s="24">
        <v>43924</v>
      </c>
      <c r="I6" s="25">
        <v>10</v>
      </c>
      <c r="J6" s="25" t="s">
        <v>46</v>
      </c>
      <c r="K6" s="26">
        <v>312004</v>
      </c>
      <c r="L6" s="27">
        <v>43784</v>
      </c>
      <c r="M6" s="28">
        <v>10</v>
      </c>
      <c r="N6" s="28" t="s">
        <v>47</v>
      </c>
      <c r="R6" s="16">
        <v>1</v>
      </c>
      <c r="S6" s="23">
        <v>341031</v>
      </c>
      <c r="T6" s="20">
        <f t="shared" si="0"/>
        <v>34131</v>
      </c>
      <c r="U6" s="24">
        <v>43924</v>
      </c>
      <c r="V6" s="25">
        <v>10</v>
      </c>
      <c r="W6" s="25" t="s">
        <v>46</v>
      </c>
      <c r="X6" s="143" t="s">
        <v>29</v>
      </c>
      <c r="Y6" s="144" t="s">
        <v>368</v>
      </c>
      <c r="Z6" s="144" t="s">
        <v>74</v>
      </c>
      <c r="AA6" s="143" t="s">
        <v>159</v>
      </c>
      <c r="AB6" s="161">
        <v>43924</v>
      </c>
    </row>
    <row r="7" spans="2:31" s="29" customFormat="1" ht="16.5" customHeight="1" x14ac:dyDescent="0.4">
      <c r="B7" s="17">
        <v>2</v>
      </c>
      <c r="C7" s="30">
        <v>319009</v>
      </c>
      <c r="D7" s="31">
        <v>43867</v>
      </c>
      <c r="E7" s="32">
        <v>6</v>
      </c>
      <c r="F7" s="32" t="s">
        <v>45</v>
      </c>
      <c r="G7" s="33">
        <v>341032</v>
      </c>
      <c r="H7" s="34">
        <v>43937</v>
      </c>
      <c r="I7" s="35">
        <v>10</v>
      </c>
      <c r="J7" s="25" t="s">
        <v>46</v>
      </c>
      <c r="K7" s="36">
        <v>312005</v>
      </c>
      <c r="L7" s="37">
        <v>43788</v>
      </c>
      <c r="M7" s="38">
        <v>10</v>
      </c>
      <c r="N7" s="38" t="s">
        <v>47</v>
      </c>
      <c r="R7" s="16">
        <v>1</v>
      </c>
      <c r="S7" s="33">
        <v>341032</v>
      </c>
      <c r="T7" s="30">
        <f t="shared" si="0"/>
        <v>34132</v>
      </c>
      <c r="U7" s="34">
        <v>43937</v>
      </c>
      <c r="V7" s="35">
        <v>10</v>
      </c>
      <c r="W7" s="35" t="s">
        <v>47</v>
      </c>
      <c r="X7" s="41" t="s">
        <v>29</v>
      </c>
      <c r="Y7" s="43" t="s">
        <v>368</v>
      </c>
      <c r="Z7" s="43" t="s">
        <v>74</v>
      </c>
      <c r="AA7" s="41" t="s">
        <v>159</v>
      </c>
      <c r="AB7" s="161">
        <v>43937</v>
      </c>
    </row>
    <row r="8" spans="2:31" s="29" customFormat="1" ht="16.5" customHeight="1" x14ac:dyDescent="0.4">
      <c r="B8" s="17">
        <v>3</v>
      </c>
      <c r="C8" s="30">
        <v>319010</v>
      </c>
      <c r="D8" s="31">
        <v>43867</v>
      </c>
      <c r="E8" s="32">
        <v>6</v>
      </c>
      <c r="F8" s="32" t="s">
        <v>45</v>
      </c>
      <c r="G8" s="36">
        <v>341033</v>
      </c>
      <c r="H8" s="37">
        <v>43973</v>
      </c>
      <c r="I8" s="38">
        <v>10</v>
      </c>
      <c r="J8" s="28" t="s">
        <v>47</v>
      </c>
      <c r="K8" s="36">
        <v>312006</v>
      </c>
      <c r="L8" s="37">
        <v>43788</v>
      </c>
      <c r="M8" s="38">
        <v>10</v>
      </c>
      <c r="N8" s="38" t="s">
        <v>47</v>
      </c>
      <c r="R8" s="16">
        <v>1</v>
      </c>
      <c r="S8" s="36">
        <v>341033</v>
      </c>
      <c r="T8" s="30">
        <f t="shared" si="0"/>
        <v>34133</v>
      </c>
      <c r="U8" s="37">
        <v>43973</v>
      </c>
      <c r="V8" s="38">
        <v>10</v>
      </c>
      <c r="W8" s="38" t="s">
        <v>47</v>
      </c>
      <c r="X8" s="41" t="s">
        <v>29</v>
      </c>
      <c r="Y8" s="43" t="s">
        <v>368</v>
      </c>
      <c r="Z8" s="43" t="s">
        <v>74</v>
      </c>
      <c r="AA8" s="41" t="s">
        <v>159</v>
      </c>
      <c r="AB8" s="161">
        <v>43948</v>
      </c>
    </row>
    <row r="9" spans="2:31" s="29" customFormat="1" ht="16.5" customHeight="1" x14ac:dyDescent="0.4">
      <c r="B9" s="17">
        <v>4</v>
      </c>
      <c r="G9" s="33">
        <v>341034</v>
      </c>
      <c r="H9" s="34">
        <v>43948</v>
      </c>
      <c r="I9" s="35">
        <v>10</v>
      </c>
      <c r="J9" s="25" t="s">
        <v>46</v>
      </c>
      <c r="K9" s="36">
        <v>312007</v>
      </c>
      <c r="L9" s="37">
        <v>43797</v>
      </c>
      <c r="M9" s="38">
        <v>10</v>
      </c>
      <c r="N9" s="38" t="s">
        <v>47</v>
      </c>
      <c r="R9" s="16">
        <v>1</v>
      </c>
      <c r="S9" s="33">
        <v>341034</v>
      </c>
      <c r="T9" s="30">
        <f t="shared" si="0"/>
        <v>34134</v>
      </c>
      <c r="U9" s="34">
        <v>43948</v>
      </c>
      <c r="V9" s="35">
        <v>10</v>
      </c>
      <c r="W9" s="35" t="s">
        <v>47</v>
      </c>
      <c r="X9" s="41" t="s">
        <v>29</v>
      </c>
      <c r="Y9" s="43" t="s">
        <v>368</v>
      </c>
      <c r="Z9" s="43" t="s">
        <v>74</v>
      </c>
      <c r="AA9" s="41" t="s">
        <v>159</v>
      </c>
      <c r="AB9" s="161">
        <v>43963</v>
      </c>
    </row>
    <row r="10" spans="2:31" s="29" customFormat="1" ht="16.5" customHeight="1" x14ac:dyDescent="0.4">
      <c r="B10" s="17">
        <v>5</v>
      </c>
      <c r="G10" s="36">
        <v>341035</v>
      </c>
      <c r="H10" s="37">
        <v>44046</v>
      </c>
      <c r="I10" s="38">
        <v>10</v>
      </c>
      <c r="J10" s="28" t="s">
        <v>45</v>
      </c>
      <c r="R10" s="16">
        <v>1</v>
      </c>
      <c r="S10" s="36">
        <v>341035</v>
      </c>
      <c r="T10" s="30">
        <f t="shared" si="0"/>
        <v>34135</v>
      </c>
      <c r="U10" s="37">
        <v>44046</v>
      </c>
      <c r="V10" s="38">
        <v>10</v>
      </c>
      <c r="W10" s="38" t="s">
        <v>45</v>
      </c>
      <c r="X10" s="41" t="s">
        <v>29</v>
      </c>
      <c r="Y10" s="43" t="s">
        <v>368</v>
      </c>
      <c r="Z10" s="43" t="s">
        <v>74</v>
      </c>
      <c r="AA10" s="41" t="s">
        <v>159</v>
      </c>
      <c r="AB10" s="161">
        <v>43973</v>
      </c>
    </row>
    <row r="11" spans="2:31" s="29" customFormat="1" ht="16.5" customHeight="1" x14ac:dyDescent="0.4">
      <c r="B11" s="17">
        <v>6</v>
      </c>
      <c r="G11" s="33">
        <v>341036</v>
      </c>
      <c r="H11" s="34">
        <v>43963</v>
      </c>
      <c r="I11" s="35">
        <v>10</v>
      </c>
      <c r="J11" s="25" t="s">
        <v>46</v>
      </c>
      <c r="R11" s="16">
        <v>1</v>
      </c>
      <c r="S11" s="33">
        <v>341036</v>
      </c>
      <c r="T11" s="30">
        <f t="shared" si="0"/>
        <v>34136</v>
      </c>
      <c r="U11" s="34">
        <v>43963</v>
      </c>
      <c r="V11" s="35">
        <v>10</v>
      </c>
      <c r="W11" s="35" t="s">
        <v>47</v>
      </c>
      <c r="X11" s="41" t="s">
        <v>29</v>
      </c>
      <c r="Y11" s="43" t="s">
        <v>368</v>
      </c>
      <c r="Z11" s="43" t="s">
        <v>74</v>
      </c>
      <c r="AA11" s="41" t="s">
        <v>159</v>
      </c>
      <c r="AB11" s="161">
        <v>44008</v>
      </c>
    </row>
    <row r="12" spans="2:31" s="29" customFormat="1" ht="16.5" customHeight="1" thickBot="1" x14ac:dyDescent="0.45">
      <c r="B12" s="17">
        <v>7</v>
      </c>
      <c r="G12" s="61">
        <v>341037</v>
      </c>
      <c r="H12" s="62">
        <v>43963</v>
      </c>
      <c r="I12" s="63">
        <v>10</v>
      </c>
      <c r="J12" s="64" t="s">
        <v>45</v>
      </c>
      <c r="R12" s="16">
        <v>1</v>
      </c>
      <c r="S12" s="150">
        <v>341037</v>
      </c>
      <c r="T12" s="145">
        <f t="shared" si="0"/>
        <v>34137</v>
      </c>
      <c r="U12" s="151">
        <v>43963</v>
      </c>
      <c r="V12" s="152">
        <v>10</v>
      </c>
      <c r="W12" s="152" t="s">
        <v>45</v>
      </c>
      <c r="X12" s="148" t="s">
        <v>29</v>
      </c>
      <c r="Y12" s="153" t="s">
        <v>368</v>
      </c>
      <c r="Z12" s="153" t="s">
        <v>74</v>
      </c>
      <c r="AA12" s="148" t="s">
        <v>159</v>
      </c>
      <c r="AB12" s="162">
        <v>44046</v>
      </c>
      <c r="AD12" s="29" t="s">
        <v>721</v>
      </c>
    </row>
    <row r="13" spans="2:31" s="29" customFormat="1" ht="16.5" customHeight="1" thickTop="1" x14ac:dyDescent="0.4">
      <c r="C13" s="484" t="s">
        <v>30</v>
      </c>
      <c r="D13" s="484"/>
      <c r="E13" s="484"/>
      <c r="F13" s="484"/>
      <c r="G13" s="484" t="s">
        <v>31</v>
      </c>
      <c r="H13" s="484"/>
      <c r="I13" s="484"/>
      <c r="J13" s="484"/>
      <c r="K13" s="484" t="s">
        <v>32</v>
      </c>
      <c r="L13" s="484"/>
      <c r="M13" s="484"/>
      <c r="N13" s="484"/>
      <c r="R13" s="16">
        <v>1</v>
      </c>
      <c r="S13" s="26">
        <v>312004</v>
      </c>
      <c r="T13" s="20">
        <f t="shared" si="0"/>
        <v>31204</v>
      </c>
      <c r="U13" s="27">
        <v>43784</v>
      </c>
      <c r="V13" s="28">
        <v>10</v>
      </c>
      <c r="W13" s="28" t="s">
        <v>47</v>
      </c>
      <c r="X13" s="143" t="s">
        <v>29</v>
      </c>
      <c r="Y13" s="144" t="s">
        <v>30</v>
      </c>
      <c r="Z13" s="144" t="s">
        <v>75</v>
      </c>
      <c r="AA13" s="143" t="s">
        <v>159</v>
      </c>
      <c r="AB13" s="161">
        <v>43784</v>
      </c>
      <c r="AD13" s="376">
        <v>43861</v>
      </c>
      <c r="AE13" s="376">
        <v>45188</v>
      </c>
    </row>
    <row r="14" spans="2:31" ht="16.5" customHeight="1" x14ac:dyDescent="0.4">
      <c r="B14" s="488" t="s">
        <v>35</v>
      </c>
      <c r="C14" s="490" t="s">
        <v>48</v>
      </c>
      <c r="D14" s="491"/>
      <c r="E14" s="491"/>
      <c r="F14" s="491"/>
      <c r="G14" s="491"/>
      <c r="H14" s="491"/>
      <c r="I14" s="491"/>
      <c r="J14" s="491"/>
      <c r="K14" s="491"/>
      <c r="L14" s="491"/>
      <c r="M14" s="491"/>
      <c r="N14" s="492"/>
      <c r="R14" s="16">
        <v>1</v>
      </c>
      <c r="S14" s="36">
        <v>312005</v>
      </c>
      <c r="T14" s="30">
        <f t="shared" si="0"/>
        <v>31205</v>
      </c>
      <c r="U14" s="37">
        <v>43788</v>
      </c>
      <c r="V14" s="38">
        <v>10</v>
      </c>
      <c r="W14" s="38" t="s">
        <v>47</v>
      </c>
      <c r="X14" s="41" t="s">
        <v>29</v>
      </c>
      <c r="Y14" s="43" t="s">
        <v>30</v>
      </c>
      <c r="Z14" s="43" t="s">
        <v>75</v>
      </c>
      <c r="AA14" s="41" t="s">
        <v>159</v>
      </c>
      <c r="AB14" s="142">
        <v>43788</v>
      </c>
      <c r="AD14" s="140"/>
      <c r="AE14" s="29">
        <f>AE13-AD13</f>
        <v>1327</v>
      </c>
    </row>
    <row r="15" spans="2:31" ht="16.5" customHeight="1" x14ac:dyDescent="0.4">
      <c r="B15" s="489"/>
      <c r="C15" s="493" t="s">
        <v>49</v>
      </c>
      <c r="D15" s="493"/>
      <c r="E15" s="493"/>
      <c r="F15" s="493"/>
      <c r="G15" s="494" t="s">
        <v>50</v>
      </c>
      <c r="H15" s="494"/>
      <c r="I15" s="494"/>
      <c r="J15" s="494"/>
      <c r="K15" s="494" t="s">
        <v>51</v>
      </c>
      <c r="L15" s="494"/>
      <c r="M15" s="494"/>
      <c r="N15" s="494"/>
      <c r="R15" s="16">
        <v>1</v>
      </c>
      <c r="S15" s="36">
        <v>312006</v>
      </c>
      <c r="T15" s="30">
        <f t="shared" si="0"/>
        <v>31206</v>
      </c>
      <c r="U15" s="37">
        <v>43788</v>
      </c>
      <c r="V15" s="38">
        <v>10</v>
      </c>
      <c r="W15" s="38" t="s">
        <v>47</v>
      </c>
      <c r="X15" s="41" t="s">
        <v>29</v>
      </c>
      <c r="Y15" s="43" t="s">
        <v>30</v>
      </c>
      <c r="Z15" s="43" t="s">
        <v>75</v>
      </c>
      <c r="AA15" s="41" t="s">
        <v>159</v>
      </c>
      <c r="AB15" s="142">
        <v>43788</v>
      </c>
      <c r="AD15" s="140"/>
    </row>
    <row r="16" spans="2:31" ht="16.5" customHeight="1" thickBot="1" x14ac:dyDescent="0.45">
      <c r="B16" s="17" t="s">
        <v>40</v>
      </c>
      <c r="C16" s="18" t="s">
        <v>41</v>
      </c>
      <c r="D16" s="18" t="s">
        <v>42</v>
      </c>
      <c r="E16" s="18" t="s">
        <v>43</v>
      </c>
      <c r="F16" s="18" t="s">
        <v>44</v>
      </c>
      <c r="G16" s="19" t="s">
        <v>41</v>
      </c>
      <c r="H16" s="19" t="s">
        <v>42</v>
      </c>
      <c r="I16" s="19" t="s">
        <v>43</v>
      </c>
      <c r="J16" s="19" t="s">
        <v>44</v>
      </c>
      <c r="K16" s="19" t="s">
        <v>41</v>
      </c>
      <c r="L16" s="19" t="s">
        <v>42</v>
      </c>
      <c r="M16" s="19" t="s">
        <v>43</v>
      </c>
      <c r="N16" s="19" t="s">
        <v>44</v>
      </c>
      <c r="R16" s="16">
        <v>1</v>
      </c>
      <c r="S16" s="150">
        <v>312007</v>
      </c>
      <c r="T16" s="145">
        <f t="shared" si="0"/>
        <v>31207</v>
      </c>
      <c r="U16" s="151">
        <v>43797</v>
      </c>
      <c r="V16" s="152">
        <v>10</v>
      </c>
      <c r="W16" s="152" t="s">
        <v>47</v>
      </c>
      <c r="X16" s="148" t="s">
        <v>29</v>
      </c>
      <c r="Y16" s="153" t="s">
        <v>30</v>
      </c>
      <c r="Z16" s="153" t="s">
        <v>75</v>
      </c>
      <c r="AA16" s="148" t="s">
        <v>159</v>
      </c>
      <c r="AB16" s="149">
        <v>43797</v>
      </c>
      <c r="AD16" s="16" t="s">
        <v>720</v>
      </c>
    </row>
    <row r="17" spans="2:31" s="29" customFormat="1" ht="16.5" customHeight="1" thickTop="1" x14ac:dyDescent="0.4">
      <c r="B17" s="17">
        <v>1</v>
      </c>
      <c r="C17" s="36">
        <v>312008</v>
      </c>
      <c r="D17" s="37">
        <v>44547</v>
      </c>
      <c r="E17" s="22">
        <v>10</v>
      </c>
      <c r="F17" s="22" t="s">
        <v>47</v>
      </c>
      <c r="G17" s="36">
        <v>341038</v>
      </c>
      <c r="H17" s="37">
        <v>44681</v>
      </c>
      <c r="I17" s="38">
        <v>10</v>
      </c>
      <c r="J17" s="28" t="s">
        <v>45</v>
      </c>
      <c r="K17" s="36">
        <v>351044</v>
      </c>
      <c r="L17" s="37">
        <v>44651</v>
      </c>
      <c r="M17" s="38">
        <v>6</v>
      </c>
      <c r="N17" s="28" t="s">
        <v>52</v>
      </c>
      <c r="R17" s="16">
        <v>1</v>
      </c>
      <c r="S17" s="26">
        <v>312008</v>
      </c>
      <c r="T17" s="20">
        <f t="shared" si="0"/>
        <v>31208</v>
      </c>
      <c r="U17" s="27">
        <v>44547</v>
      </c>
      <c r="V17" s="22">
        <v>10</v>
      </c>
      <c r="W17" s="22" t="s">
        <v>47</v>
      </c>
      <c r="X17" s="143" t="s">
        <v>29</v>
      </c>
      <c r="Y17" s="144" t="s">
        <v>30</v>
      </c>
      <c r="Z17" s="144" t="s">
        <v>76</v>
      </c>
      <c r="AA17" s="143" t="s">
        <v>160</v>
      </c>
      <c r="AB17" s="161">
        <v>44561</v>
      </c>
      <c r="AD17" s="376">
        <v>44561</v>
      </c>
      <c r="AE17" s="376">
        <v>45188</v>
      </c>
    </row>
    <row r="18" spans="2:31" s="29" customFormat="1" ht="16.5" customHeight="1" x14ac:dyDescent="0.4">
      <c r="B18" s="17">
        <v>2</v>
      </c>
      <c r="C18" s="36">
        <v>312009</v>
      </c>
      <c r="D18" s="37">
        <v>44560</v>
      </c>
      <c r="E18" s="22">
        <v>10</v>
      </c>
      <c r="F18" s="22" t="s">
        <v>47</v>
      </c>
      <c r="G18" s="36">
        <v>341039</v>
      </c>
      <c r="H18" s="37">
        <v>44712</v>
      </c>
      <c r="I18" s="38">
        <v>10</v>
      </c>
      <c r="J18" s="28" t="s">
        <v>45</v>
      </c>
      <c r="K18" s="36">
        <v>351045</v>
      </c>
      <c r="L18" s="37">
        <v>44651</v>
      </c>
      <c r="M18" s="38">
        <v>6</v>
      </c>
      <c r="N18" s="28" t="s">
        <v>52</v>
      </c>
      <c r="R18" s="16">
        <v>1</v>
      </c>
      <c r="S18" s="36">
        <v>312009</v>
      </c>
      <c r="T18" s="30">
        <f t="shared" si="0"/>
        <v>31209</v>
      </c>
      <c r="U18" s="37">
        <v>44560</v>
      </c>
      <c r="V18" s="32">
        <v>10</v>
      </c>
      <c r="W18" s="32" t="s">
        <v>47</v>
      </c>
      <c r="X18" s="41" t="s">
        <v>29</v>
      </c>
      <c r="Y18" s="43" t="s">
        <v>30</v>
      </c>
      <c r="Z18" s="43" t="s">
        <v>76</v>
      </c>
      <c r="AA18" s="41" t="s">
        <v>160</v>
      </c>
      <c r="AB18" s="161">
        <v>44561</v>
      </c>
      <c r="AE18" s="29">
        <f>AE17-AD17</f>
        <v>627</v>
      </c>
    </row>
    <row r="19" spans="2:31" s="29" customFormat="1" ht="16.5" customHeight="1" x14ac:dyDescent="0.4">
      <c r="B19" s="17">
        <v>3</v>
      </c>
      <c r="C19" s="36">
        <v>312010</v>
      </c>
      <c r="D19" s="37">
        <v>44560</v>
      </c>
      <c r="E19" s="22">
        <v>10</v>
      </c>
      <c r="F19" s="22" t="s">
        <v>47</v>
      </c>
      <c r="G19" s="36">
        <v>341040</v>
      </c>
      <c r="H19" s="37">
        <v>44712</v>
      </c>
      <c r="I19" s="38">
        <v>10</v>
      </c>
      <c r="J19" s="28" t="s">
        <v>45</v>
      </c>
      <c r="K19" s="36">
        <v>351046</v>
      </c>
      <c r="L19" s="37">
        <v>44712</v>
      </c>
      <c r="M19" s="38">
        <v>6</v>
      </c>
      <c r="N19" s="28" t="s">
        <v>52</v>
      </c>
      <c r="R19" s="16">
        <v>1</v>
      </c>
      <c r="S19" s="36">
        <v>312010</v>
      </c>
      <c r="T19" s="30">
        <f t="shared" si="0"/>
        <v>31210</v>
      </c>
      <c r="U19" s="37">
        <v>44560</v>
      </c>
      <c r="V19" s="32">
        <v>10</v>
      </c>
      <c r="W19" s="32" t="s">
        <v>47</v>
      </c>
      <c r="X19" s="41" t="s">
        <v>29</v>
      </c>
      <c r="Y19" s="43" t="s">
        <v>30</v>
      </c>
      <c r="Z19" s="43" t="s">
        <v>76</v>
      </c>
      <c r="AA19" s="41" t="s">
        <v>160</v>
      </c>
      <c r="AB19" s="161">
        <v>44561</v>
      </c>
    </row>
    <row r="20" spans="2:31" s="29" customFormat="1" ht="16.5" customHeight="1" x14ac:dyDescent="0.4">
      <c r="B20" s="17">
        <v>4</v>
      </c>
      <c r="C20" s="36">
        <v>312011</v>
      </c>
      <c r="D20" s="37">
        <v>44595</v>
      </c>
      <c r="E20" s="22">
        <v>10</v>
      </c>
      <c r="F20" s="22" t="s">
        <v>47</v>
      </c>
      <c r="G20" s="33">
        <v>341041</v>
      </c>
      <c r="H20" s="34">
        <v>44742</v>
      </c>
      <c r="I20" s="35">
        <v>10</v>
      </c>
      <c r="J20" s="25" t="s">
        <v>46</v>
      </c>
      <c r="K20" s="36">
        <v>351047</v>
      </c>
      <c r="L20" s="37">
        <v>44712</v>
      </c>
      <c r="M20" s="38">
        <v>6</v>
      </c>
      <c r="N20" s="28" t="s">
        <v>52</v>
      </c>
      <c r="R20" s="16">
        <v>1</v>
      </c>
      <c r="S20" s="36">
        <v>312011</v>
      </c>
      <c r="T20" s="30">
        <f t="shared" si="0"/>
        <v>31211</v>
      </c>
      <c r="U20" s="37">
        <v>44595</v>
      </c>
      <c r="V20" s="32">
        <v>10</v>
      </c>
      <c r="W20" s="32" t="s">
        <v>47</v>
      </c>
      <c r="X20" s="41" t="s">
        <v>29</v>
      </c>
      <c r="Y20" s="43" t="s">
        <v>30</v>
      </c>
      <c r="Z20" s="43" t="s">
        <v>76</v>
      </c>
      <c r="AA20" s="41" t="s">
        <v>160</v>
      </c>
      <c r="AB20" s="163">
        <v>44592</v>
      </c>
    </row>
    <row r="21" spans="2:31" s="29" customFormat="1" ht="16.5" customHeight="1" x14ac:dyDescent="0.4">
      <c r="B21" s="17">
        <v>5</v>
      </c>
      <c r="C21" s="36">
        <v>312012</v>
      </c>
      <c r="D21" s="37">
        <v>44602</v>
      </c>
      <c r="E21" s="22">
        <v>10</v>
      </c>
      <c r="F21" s="22" t="s">
        <v>47</v>
      </c>
      <c r="G21" s="36">
        <v>341042</v>
      </c>
      <c r="H21" s="37">
        <v>44742</v>
      </c>
      <c r="I21" s="38">
        <v>10</v>
      </c>
      <c r="J21" s="28" t="s">
        <v>45</v>
      </c>
      <c r="K21" s="36">
        <v>351048</v>
      </c>
      <c r="L21" s="37">
        <v>44742</v>
      </c>
      <c r="M21" s="38">
        <v>6</v>
      </c>
      <c r="N21" s="28" t="s">
        <v>52</v>
      </c>
      <c r="R21" s="16">
        <v>1</v>
      </c>
      <c r="S21" s="36">
        <v>312012</v>
      </c>
      <c r="T21" s="30">
        <f t="shared" si="0"/>
        <v>31212</v>
      </c>
      <c r="U21" s="37">
        <v>44602</v>
      </c>
      <c r="V21" s="32">
        <v>10</v>
      </c>
      <c r="W21" s="32" t="s">
        <v>47</v>
      </c>
      <c r="X21" s="41" t="s">
        <v>29</v>
      </c>
      <c r="Y21" s="43" t="s">
        <v>30</v>
      </c>
      <c r="Z21" s="43" t="s">
        <v>76</v>
      </c>
      <c r="AA21" s="41" t="s">
        <v>160</v>
      </c>
      <c r="AB21" s="161">
        <v>44592</v>
      </c>
    </row>
    <row r="22" spans="2:31" s="29" customFormat="1" ht="16.5" customHeight="1" x14ac:dyDescent="0.4">
      <c r="B22" s="17">
        <v>6</v>
      </c>
      <c r="C22" s="36">
        <v>312013</v>
      </c>
      <c r="D22" s="37">
        <v>44602</v>
      </c>
      <c r="E22" s="22">
        <v>10</v>
      </c>
      <c r="F22" s="22" t="s">
        <v>47</v>
      </c>
      <c r="G22" s="36">
        <v>341043</v>
      </c>
      <c r="H22" s="37">
        <v>44820</v>
      </c>
      <c r="I22" s="38">
        <v>10</v>
      </c>
      <c r="J22" s="28" t="s">
        <v>45</v>
      </c>
      <c r="K22" s="36">
        <v>351049</v>
      </c>
      <c r="L22" s="37">
        <v>44742</v>
      </c>
      <c r="M22" s="38">
        <v>6</v>
      </c>
      <c r="N22" s="28" t="s">
        <v>52</v>
      </c>
      <c r="R22" s="16">
        <v>1</v>
      </c>
      <c r="S22" s="36">
        <v>312013</v>
      </c>
      <c r="T22" s="30">
        <f t="shared" si="0"/>
        <v>31213</v>
      </c>
      <c r="U22" s="37">
        <v>44602</v>
      </c>
      <c r="V22" s="32">
        <v>10</v>
      </c>
      <c r="W22" s="32" t="s">
        <v>47</v>
      </c>
      <c r="X22" s="41" t="s">
        <v>29</v>
      </c>
      <c r="Y22" s="43" t="s">
        <v>30</v>
      </c>
      <c r="Z22" s="43" t="s">
        <v>76</v>
      </c>
      <c r="AA22" s="41" t="s">
        <v>160</v>
      </c>
      <c r="AB22" s="161">
        <v>44592</v>
      </c>
      <c r="AD22" s="376">
        <f>SUM(AB17:AB18)</f>
        <v>89122</v>
      </c>
    </row>
    <row r="23" spans="2:31" s="29" customFormat="1" ht="16.5" customHeight="1" x14ac:dyDescent="0.4">
      <c r="B23" s="17">
        <v>7</v>
      </c>
      <c r="C23" s="33">
        <v>312014</v>
      </c>
      <c r="D23" s="34">
        <v>44620</v>
      </c>
      <c r="E23" s="39">
        <v>10</v>
      </c>
      <c r="F23" s="39" t="s">
        <v>46</v>
      </c>
      <c r="G23" s="33">
        <v>341044</v>
      </c>
      <c r="H23" s="34">
        <v>44773</v>
      </c>
      <c r="I23" s="35">
        <v>10</v>
      </c>
      <c r="J23" s="25" t="s">
        <v>47</v>
      </c>
      <c r="K23" s="36">
        <v>351050</v>
      </c>
      <c r="L23" s="37">
        <v>44771</v>
      </c>
      <c r="M23" s="38">
        <v>6</v>
      </c>
      <c r="N23" s="28" t="s">
        <v>52</v>
      </c>
      <c r="R23" s="16">
        <v>1</v>
      </c>
      <c r="S23" s="33">
        <v>312014</v>
      </c>
      <c r="T23" s="30">
        <f t="shared" si="0"/>
        <v>31214</v>
      </c>
      <c r="U23" s="34">
        <v>44620</v>
      </c>
      <c r="V23" s="40">
        <v>10</v>
      </c>
      <c r="W23" s="40" t="s">
        <v>46</v>
      </c>
      <c r="X23" s="41" t="s">
        <v>29</v>
      </c>
      <c r="Y23" s="43" t="s">
        <v>30</v>
      </c>
      <c r="Z23" s="43" t="s">
        <v>76</v>
      </c>
      <c r="AA23" s="41" t="s">
        <v>160</v>
      </c>
      <c r="AB23" s="161">
        <v>44620</v>
      </c>
      <c r="AD23" s="29">
        <v>2</v>
      </c>
    </row>
    <row r="24" spans="2:31" s="29" customFormat="1" ht="16.5" customHeight="1" thickBot="1" x14ac:dyDescent="0.45">
      <c r="B24" s="17">
        <v>8</v>
      </c>
      <c r="C24" s="33">
        <v>312015</v>
      </c>
      <c r="D24" s="34">
        <v>44622</v>
      </c>
      <c r="E24" s="39">
        <v>10</v>
      </c>
      <c r="F24" s="39" t="s">
        <v>46</v>
      </c>
      <c r="G24" s="36">
        <v>341045</v>
      </c>
      <c r="H24" s="37"/>
      <c r="I24" s="38">
        <v>10</v>
      </c>
      <c r="J24" s="28" t="s">
        <v>46</v>
      </c>
      <c r="K24" s="36">
        <v>351051</v>
      </c>
      <c r="L24" s="37">
        <v>44771</v>
      </c>
      <c r="M24" s="38">
        <v>6</v>
      </c>
      <c r="N24" s="28" t="s">
        <v>52</v>
      </c>
      <c r="R24" s="16">
        <v>1</v>
      </c>
      <c r="S24" s="155">
        <v>312015</v>
      </c>
      <c r="T24" s="145">
        <f t="shared" si="0"/>
        <v>31215</v>
      </c>
      <c r="U24" s="156">
        <v>44622</v>
      </c>
      <c r="V24" s="157">
        <v>10</v>
      </c>
      <c r="W24" s="157" t="s">
        <v>46</v>
      </c>
      <c r="X24" s="148" t="s">
        <v>29</v>
      </c>
      <c r="Y24" s="153" t="s">
        <v>30</v>
      </c>
      <c r="Z24" s="153" t="s">
        <v>76</v>
      </c>
      <c r="AA24" s="148" t="s">
        <v>160</v>
      </c>
      <c r="AB24" s="162">
        <v>44620</v>
      </c>
      <c r="AD24" s="376">
        <f>AD22/AD23</f>
        <v>44561</v>
      </c>
    </row>
    <row r="25" spans="2:31" ht="16.5" customHeight="1" thickTop="1" x14ac:dyDescent="0.4">
      <c r="B25" s="17">
        <v>9</v>
      </c>
      <c r="G25" s="36">
        <v>341046</v>
      </c>
      <c r="H25" s="37">
        <v>44773</v>
      </c>
      <c r="I25" s="38">
        <v>10</v>
      </c>
      <c r="J25" s="28" t="s">
        <v>45</v>
      </c>
      <c r="K25" s="36">
        <v>351052</v>
      </c>
      <c r="L25" s="37">
        <v>44804</v>
      </c>
      <c r="M25" s="38">
        <v>6</v>
      </c>
      <c r="N25" s="28" t="s">
        <v>52</v>
      </c>
      <c r="R25" s="16">
        <v>1</v>
      </c>
      <c r="S25" s="26">
        <v>341038</v>
      </c>
      <c r="T25" s="20">
        <f t="shared" si="0"/>
        <v>34138</v>
      </c>
      <c r="U25" s="27">
        <v>44681</v>
      </c>
      <c r="V25" s="28">
        <v>10</v>
      </c>
      <c r="W25" s="28" t="s">
        <v>45</v>
      </c>
      <c r="X25" s="143" t="s">
        <v>29</v>
      </c>
      <c r="Y25" s="143" t="s">
        <v>31</v>
      </c>
      <c r="Z25" s="143" t="s">
        <v>77</v>
      </c>
      <c r="AA25" s="143" t="s">
        <v>160</v>
      </c>
      <c r="AB25" s="142">
        <v>44651</v>
      </c>
    </row>
    <row r="26" spans="2:31" ht="16.5" customHeight="1" x14ac:dyDescent="0.4">
      <c r="B26" s="17">
        <v>10</v>
      </c>
      <c r="G26" s="36">
        <v>341047</v>
      </c>
      <c r="H26" s="37">
        <v>44865</v>
      </c>
      <c r="I26" s="38">
        <v>10</v>
      </c>
      <c r="J26" s="28" t="s">
        <v>45</v>
      </c>
      <c r="K26" s="36">
        <v>351053</v>
      </c>
      <c r="L26" s="37">
        <v>44811</v>
      </c>
      <c r="M26" s="38">
        <v>6</v>
      </c>
      <c r="N26" s="28" t="s">
        <v>52</v>
      </c>
      <c r="R26" s="16">
        <v>1</v>
      </c>
      <c r="S26" s="36">
        <v>341039</v>
      </c>
      <c r="T26" s="30">
        <f t="shared" si="0"/>
        <v>34139</v>
      </c>
      <c r="U26" s="37">
        <v>44712</v>
      </c>
      <c r="V26" s="38">
        <v>10</v>
      </c>
      <c r="W26" s="28" t="s">
        <v>45</v>
      </c>
      <c r="X26" s="41" t="s">
        <v>29</v>
      </c>
      <c r="Y26" s="41" t="s">
        <v>31</v>
      </c>
      <c r="Z26" s="41" t="s">
        <v>77</v>
      </c>
      <c r="AA26" s="41" t="s">
        <v>160</v>
      </c>
      <c r="AB26" s="142">
        <v>44651</v>
      </c>
    </row>
    <row r="27" spans="2:31" ht="16.5" customHeight="1" x14ac:dyDescent="0.4">
      <c r="B27" s="17">
        <v>11</v>
      </c>
      <c r="G27" s="36">
        <v>341048</v>
      </c>
      <c r="H27" s="37">
        <v>44904</v>
      </c>
      <c r="I27" s="38">
        <v>10</v>
      </c>
      <c r="J27" s="28" t="s">
        <v>46</v>
      </c>
      <c r="K27" s="36">
        <v>351054</v>
      </c>
      <c r="L27" s="37">
        <v>44834</v>
      </c>
      <c r="M27" s="38">
        <v>6</v>
      </c>
      <c r="N27" s="28" t="s">
        <v>52</v>
      </c>
      <c r="R27" s="16">
        <v>1</v>
      </c>
      <c r="S27" s="36">
        <v>341040</v>
      </c>
      <c r="T27" s="30">
        <f t="shared" si="0"/>
        <v>34140</v>
      </c>
      <c r="U27" s="37">
        <v>44712</v>
      </c>
      <c r="V27" s="38">
        <v>10</v>
      </c>
      <c r="W27" s="28" t="s">
        <v>45</v>
      </c>
      <c r="X27" s="41" t="s">
        <v>29</v>
      </c>
      <c r="Y27" s="41" t="s">
        <v>31</v>
      </c>
      <c r="Z27" s="41" t="s">
        <v>77</v>
      </c>
      <c r="AA27" s="41" t="s">
        <v>160</v>
      </c>
      <c r="AB27" s="142">
        <v>44712</v>
      </c>
      <c r="AD27" s="140">
        <f>SUM(AB17:AB60)</f>
        <v>1970295</v>
      </c>
    </row>
    <row r="28" spans="2:31" ht="16.5" customHeight="1" x14ac:dyDescent="0.4">
      <c r="B28" s="17">
        <v>12</v>
      </c>
      <c r="G28" s="36">
        <v>341049</v>
      </c>
      <c r="H28" s="37">
        <v>44904</v>
      </c>
      <c r="I28" s="38">
        <v>10</v>
      </c>
      <c r="J28" s="28" t="s">
        <v>46</v>
      </c>
      <c r="K28" s="36">
        <v>351055</v>
      </c>
      <c r="L28" s="37">
        <v>44834</v>
      </c>
      <c r="M28" s="38">
        <v>6</v>
      </c>
      <c r="N28" s="28" t="s">
        <v>52</v>
      </c>
      <c r="R28" s="16">
        <v>1</v>
      </c>
      <c r="S28" s="33">
        <v>341041</v>
      </c>
      <c r="T28" s="30">
        <f t="shared" si="0"/>
        <v>34141</v>
      </c>
      <c r="U28" s="34">
        <v>44742</v>
      </c>
      <c r="V28" s="35">
        <v>10</v>
      </c>
      <c r="W28" s="25" t="s">
        <v>46</v>
      </c>
      <c r="X28" s="41" t="s">
        <v>29</v>
      </c>
      <c r="Y28" s="41" t="s">
        <v>31</v>
      </c>
      <c r="Z28" s="41" t="s">
        <v>77</v>
      </c>
      <c r="AA28" s="41" t="s">
        <v>160</v>
      </c>
      <c r="AB28" s="142">
        <v>44712</v>
      </c>
      <c r="AD28" s="16">
        <v>44</v>
      </c>
    </row>
    <row r="29" spans="2:31" ht="16.5" customHeight="1" x14ac:dyDescent="0.4">
      <c r="B29" s="17">
        <v>13</v>
      </c>
      <c r="G29" s="36">
        <v>341050</v>
      </c>
      <c r="H29" s="37"/>
      <c r="I29" s="38">
        <v>10</v>
      </c>
      <c r="J29" s="28" t="s">
        <v>46</v>
      </c>
      <c r="K29" s="36">
        <v>351056</v>
      </c>
      <c r="L29" s="37">
        <v>44865</v>
      </c>
      <c r="M29" s="38">
        <v>6</v>
      </c>
      <c r="N29" s="28" t="s">
        <v>52</v>
      </c>
      <c r="R29" s="16">
        <v>1</v>
      </c>
      <c r="S29" s="36">
        <v>341042</v>
      </c>
      <c r="T29" s="30">
        <f t="shared" si="0"/>
        <v>34142</v>
      </c>
      <c r="U29" s="37">
        <v>44742</v>
      </c>
      <c r="V29" s="38">
        <v>10</v>
      </c>
      <c r="W29" s="28" t="s">
        <v>45</v>
      </c>
      <c r="X29" s="41" t="s">
        <v>29</v>
      </c>
      <c r="Y29" s="41" t="s">
        <v>31</v>
      </c>
      <c r="Z29" s="41" t="s">
        <v>77</v>
      </c>
      <c r="AA29" s="41" t="s">
        <v>160</v>
      </c>
      <c r="AB29" s="142">
        <v>44742</v>
      </c>
      <c r="AD29" s="140">
        <f>AD27/AD28</f>
        <v>44779.431818181816</v>
      </c>
    </row>
    <row r="30" spans="2:31" ht="16.5" customHeight="1" x14ac:dyDescent="0.4">
      <c r="B30" s="17">
        <v>14</v>
      </c>
      <c r="G30" s="36">
        <v>341051</v>
      </c>
      <c r="H30" s="37"/>
      <c r="I30" s="38">
        <v>10</v>
      </c>
      <c r="J30" s="28" t="s">
        <v>46</v>
      </c>
      <c r="K30" s="36">
        <v>351057</v>
      </c>
      <c r="L30" s="37">
        <v>44895</v>
      </c>
      <c r="M30" s="38">
        <v>6</v>
      </c>
      <c r="N30" s="28" t="s">
        <v>52</v>
      </c>
      <c r="R30" s="16">
        <v>1</v>
      </c>
      <c r="S30" s="36">
        <v>341043</v>
      </c>
      <c r="T30" s="30">
        <f t="shared" si="0"/>
        <v>34143</v>
      </c>
      <c r="U30" s="37">
        <v>44820</v>
      </c>
      <c r="V30" s="38">
        <v>10</v>
      </c>
      <c r="W30" s="28" t="s">
        <v>45</v>
      </c>
      <c r="X30" s="41" t="s">
        <v>29</v>
      </c>
      <c r="Y30" s="41" t="s">
        <v>31</v>
      </c>
      <c r="Z30" s="41" t="s">
        <v>77</v>
      </c>
      <c r="AA30" s="41" t="s">
        <v>160</v>
      </c>
      <c r="AB30" s="142">
        <v>44742</v>
      </c>
    </row>
    <row r="31" spans="2:31" ht="16.5" customHeight="1" x14ac:dyDescent="0.4">
      <c r="B31" s="17">
        <v>15</v>
      </c>
      <c r="G31" s="36">
        <v>341052</v>
      </c>
      <c r="H31" s="37"/>
      <c r="I31" s="38">
        <v>10</v>
      </c>
      <c r="J31" s="28" t="s">
        <v>46</v>
      </c>
      <c r="K31" s="36">
        <v>351058</v>
      </c>
      <c r="L31" s="37">
        <v>44923</v>
      </c>
      <c r="M31" s="38">
        <v>6</v>
      </c>
      <c r="N31" s="28" t="s">
        <v>52</v>
      </c>
      <c r="R31" s="16">
        <v>1</v>
      </c>
      <c r="S31" s="33">
        <v>341044</v>
      </c>
      <c r="T31" s="30">
        <f t="shared" si="0"/>
        <v>34144</v>
      </c>
      <c r="U31" s="34">
        <v>44773</v>
      </c>
      <c r="V31" s="35">
        <v>10</v>
      </c>
      <c r="W31" s="25" t="s">
        <v>47</v>
      </c>
      <c r="X31" s="41" t="s">
        <v>29</v>
      </c>
      <c r="Y31" s="41" t="s">
        <v>31</v>
      </c>
      <c r="Z31" s="41" t="s">
        <v>77</v>
      </c>
      <c r="AA31" s="41" t="s">
        <v>160</v>
      </c>
      <c r="AB31" s="142">
        <v>44773</v>
      </c>
    </row>
    <row r="32" spans="2:31" ht="16.5" customHeight="1" x14ac:dyDescent="0.4">
      <c r="B32" s="17">
        <v>16</v>
      </c>
      <c r="G32" s="36">
        <v>341053</v>
      </c>
      <c r="H32" s="37"/>
      <c r="I32" s="38">
        <v>10</v>
      </c>
      <c r="J32" s="28" t="s">
        <v>47</v>
      </c>
      <c r="K32" s="36">
        <v>351059</v>
      </c>
      <c r="L32" s="37"/>
      <c r="M32" s="38">
        <v>6</v>
      </c>
      <c r="N32" s="28" t="s">
        <v>52</v>
      </c>
      <c r="R32" s="16">
        <v>1</v>
      </c>
      <c r="S32" s="36">
        <v>341045</v>
      </c>
      <c r="T32" s="30">
        <f t="shared" si="0"/>
        <v>34145</v>
      </c>
      <c r="U32" s="37"/>
      <c r="V32" s="38">
        <v>10</v>
      </c>
      <c r="W32" s="28" t="s">
        <v>46</v>
      </c>
      <c r="X32" s="41" t="s">
        <v>29</v>
      </c>
      <c r="Y32" s="41" t="s">
        <v>31</v>
      </c>
      <c r="Z32" s="41" t="s">
        <v>77</v>
      </c>
      <c r="AA32" s="41" t="s">
        <v>160</v>
      </c>
      <c r="AB32" s="142">
        <v>44773</v>
      </c>
    </row>
    <row r="33" spans="2:28" ht="16.5" customHeight="1" x14ac:dyDescent="0.4">
      <c r="B33" s="17">
        <v>17</v>
      </c>
      <c r="G33" s="36">
        <v>341054</v>
      </c>
      <c r="H33" s="37"/>
      <c r="I33" s="38">
        <v>10</v>
      </c>
      <c r="J33" s="28" t="s">
        <v>47</v>
      </c>
      <c r="K33" s="36">
        <v>351060</v>
      </c>
      <c r="L33" s="37"/>
      <c r="M33" s="38">
        <v>6</v>
      </c>
      <c r="N33" s="28" t="s">
        <v>52</v>
      </c>
      <c r="R33" s="16">
        <v>1</v>
      </c>
      <c r="S33" s="36">
        <v>341046</v>
      </c>
      <c r="T33" s="30">
        <f t="shared" si="0"/>
        <v>34146</v>
      </c>
      <c r="U33" s="37">
        <v>44773</v>
      </c>
      <c r="V33" s="38">
        <v>10</v>
      </c>
      <c r="W33" s="28" t="s">
        <v>45</v>
      </c>
      <c r="X33" s="41" t="s">
        <v>29</v>
      </c>
      <c r="Y33" s="41" t="s">
        <v>31</v>
      </c>
      <c r="Z33" s="41" t="s">
        <v>77</v>
      </c>
      <c r="AA33" s="41" t="s">
        <v>160</v>
      </c>
      <c r="AB33" s="142">
        <v>44804</v>
      </c>
    </row>
    <row r="34" spans="2:28" ht="16.5" customHeight="1" x14ac:dyDescent="0.4">
      <c r="B34" s="17">
        <v>18</v>
      </c>
      <c r="G34" s="36">
        <v>341055</v>
      </c>
      <c r="H34" s="37"/>
      <c r="I34" s="38">
        <v>10</v>
      </c>
      <c r="J34" s="28" t="s">
        <v>47</v>
      </c>
      <c r="K34" s="36">
        <v>351079</v>
      </c>
      <c r="L34" s="37"/>
      <c r="M34" s="38">
        <v>6</v>
      </c>
      <c r="N34" s="28" t="s">
        <v>52</v>
      </c>
      <c r="R34" s="16">
        <v>1</v>
      </c>
      <c r="S34" s="36">
        <v>341047</v>
      </c>
      <c r="T34" s="30">
        <f t="shared" si="0"/>
        <v>34147</v>
      </c>
      <c r="U34" s="37">
        <v>44865</v>
      </c>
      <c r="V34" s="38">
        <v>10</v>
      </c>
      <c r="W34" s="28" t="s">
        <v>45</v>
      </c>
      <c r="X34" s="41" t="s">
        <v>29</v>
      </c>
      <c r="Y34" s="41" t="s">
        <v>31</v>
      </c>
      <c r="Z34" s="41" t="s">
        <v>77</v>
      </c>
      <c r="AA34" s="41" t="s">
        <v>160</v>
      </c>
      <c r="AB34" s="142">
        <v>44804</v>
      </c>
    </row>
    <row r="35" spans="2:28" ht="16.5" customHeight="1" x14ac:dyDescent="0.4">
      <c r="R35" s="16">
        <v>1</v>
      </c>
      <c r="S35" s="36">
        <v>341048</v>
      </c>
      <c r="T35" s="30">
        <f t="shared" si="0"/>
        <v>34148</v>
      </c>
      <c r="U35" s="37">
        <v>44904</v>
      </c>
      <c r="V35" s="38">
        <v>10</v>
      </c>
      <c r="W35" s="28" t="s">
        <v>46</v>
      </c>
      <c r="X35" s="41" t="s">
        <v>29</v>
      </c>
      <c r="Y35" s="41" t="s">
        <v>31</v>
      </c>
      <c r="Z35" s="41" t="s">
        <v>77</v>
      </c>
      <c r="AA35" s="41" t="s">
        <v>160</v>
      </c>
      <c r="AB35" s="142">
        <v>44834</v>
      </c>
    </row>
    <row r="36" spans="2:28" ht="26.25" customHeight="1" x14ac:dyDescent="0.4">
      <c r="R36" s="16">
        <v>1</v>
      </c>
      <c r="S36" s="36">
        <v>341049</v>
      </c>
      <c r="T36" s="30">
        <f t="shared" si="0"/>
        <v>34149</v>
      </c>
      <c r="U36" s="37">
        <v>44904</v>
      </c>
      <c r="V36" s="38">
        <v>10</v>
      </c>
      <c r="W36" s="28" t="s">
        <v>46</v>
      </c>
      <c r="X36" s="41" t="s">
        <v>29</v>
      </c>
      <c r="Y36" s="41" t="s">
        <v>31</v>
      </c>
      <c r="Z36" s="41" t="s">
        <v>77</v>
      </c>
      <c r="AA36" s="41" t="s">
        <v>160</v>
      </c>
      <c r="AB36" s="142">
        <v>44834</v>
      </c>
    </row>
    <row r="37" spans="2:28" ht="26.25" customHeight="1" x14ac:dyDescent="0.4">
      <c r="R37" s="16">
        <v>1</v>
      </c>
      <c r="S37" s="36">
        <v>341050</v>
      </c>
      <c r="T37" s="30">
        <f t="shared" si="0"/>
        <v>34150</v>
      </c>
      <c r="U37" s="37"/>
      <c r="V37" s="38">
        <v>10</v>
      </c>
      <c r="W37" s="28" t="s">
        <v>46</v>
      </c>
      <c r="X37" s="41" t="s">
        <v>29</v>
      </c>
      <c r="Y37" s="41" t="s">
        <v>31</v>
      </c>
      <c r="Z37" s="41" t="s">
        <v>77</v>
      </c>
      <c r="AA37" s="41" t="s">
        <v>160</v>
      </c>
      <c r="AB37" s="142">
        <v>44865</v>
      </c>
    </row>
    <row r="38" spans="2:28" ht="26.25" customHeight="1" x14ac:dyDescent="0.4">
      <c r="R38" s="16">
        <v>1</v>
      </c>
      <c r="S38" s="36">
        <v>341051</v>
      </c>
      <c r="T38" s="30">
        <f t="shared" si="0"/>
        <v>34151</v>
      </c>
      <c r="U38" s="37"/>
      <c r="V38" s="38">
        <v>10</v>
      </c>
      <c r="W38" s="28" t="s">
        <v>46</v>
      </c>
      <c r="X38" s="41" t="s">
        <v>29</v>
      </c>
      <c r="Y38" s="41" t="s">
        <v>31</v>
      </c>
      <c r="Z38" s="41" t="s">
        <v>77</v>
      </c>
      <c r="AA38" s="41" t="s">
        <v>160</v>
      </c>
      <c r="AB38" s="142">
        <v>44895</v>
      </c>
    </row>
    <row r="39" spans="2:28" x14ac:dyDescent="0.4">
      <c r="R39" s="16">
        <v>1</v>
      </c>
      <c r="S39" s="36">
        <v>341052</v>
      </c>
      <c r="T39" s="30">
        <f t="shared" si="0"/>
        <v>34152</v>
      </c>
      <c r="U39" s="37"/>
      <c r="V39" s="38">
        <v>10</v>
      </c>
      <c r="W39" s="28" t="s">
        <v>46</v>
      </c>
      <c r="X39" s="41" t="s">
        <v>29</v>
      </c>
      <c r="Y39" s="41" t="s">
        <v>31</v>
      </c>
      <c r="Z39" s="41" t="s">
        <v>77</v>
      </c>
      <c r="AA39" s="41" t="s">
        <v>160</v>
      </c>
      <c r="AB39" s="142">
        <v>44926</v>
      </c>
    </row>
    <row r="40" spans="2:28" x14ac:dyDescent="0.4">
      <c r="R40" s="16">
        <v>1</v>
      </c>
      <c r="S40" s="36">
        <v>341053</v>
      </c>
      <c r="T40" s="30">
        <f t="shared" si="0"/>
        <v>34153</v>
      </c>
      <c r="U40" s="37"/>
      <c r="V40" s="38">
        <v>10</v>
      </c>
      <c r="W40" s="28" t="s">
        <v>47</v>
      </c>
      <c r="X40" s="41" t="s">
        <v>29</v>
      </c>
      <c r="Y40" s="41" t="s">
        <v>31</v>
      </c>
      <c r="Z40" s="41" t="s">
        <v>77</v>
      </c>
      <c r="AA40" s="41" t="s">
        <v>160</v>
      </c>
      <c r="AB40" s="142">
        <v>44957</v>
      </c>
    </row>
    <row r="41" spans="2:28" x14ac:dyDescent="0.4">
      <c r="R41" s="16">
        <v>1</v>
      </c>
      <c r="S41" s="36">
        <v>341054</v>
      </c>
      <c r="T41" s="30">
        <f t="shared" si="0"/>
        <v>34154</v>
      </c>
      <c r="U41" s="37"/>
      <c r="V41" s="38">
        <v>10</v>
      </c>
      <c r="W41" s="28" t="s">
        <v>47</v>
      </c>
      <c r="X41" s="41" t="s">
        <v>29</v>
      </c>
      <c r="Y41" s="41" t="s">
        <v>31</v>
      </c>
      <c r="Z41" s="41" t="s">
        <v>77</v>
      </c>
      <c r="AA41" s="41" t="s">
        <v>160</v>
      </c>
      <c r="AB41" s="142">
        <v>44985</v>
      </c>
    </row>
    <row r="42" spans="2:28" ht="13.8" thickBot="1" x14ac:dyDescent="0.45">
      <c r="R42" s="16">
        <v>1</v>
      </c>
      <c r="S42" s="150">
        <v>341055</v>
      </c>
      <c r="T42" s="145">
        <f t="shared" si="0"/>
        <v>34155</v>
      </c>
      <c r="U42" s="151"/>
      <c r="V42" s="152">
        <v>10</v>
      </c>
      <c r="W42" s="152" t="s">
        <v>47</v>
      </c>
      <c r="X42" s="148" t="s">
        <v>29</v>
      </c>
      <c r="Y42" s="148" t="s">
        <v>31</v>
      </c>
      <c r="Z42" s="148" t="s">
        <v>77</v>
      </c>
      <c r="AA42" s="148" t="s">
        <v>160</v>
      </c>
      <c r="AB42" s="149">
        <v>45016</v>
      </c>
    </row>
    <row r="43" spans="2:28" ht="13.8" thickTop="1" x14ac:dyDescent="0.4">
      <c r="R43" s="16">
        <v>1</v>
      </c>
      <c r="S43" s="26">
        <v>351044</v>
      </c>
      <c r="T43" s="20">
        <f t="shared" si="0"/>
        <v>35144</v>
      </c>
      <c r="U43" s="27">
        <v>44651</v>
      </c>
      <c r="V43" s="28">
        <v>6</v>
      </c>
      <c r="W43" s="28" t="s">
        <v>52</v>
      </c>
      <c r="X43" s="143" t="s">
        <v>29</v>
      </c>
      <c r="Y43" s="143" t="s">
        <v>32</v>
      </c>
      <c r="Z43" s="143" t="s">
        <v>78</v>
      </c>
      <c r="AA43" s="143" t="s">
        <v>160</v>
      </c>
      <c r="AB43" s="142">
        <v>44681</v>
      </c>
    </row>
    <row r="44" spans="2:28" x14ac:dyDescent="0.4">
      <c r="R44" s="16">
        <v>1</v>
      </c>
      <c r="S44" s="36">
        <v>351045</v>
      </c>
      <c r="T44" s="30">
        <f t="shared" si="0"/>
        <v>35145</v>
      </c>
      <c r="U44" s="37">
        <v>44651</v>
      </c>
      <c r="V44" s="38">
        <v>6</v>
      </c>
      <c r="W44" s="38" t="s">
        <v>52</v>
      </c>
      <c r="X44" s="41" t="s">
        <v>29</v>
      </c>
      <c r="Y44" s="41" t="s">
        <v>32</v>
      </c>
      <c r="Z44" s="41" t="s">
        <v>78</v>
      </c>
      <c r="AA44" s="41" t="s">
        <v>160</v>
      </c>
      <c r="AB44" s="142">
        <v>44712</v>
      </c>
    </row>
    <row r="45" spans="2:28" x14ac:dyDescent="0.4">
      <c r="R45" s="16">
        <v>1</v>
      </c>
      <c r="S45" s="36">
        <v>351046</v>
      </c>
      <c r="T45" s="30">
        <f t="shared" si="0"/>
        <v>35146</v>
      </c>
      <c r="U45" s="37">
        <v>44712</v>
      </c>
      <c r="V45" s="38">
        <v>6</v>
      </c>
      <c r="W45" s="38" t="s">
        <v>52</v>
      </c>
      <c r="X45" s="41" t="s">
        <v>29</v>
      </c>
      <c r="Y45" s="41" t="s">
        <v>32</v>
      </c>
      <c r="Z45" s="41" t="s">
        <v>78</v>
      </c>
      <c r="AA45" s="41" t="s">
        <v>160</v>
      </c>
      <c r="AB45" s="142">
        <v>44712</v>
      </c>
    </row>
    <row r="46" spans="2:28" x14ac:dyDescent="0.4">
      <c r="R46" s="16">
        <v>1</v>
      </c>
      <c r="S46" s="36">
        <v>351047</v>
      </c>
      <c r="T46" s="30">
        <f t="shared" si="0"/>
        <v>35147</v>
      </c>
      <c r="U46" s="37">
        <v>44712</v>
      </c>
      <c r="V46" s="38">
        <v>6</v>
      </c>
      <c r="W46" s="38" t="s">
        <v>52</v>
      </c>
      <c r="X46" s="41" t="s">
        <v>29</v>
      </c>
      <c r="Y46" s="41" t="s">
        <v>32</v>
      </c>
      <c r="Z46" s="41" t="s">
        <v>78</v>
      </c>
      <c r="AA46" s="41" t="s">
        <v>160</v>
      </c>
      <c r="AB46" s="142">
        <v>44742</v>
      </c>
    </row>
    <row r="47" spans="2:28" x14ac:dyDescent="0.4">
      <c r="R47" s="16">
        <v>1</v>
      </c>
      <c r="S47" s="36">
        <v>351048</v>
      </c>
      <c r="T47" s="30">
        <f t="shared" si="0"/>
        <v>35148</v>
      </c>
      <c r="U47" s="37">
        <v>44742</v>
      </c>
      <c r="V47" s="38">
        <v>6</v>
      </c>
      <c r="W47" s="38" t="s">
        <v>52</v>
      </c>
      <c r="X47" s="41" t="s">
        <v>29</v>
      </c>
      <c r="Y47" s="41" t="s">
        <v>32</v>
      </c>
      <c r="Z47" s="41" t="s">
        <v>78</v>
      </c>
      <c r="AA47" s="41" t="s">
        <v>160</v>
      </c>
      <c r="AB47" s="142">
        <v>44742</v>
      </c>
    </row>
    <row r="48" spans="2:28" x14ac:dyDescent="0.4">
      <c r="R48" s="16">
        <v>1</v>
      </c>
      <c r="S48" s="36">
        <v>351049</v>
      </c>
      <c r="T48" s="30">
        <f t="shared" si="0"/>
        <v>35149</v>
      </c>
      <c r="U48" s="37">
        <v>44742</v>
      </c>
      <c r="V48" s="38">
        <v>6</v>
      </c>
      <c r="W48" s="38" t="s">
        <v>52</v>
      </c>
      <c r="X48" s="41" t="s">
        <v>29</v>
      </c>
      <c r="Y48" s="41" t="s">
        <v>32</v>
      </c>
      <c r="Z48" s="41" t="s">
        <v>78</v>
      </c>
      <c r="AA48" s="41" t="s">
        <v>160</v>
      </c>
      <c r="AB48" s="142">
        <v>44773</v>
      </c>
    </row>
    <row r="49" spans="8:28" x14ac:dyDescent="0.4">
      <c r="R49" s="16">
        <v>1</v>
      </c>
      <c r="S49" s="36">
        <v>351050</v>
      </c>
      <c r="T49" s="30">
        <f t="shared" si="0"/>
        <v>35150</v>
      </c>
      <c r="U49" s="37">
        <v>44771</v>
      </c>
      <c r="V49" s="38">
        <v>6</v>
      </c>
      <c r="W49" s="38" t="s">
        <v>52</v>
      </c>
      <c r="X49" s="41" t="s">
        <v>29</v>
      </c>
      <c r="Y49" s="41" t="s">
        <v>32</v>
      </c>
      <c r="Z49" s="41" t="s">
        <v>78</v>
      </c>
      <c r="AA49" s="41" t="s">
        <v>160</v>
      </c>
      <c r="AB49" s="142">
        <v>44773</v>
      </c>
    </row>
    <row r="50" spans="8:28" x14ac:dyDescent="0.4">
      <c r="H50" s="140">
        <f>SUM(AB43:AB60)/18</f>
        <v>44828.888888888891</v>
      </c>
      <c r="R50" s="16">
        <v>1</v>
      </c>
      <c r="S50" s="36">
        <v>351051</v>
      </c>
      <c r="T50" s="30">
        <f t="shared" si="0"/>
        <v>35151</v>
      </c>
      <c r="U50" s="37">
        <v>44771</v>
      </c>
      <c r="V50" s="38">
        <v>6</v>
      </c>
      <c r="W50" s="38" t="s">
        <v>52</v>
      </c>
      <c r="X50" s="41" t="s">
        <v>29</v>
      </c>
      <c r="Y50" s="41" t="s">
        <v>32</v>
      </c>
      <c r="Z50" s="41" t="s">
        <v>78</v>
      </c>
      <c r="AA50" s="41" t="s">
        <v>160</v>
      </c>
      <c r="AB50" s="142">
        <v>44804</v>
      </c>
    </row>
    <row r="51" spans="8:28" x14ac:dyDescent="0.4">
      <c r="R51" s="16">
        <v>1</v>
      </c>
      <c r="S51" s="36">
        <v>351052</v>
      </c>
      <c r="T51" s="30">
        <f t="shared" si="0"/>
        <v>35152</v>
      </c>
      <c r="U51" s="37">
        <v>44804</v>
      </c>
      <c r="V51" s="38">
        <v>6</v>
      </c>
      <c r="W51" s="38" t="s">
        <v>52</v>
      </c>
      <c r="X51" s="41" t="s">
        <v>29</v>
      </c>
      <c r="Y51" s="41" t="s">
        <v>32</v>
      </c>
      <c r="Z51" s="41" t="s">
        <v>78</v>
      </c>
      <c r="AA51" s="41" t="s">
        <v>160</v>
      </c>
      <c r="AB51" s="142">
        <v>44804</v>
      </c>
    </row>
    <row r="52" spans="8:28" x14ac:dyDescent="0.4">
      <c r="R52" s="16">
        <v>1</v>
      </c>
      <c r="S52" s="36">
        <v>351053</v>
      </c>
      <c r="T52" s="30">
        <f t="shared" si="0"/>
        <v>35153</v>
      </c>
      <c r="U52" s="37">
        <v>44811</v>
      </c>
      <c r="V52" s="38">
        <v>6</v>
      </c>
      <c r="W52" s="38" t="s">
        <v>52</v>
      </c>
      <c r="X52" s="41" t="s">
        <v>29</v>
      </c>
      <c r="Y52" s="41" t="s">
        <v>32</v>
      </c>
      <c r="Z52" s="41" t="s">
        <v>78</v>
      </c>
      <c r="AA52" s="41" t="s">
        <v>160</v>
      </c>
      <c r="AB52" s="142">
        <v>44834</v>
      </c>
    </row>
    <row r="53" spans="8:28" x14ac:dyDescent="0.4">
      <c r="R53" s="16">
        <v>1</v>
      </c>
      <c r="S53" s="36">
        <v>351054</v>
      </c>
      <c r="T53" s="30">
        <f t="shared" si="0"/>
        <v>35154</v>
      </c>
      <c r="U53" s="37">
        <v>44834</v>
      </c>
      <c r="V53" s="38">
        <v>6</v>
      </c>
      <c r="W53" s="38" t="s">
        <v>52</v>
      </c>
      <c r="X53" s="41" t="s">
        <v>29</v>
      </c>
      <c r="Y53" s="41" t="s">
        <v>32</v>
      </c>
      <c r="Z53" s="41" t="s">
        <v>78</v>
      </c>
      <c r="AA53" s="41" t="s">
        <v>160</v>
      </c>
      <c r="AB53" s="142">
        <v>44834</v>
      </c>
    </row>
    <row r="54" spans="8:28" x14ac:dyDescent="0.4">
      <c r="R54" s="16">
        <v>1</v>
      </c>
      <c r="S54" s="36">
        <v>351055</v>
      </c>
      <c r="T54" s="30">
        <f t="shared" si="0"/>
        <v>35155</v>
      </c>
      <c r="U54" s="37">
        <v>44834</v>
      </c>
      <c r="V54" s="38">
        <v>6</v>
      </c>
      <c r="W54" s="38" t="s">
        <v>52</v>
      </c>
      <c r="X54" s="41" t="s">
        <v>29</v>
      </c>
      <c r="Y54" s="41" t="s">
        <v>32</v>
      </c>
      <c r="Z54" s="41" t="s">
        <v>78</v>
      </c>
      <c r="AA54" s="41" t="s">
        <v>160</v>
      </c>
      <c r="AB54" s="142">
        <v>44865</v>
      </c>
    </row>
    <row r="55" spans="8:28" x14ac:dyDescent="0.4">
      <c r="R55" s="16">
        <v>1</v>
      </c>
      <c r="S55" s="36">
        <v>351056</v>
      </c>
      <c r="T55" s="30">
        <f t="shared" si="0"/>
        <v>35156</v>
      </c>
      <c r="U55" s="37">
        <v>44865</v>
      </c>
      <c r="V55" s="38">
        <v>6</v>
      </c>
      <c r="W55" s="38" t="s">
        <v>52</v>
      </c>
      <c r="X55" s="41" t="s">
        <v>29</v>
      </c>
      <c r="Y55" s="41" t="s">
        <v>32</v>
      </c>
      <c r="Z55" s="41" t="s">
        <v>78</v>
      </c>
      <c r="AA55" s="41" t="s">
        <v>160</v>
      </c>
      <c r="AB55" s="142">
        <v>44865</v>
      </c>
    </row>
    <row r="56" spans="8:28" x14ac:dyDescent="0.4">
      <c r="R56" s="16">
        <v>1</v>
      </c>
      <c r="S56" s="36">
        <v>351057</v>
      </c>
      <c r="T56" s="30">
        <f t="shared" si="0"/>
        <v>35157</v>
      </c>
      <c r="U56" s="37">
        <v>44895</v>
      </c>
      <c r="V56" s="38">
        <v>6</v>
      </c>
      <c r="W56" s="38" t="s">
        <v>52</v>
      </c>
      <c r="X56" s="41" t="s">
        <v>29</v>
      </c>
      <c r="Y56" s="41" t="s">
        <v>32</v>
      </c>
      <c r="Z56" s="41" t="s">
        <v>78</v>
      </c>
      <c r="AA56" s="41" t="s">
        <v>160</v>
      </c>
      <c r="AB56" s="142">
        <v>44895</v>
      </c>
    </row>
    <row r="57" spans="8:28" x14ac:dyDescent="0.4">
      <c r="R57" s="16">
        <v>1</v>
      </c>
      <c r="S57" s="36">
        <v>351058</v>
      </c>
      <c r="T57" s="30">
        <f t="shared" si="0"/>
        <v>35158</v>
      </c>
      <c r="U57" s="37">
        <v>44923</v>
      </c>
      <c r="V57" s="38">
        <v>6</v>
      </c>
      <c r="W57" s="38" t="s">
        <v>52</v>
      </c>
      <c r="X57" s="41" t="s">
        <v>29</v>
      </c>
      <c r="Y57" s="41" t="s">
        <v>32</v>
      </c>
      <c r="Z57" s="41" t="s">
        <v>78</v>
      </c>
      <c r="AA57" s="41" t="s">
        <v>160</v>
      </c>
      <c r="AB57" s="142">
        <v>44926</v>
      </c>
    </row>
    <row r="58" spans="8:28" x14ac:dyDescent="0.4">
      <c r="R58" s="16">
        <v>1</v>
      </c>
      <c r="S58" s="36">
        <v>351059</v>
      </c>
      <c r="T58" s="30">
        <f t="shared" si="0"/>
        <v>35159</v>
      </c>
      <c r="U58" s="37"/>
      <c r="V58" s="38">
        <v>6</v>
      </c>
      <c r="W58" s="38" t="s">
        <v>52</v>
      </c>
      <c r="X58" s="41" t="s">
        <v>29</v>
      </c>
      <c r="Y58" s="41" t="s">
        <v>32</v>
      </c>
      <c r="Z58" s="41" t="s">
        <v>78</v>
      </c>
      <c r="AA58" s="41" t="s">
        <v>160</v>
      </c>
      <c r="AB58" s="142">
        <v>44957</v>
      </c>
    </row>
    <row r="59" spans="8:28" x14ac:dyDescent="0.4">
      <c r="R59" s="16">
        <v>1</v>
      </c>
      <c r="S59" s="36">
        <v>351060</v>
      </c>
      <c r="T59" s="30">
        <f t="shared" si="0"/>
        <v>35160</v>
      </c>
      <c r="U59" s="37"/>
      <c r="V59" s="38">
        <v>6</v>
      </c>
      <c r="W59" s="38" t="s">
        <v>52</v>
      </c>
      <c r="X59" s="41" t="s">
        <v>29</v>
      </c>
      <c r="Y59" s="41" t="s">
        <v>32</v>
      </c>
      <c r="Z59" s="41" t="s">
        <v>78</v>
      </c>
      <c r="AA59" s="41" t="s">
        <v>160</v>
      </c>
      <c r="AB59" s="142">
        <v>44985</v>
      </c>
    </row>
    <row r="60" spans="8:28" ht="13.8" thickBot="1" x14ac:dyDescent="0.45">
      <c r="R60" s="16">
        <v>1</v>
      </c>
      <c r="S60" s="150">
        <v>351079</v>
      </c>
      <c r="T60" s="145">
        <f t="shared" si="0"/>
        <v>35179</v>
      </c>
      <c r="U60" s="151"/>
      <c r="V60" s="152">
        <v>6</v>
      </c>
      <c r="W60" s="152" t="s">
        <v>52</v>
      </c>
      <c r="X60" s="148" t="s">
        <v>29</v>
      </c>
      <c r="Y60" s="148" t="s">
        <v>32</v>
      </c>
      <c r="Z60" s="148" t="s">
        <v>78</v>
      </c>
      <c r="AA60" s="148" t="s">
        <v>160</v>
      </c>
      <c r="AB60" s="142">
        <v>45016</v>
      </c>
    </row>
    <row r="61" spans="8:28" ht="13.8" thickTop="1" x14ac:dyDescent="0.4">
      <c r="S61" s="158">
        <v>381011</v>
      </c>
      <c r="T61" s="158">
        <f t="shared" si="0"/>
        <v>38111</v>
      </c>
      <c r="U61" s="158"/>
      <c r="V61" s="158">
        <v>4</v>
      </c>
      <c r="W61" s="158" t="s">
        <v>62</v>
      </c>
      <c r="X61" s="158" t="s">
        <v>29</v>
      </c>
      <c r="Y61" s="158" t="s">
        <v>61</v>
      </c>
      <c r="Z61" s="158" t="s">
        <v>79</v>
      </c>
      <c r="AA61" s="158"/>
      <c r="AB61" s="159"/>
    </row>
    <row r="62" spans="8:28" x14ac:dyDescent="0.4">
      <c r="S62" s="41">
        <v>381012</v>
      </c>
      <c r="T62" s="41">
        <f t="shared" si="0"/>
        <v>38112</v>
      </c>
      <c r="U62" s="41"/>
      <c r="V62" s="41">
        <v>4</v>
      </c>
      <c r="W62" s="41" t="s">
        <v>62</v>
      </c>
      <c r="X62" s="41" t="s">
        <v>29</v>
      </c>
      <c r="Y62" s="41" t="s">
        <v>61</v>
      </c>
      <c r="Z62" s="41" t="s">
        <v>79</v>
      </c>
      <c r="AA62" s="41"/>
      <c r="AB62" s="160"/>
    </row>
    <row r="63" spans="8:28" x14ac:dyDescent="0.4">
      <c r="S63" s="41">
        <v>381013</v>
      </c>
      <c r="T63" s="41">
        <f t="shared" si="0"/>
        <v>38113</v>
      </c>
      <c r="U63" s="41"/>
      <c r="V63" s="41">
        <v>4</v>
      </c>
      <c r="W63" s="41" t="s">
        <v>62</v>
      </c>
      <c r="X63" s="41" t="s">
        <v>29</v>
      </c>
      <c r="Y63" s="41" t="s">
        <v>61</v>
      </c>
      <c r="Z63" s="41" t="s">
        <v>79</v>
      </c>
      <c r="AA63" s="41"/>
      <c r="AB63" s="160"/>
    </row>
    <row r="64" spans="8:28" x14ac:dyDescent="0.4">
      <c r="S64" s="41">
        <v>381014</v>
      </c>
      <c r="T64" s="41">
        <f t="shared" si="0"/>
        <v>38114</v>
      </c>
      <c r="U64" s="41"/>
      <c r="V64" s="41">
        <v>4</v>
      </c>
      <c r="W64" s="41" t="s">
        <v>62</v>
      </c>
      <c r="X64" s="41" t="s">
        <v>29</v>
      </c>
      <c r="Y64" s="41" t="s">
        <v>61</v>
      </c>
      <c r="Z64" s="41" t="s">
        <v>79</v>
      </c>
      <c r="AA64" s="41"/>
      <c r="AB64" s="160"/>
    </row>
    <row r="65" spans="6:28" x14ac:dyDescent="0.4">
      <c r="S65" s="41">
        <v>381015</v>
      </c>
      <c r="T65" s="41">
        <f t="shared" si="0"/>
        <v>38115</v>
      </c>
      <c r="U65" s="41"/>
      <c r="V65" s="41">
        <v>4</v>
      </c>
      <c r="W65" s="41" t="s">
        <v>62</v>
      </c>
      <c r="X65" s="41" t="s">
        <v>29</v>
      </c>
      <c r="Y65" s="41" t="s">
        <v>61</v>
      </c>
      <c r="Z65" s="41" t="s">
        <v>79</v>
      </c>
      <c r="AA65" s="41"/>
      <c r="AB65" s="160"/>
    </row>
    <row r="66" spans="6:28" x14ac:dyDescent="0.4">
      <c r="F66" s="486"/>
      <c r="G66" s="486"/>
      <c r="H66" s="44"/>
      <c r="I66" s="45"/>
      <c r="J66" s="44"/>
      <c r="K66" s="44"/>
      <c r="L66" s="44"/>
      <c r="M66" s="44"/>
      <c r="S66" s="41">
        <v>381016</v>
      </c>
      <c r="T66" s="41">
        <f t="shared" si="0"/>
        <v>38116</v>
      </c>
      <c r="U66" s="41"/>
      <c r="V66" s="41">
        <v>4</v>
      </c>
      <c r="W66" s="41" t="s">
        <v>62</v>
      </c>
      <c r="X66" s="41" t="s">
        <v>29</v>
      </c>
      <c r="Y66" s="41" t="s">
        <v>61</v>
      </c>
      <c r="Z66" s="41" t="s">
        <v>79</v>
      </c>
      <c r="AA66" s="41"/>
      <c r="AB66" s="160"/>
    </row>
    <row r="67" spans="6:28" ht="13.8" thickBot="1" x14ac:dyDescent="0.45">
      <c r="F67" s="486"/>
      <c r="G67" s="486"/>
      <c r="H67" s="44"/>
      <c r="I67" s="45"/>
      <c r="J67" s="44"/>
      <c r="K67" s="44"/>
      <c r="L67" s="44"/>
      <c r="M67" s="44"/>
      <c r="S67" s="148">
        <v>381017</v>
      </c>
      <c r="T67" s="148">
        <f t="shared" si="0"/>
        <v>38117</v>
      </c>
      <c r="U67" s="148"/>
      <c r="V67" s="148">
        <v>4</v>
      </c>
      <c r="W67" s="148" t="s">
        <v>62</v>
      </c>
      <c r="X67" s="148" t="s">
        <v>29</v>
      </c>
      <c r="Y67" s="148" t="s">
        <v>61</v>
      </c>
      <c r="Z67" s="148" t="s">
        <v>79</v>
      </c>
      <c r="AA67" s="148"/>
      <c r="AB67" s="154"/>
    </row>
    <row r="68" spans="6:28" ht="13.8" thickTop="1" x14ac:dyDescent="0.4">
      <c r="F68" s="487"/>
      <c r="G68" s="487"/>
      <c r="H68" s="45"/>
      <c r="I68" s="45"/>
      <c r="J68" s="45"/>
      <c r="K68" s="45"/>
      <c r="L68" s="44"/>
      <c r="M68" s="45"/>
      <c r="S68" s="158">
        <v>391001</v>
      </c>
      <c r="T68" s="158">
        <f t="shared" si="0"/>
        <v>39101</v>
      </c>
      <c r="U68" s="158"/>
      <c r="V68" s="158"/>
      <c r="W68" s="158"/>
      <c r="X68" s="158" t="s">
        <v>29</v>
      </c>
      <c r="Y68" s="158" t="s">
        <v>32</v>
      </c>
      <c r="Z68" s="158" t="s">
        <v>80</v>
      </c>
      <c r="AA68" s="158"/>
      <c r="AB68" s="159"/>
    </row>
    <row r="69" spans="6:28" x14ac:dyDescent="0.4">
      <c r="F69" s="487"/>
      <c r="G69" s="45"/>
      <c r="H69" s="45"/>
      <c r="I69" s="45"/>
      <c r="J69" s="45"/>
      <c r="K69" s="45"/>
      <c r="L69" s="44"/>
      <c r="M69" s="45"/>
      <c r="S69" s="41">
        <v>391002</v>
      </c>
      <c r="T69" s="41">
        <f t="shared" si="0"/>
        <v>39102</v>
      </c>
      <c r="U69" s="41"/>
      <c r="V69" s="41"/>
      <c r="W69" s="41"/>
      <c r="X69" s="41" t="s">
        <v>29</v>
      </c>
      <c r="Y69" s="41" t="s">
        <v>32</v>
      </c>
      <c r="Z69" s="41" t="s">
        <v>80</v>
      </c>
      <c r="AA69" s="41"/>
      <c r="AB69" s="160"/>
    </row>
    <row r="70" spans="6:28" x14ac:dyDescent="0.4">
      <c r="F70" s="487"/>
      <c r="G70" s="45"/>
      <c r="H70" s="45"/>
      <c r="I70" s="45"/>
      <c r="J70" s="45"/>
      <c r="K70" s="45"/>
      <c r="L70" s="44"/>
      <c r="M70" s="45"/>
      <c r="S70" s="41">
        <v>391003</v>
      </c>
      <c r="T70" s="41">
        <f t="shared" si="0"/>
        <v>39103</v>
      </c>
      <c r="U70" s="41"/>
      <c r="V70" s="41"/>
      <c r="W70" s="41"/>
      <c r="X70" s="41" t="s">
        <v>29</v>
      </c>
      <c r="Y70" s="41" t="s">
        <v>32</v>
      </c>
      <c r="Z70" s="41" t="s">
        <v>80</v>
      </c>
      <c r="AA70" s="41"/>
      <c r="AB70" s="160"/>
    </row>
    <row r="71" spans="6:28" x14ac:dyDescent="0.4">
      <c r="F71" s="487"/>
      <c r="G71" s="45"/>
      <c r="H71" s="45"/>
      <c r="I71" s="45"/>
      <c r="J71" s="45"/>
      <c r="K71" s="45"/>
      <c r="L71" s="44"/>
      <c r="M71" s="45"/>
      <c r="S71" s="41">
        <v>391004</v>
      </c>
      <c r="T71" s="41">
        <f t="shared" ref="T71:T80" si="1">VALUE(LEFT(S71,3)&amp;RIGHT(S71,2))</f>
        <v>39104</v>
      </c>
      <c r="U71" s="41"/>
      <c r="V71" s="41"/>
      <c r="W71" s="41"/>
      <c r="X71" s="41" t="s">
        <v>29</v>
      </c>
      <c r="Y71" s="41" t="s">
        <v>32</v>
      </c>
      <c r="Z71" s="41" t="s">
        <v>80</v>
      </c>
      <c r="AA71" s="41"/>
      <c r="AB71" s="160"/>
    </row>
    <row r="72" spans="6:28" x14ac:dyDescent="0.4">
      <c r="F72" s="487"/>
      <c r="G72" s="45"/>
      <c r="H72" s="45"/>
      <c r="I72" s="45"/>
      <c r="J72" s="45"/>
      <c r="K72" s="45"/>
      <c r="L72" s="44"/>
      <c r="M72" s="45"/>
      <c r="S72" s="41">
        <v>391005</v>
      </c>
      <c r="T72" s="41">
        <f t="shared" si="1"/>
        <v>39105</v>
      </c>
      <c r="U72" s="41"/>
      <c r="V72" s="41"/>
      <c r="W72" s="41"/>
      <c r="X72" s="41" t="s">
        <v>29</v>
      </c>
      <c r="Y72" s="41" t="s">
        <v>32</v>
      </c>
      <c r="Z72" s="41" t="s">
        <v>80</v>
      </c>
      <c r="AA72" s="41"/>
      <c r="AB72" s="160"/>
    </row>
    <row r="73" spans="6:28" x14ac:dyDescent="0.4">
      <c r="F73" s="487"/>
      <c r="G73" s="45"/>
      <c r="H73" s="45"/>
      <c r="I73" s="45"/>
      <c r="J73" s="45"/>
      <c r="K73" s="45"/>
      <c r="L73" s="44"/>
      <c r="M73" s="45"/>
      <c r="S73" s="41">
        <v>391006</v>
      </c>
      <c r="T73" s="41">
        <f t="shared" si="1"/>
        <v>39106</v>
      </c>
      <c r="U73" s="41"/>
      <c r="V73" s="41"/>
      <c r="W73" s="41"/>
      <c r="X73" s="41" t="s">
        <v>29</v>
      </c>
      <c r="Y73" s="41" t="s">
        <v>32</v>
      </c>
      <c r="Z73" s="41" t="s">
        <v>80</v>
      </c>
      <c r="AA73" s="41"/>
      <c r="AB73" s="160"/>
    </row>
    <row r="74" spans="6:28" ht="13.8" thickBot="1" x14ac:dyDescent="0.45">
      <c r="F74" s="487"/>
      <c r="G74" s="45"/>
      <c r="H74" s="45"/>
      <c r="I74" s="45"/>
      <c r="J74" s="45"/>
      <c r="K74" s="45"/>
      <c r="L74" s="44"/>
      <c r="M74" s="46"/>
      <c r="S74" s="148">
        <v>391007</v>
      </c>
      <c r="T74" s="148">
        <f t="shared" si="1"/>
        <v>39107</v>
      </c>
      <c r="U74" s="148"/>
      <c r="V74" s="148"/>
      <c r="W74" s="148"/>
      <c r="X74" s="148" t="s">
        <v>29</v>
      </c>
      <c r="Y74" s="148" t="s">
        <v>32</v>
      </c>
      <c r="Z74" s="148" t="s">
        <v>80</v>
      </c>
      <c r="AA74" s="148"/>
      <c r="AB74" s="154"/>
    </row>
    <row r="75" spans="6:28" ht="13.8" thickTop="1" x14ac:dyDescent="0.4">
      <c r="F75" s="487"/>
      <c r="G75" s="45"/>
      <c r="H75" s="45"/>
      <c r="I75" s="45"/>
      <c r="J75" s="45"/>
      <c r="K75" s="45"/>
      <c r="L75" s="44"/>
      <c r="M75" s="60"/>
      <c r="S75" s="143">
        <v>351073</v>
      </c>
      <c r="T75" s="143">
        <f t="shared" si="1"/>
        <v>35173</v>
      </c>
      <c r="U75" s="143"/>
      <c r="V75" s="143"/>
      <c r="W75" s="143"/>
      <c r="X75" s="143" t="s">
        <v>29</v>
      </c>
      <c r="Y75" s="143" t="s">
        <v>32</v>
      </c>
      <c r="Z75" s="143" t="s">
        <v>81</v>
      </c>
      <c r="AA75" s="143"/>
    </row>
    <row r="76" spans="6:28" x14ac:dyDescent="0.4">
      <c r="S76" s="41">
        <v>351074</v>
      </c>
      <c r="T76" s="41">
        <f t="shared" si="1"/>
        <v>35174</v>
      </c>
      <c r="U76" s="41"/>
      <c r="V76" s="41"/>
      <c r="W76" s="41"/>
      <c r="X76" s="41" t="s">
        <v>29</v>
      </c>
      <c r="Y76" s="41" t="s">
        <v>32</v>
      </c>
      <c r="Z76" s="41" t="s">
        <v>81</v>
      </c>
      <c r="AA76" s="41"/>
    </row>
    <row r="77" spans="6:28" x14ac:dyDescent="0.4">
      <c r="S77" s="41">
        <v>351075</v>
      </c>
      <c r="T77" s="41">
        <f t="shared" si="1"/>
        <v>35175</v>
      </c>
      <c r="U77" s="41"/>
      <c r="V77" s="41"/>
      <c r="W77" s="41"/>
      <c r="X77" s="41" t="s">
        <v>29</v>
      </c>
      <c r="Y77" s="41" t="s">
        <v>32</v>
      </c>
      <c r="Z77" s="41" t="s">
        <v>81</v>
      </c>
      <c r="AA77" s="41"/>
    </row>
    <row r="78" spans="6:28" x14ac:dyDescent="0.4">
      <c r="S78" s="41">
        <v>351076</v>
      </c>
      <c r="T78" s="41">
        <f t="shared" si="1"/>
        <v>35176</v>
      </c>
      <c r="U78" s="41"/>
      <c r="V78" s="41"/>
      <c r="W78" s="41"/>
      <c r="X78" s="41" t="s">
        <v>29</v>
      </c>
      <c r="Y78" s="41" t="s">
        <v>32</v>
      </c>
      <c r="Z78" s="41" t="s">
        <v>81</v>
      </c>
      <c r="AA78" s="41"/>
    </row>
    <row r="79" spans="6:28" x14ac:dyDescent="0.4">
      <c r="S79" s="41">
        <v>351077</v>
      </c>
      <c r="T79" s="41">
        <f t="shared" si="1"/>
        <v>35177</v>
      </c>
      <c r="U79" s="41"/>
      <c r="V79" s="41"/>
      <c r="W79" s="41"/>
      <c r="X79" s="41" t="s">
        <v>29</v>
      </c>
      <c r="Y79" s="41" t="s">
        <v>32</v>
      </c>
      <c r="Z79" s="41" t="s">
        <v>81</v>
      </c>
      <c r="AA79" s="41"/>
    </row>
    <row r="80" spans="6:28" x14ac:dyDescent="0.4">
      <c r="S80" s="41">
        <v>351078</v>
      </c>
      <c r="T80" s="41">
        <f t="shared" si="1"/>
        <v>35178</v>
      </c>
      <c r="U80" s="41"/>
      <c r="V80" s="41"/>
      <c r="W80" s="41"/>
      <c r="X80" s="41" t="s">
        <v>29</v>
      </c>
      <c r="Y80" s="41" t="s">
        <v>32</v>
      </c>
      <c r="Z80" s="41" t="s">
        <v>81</v>
      </c>
      <c r="AA80" s="41"/>
    </row>
  </sheetData>
  <autoFilter ref="R2:AB80"/>
  <mergeCells count="21">
    <mergeCell ref="B14:B15"/>
    <mergeCell ref="C14:N14"/>
    <mergeCell ref="C15:F15"/>
    <mergeCell ref="G15:J15"/>
    <mergeCell ref="K15:N15"/>
    <mergeCell ref="B3:B4"/>
    <mergeCell ref="C3:N3"/>
    <mergeCell ref="C4:F4"/>
    <mergeCell ref="G4:J4"/>
    <mergeCell ref="K4:N4"/>
    <mergeCell ref="F66:G66"/>
    <mergeCell ref="F67:G67"/>
    <mergeCell ref="F68:G68"/>
    <mergeCell ref="F69:F71"/>
    <mergeCell ref="F72:F75"/>
    <mergeCell ref="C13:F13"/>
    <mergeCell ref="G13:J13"/>
    <mergeCell ref="K13:N13"/>
    <mergeCell ref="C2:F2"/>
    <mergeCell ref="G2:J2"/>
    <mergeCell ref="K2:N2"/>
  </mergeCells>
  <phoneticPr fontId="3" type="noConversion"/>
  <pageMargins left="0.7" right="0.7" top="0.75" bottom="0.75" header="0.3" footer="0.3"/>
  <pageSetup paperSize="9" scale="32"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Y481"/>
  <sheetViews>
    <sheetView zoomScale="70" zoomScaleNormal="70" workbookViewId="0">
      <pane xSplit="6" ySplit="8" topLeftCell="G9" activePane="bottomRight" state="frozen"/>
      <selection pane="topRight" activeCell="G1" sqref="G1"/>
      <selection pane="bottomLeft" activeCell="A9" sqref="A9"/>
      <selection pane="bottomRight" activeCell="Q30" sqref="Q30"/>
    </sheetView>
  </sheetViews>
  <sheetFormatPr defaultRowHeight="17.399999999999999" x14ac:dyDescent="0.4"/>
  <cols>
    <col min="1" max="5" width="1.19921875" style="167" customWidth="1"/>
    <col min="6" max="6" width="12.19921875" customWidth="1"/>
    <col min="7" max="7" width="6.3984375" bestFit="1" customWidth="1"/>
    <col min="8" max="9" width="4.09765625" bestFit="1" customWidth="1"/>
    <col min="10" max="39" width="5.09765625" bestFit="1" customWidth="1"/>
    <col min="40" max="48" width="6.09765625" bestFit="1" customWidth="1"/>
    <col min="49" max="65" width="6.09765625" customWidth="1"/>
    <col min="66" max="72" width="5.3984375" customWidth="1"/>
    <col min="73" max="86" width="6.59765625" customWidth="1"/>
    <col min="101" max="101" width="9" customWidth="1"/>
  </cols>
  <sheetData>
    <row r="1" spans="1:101" x14ac:dyDescent="0.4">
      <c r="F1" t="s">
        <v>240</v>
      </c>
    </row>
    <row r="2" spans="1:101" hidden="1" x14ac:dyDescent="0.4">
      <c r="A2" s="130">
        <f ca="1">TODAY()</f>
        <v>45212</v>
      </c>
      <c r="E2" s="166"/>
      <c r="F2" s="138"/>
      <c r="G2" s="76"/>
      <c r="H2" s="76"/>
    </row>
    <row r="3" spans="1:101" hidden="1" x14ac:dyDescent="0.4">
      <c r="A3" s="85" t="s">
        <v>241</v>
      </c>
      <c r="B3" s="85"/>
      <c r="C3" s="85"/>
      <c r="D3" s="85"/>
      <c r="E3" s="166"/>
      <c r="F3" s="138"/>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row>
    <row r="4" spans="1:101" hidden="1" x14ac:dyDescent="0.4">
      <c r="A4" s="98">
        <v>44197</v>
      </c>
      <c r="B4" s="98"/>
      <c r="C4" s="98"/>
      <c r="D4" s="98"/>
      <c r="E4" s="138"/>
      <c r="F4" s="166"/>
      <c r="G4" s="166"/>
      <c r="H4" s="166"/>
      <c r="I4" s="166"/>
      <c r="J4" s="166"/>
      <c r="K4" s="166"/>
      <c r="L4" s="166"/>
      <c r="M4" s="166"/>
      <c r="N4" s="166"/>
      <c r="O4" s="166"/>
      <c r="P4" s="166"/>
      <c r="Q4" s="166"/>
      <c r="R4" s="166"/>
      <c r="S4" s="166"/>
      <c r="T4" s="166"/>
      <c r="U4" s="166"/>
      <c r="V4" s="166"/>
      <c r="W4" s="166"/>
      <c r="X4" s="166"/>
      <c r="Y4" s="166"/>
      <c r="Z4" s="166"/>
      <c r="AA4" s="166"/>
      <c r="AB4" s="166"/>
      <c r="AC4" s="166"/>
      <c r="AD4" s="166"/>
      <c r="AE4" s="166"/>
      <c r="AF4" s="166"/>
      <c r="AG4" s="166"/>
      <c r="AH4" s="166"/>
      <c r="AI4" s="166"/>
      <c r="AJ4" s="166"/>
    </row>
    <row r="5" spans="1:101" hidden="1" x14ac:dyDescent="0.4">
      <c r="A5" s="98">
        <v>43466</v>
      </c>
      <c r="B5" s="98"/>
      <c r="C5" s="98"/>
      <c r="D5" s="98"/>
      <c r="E5" s="138"/>
      <c r="F5" s="16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row>
    <row r="6" spans="1:101" ht="15.75" hidden="1" customHeight="1" x14ac:dyDescent="0.4">
      <c r="A6" s="98">
        <v>43101</v>
      </c>
      <c r="B6" s="98"/>
      <c r="C6" s="98"/>
      <c r="D6" s="98"/>
      <c r="E6" s="138"/>
      <c r="F6" s="16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row>
    <row r="7" spans="1:101" hidden="1" x14ac:dyDescent="0.4"/>
    <row r="8" spans="1:101" x14ac:dyDescent="0.4">
      <c r="A8" s="167">
        <v>1</v>
      </c>
      <c r="B8" s="167">
        <f ca="1">$A$2-$A$4</f>
        <v>1015</v>
      </c>
      <c r="C8" s="167">
        <f ca="1">$A$2-$A$5</f>
        <v>1746</v>
      </c>
      <c r="D8" s="167">
        <f ca="1">$A$2-$A$6</f>
        <v>2111</v>
      </c>
      <c r="F8" s="85" t="s">
        <v>242</v>
      </c>
      <c r="G8" s="85">
        <v>1</v>
      </c>
      <c r="H8" s="85">
        <v>2</v>
      </c>
      <c r="I8" s="85">
        <v>3</v>
      </c>
      <c r="J8" s="85">
        <v>4</v>
      </c>
      <c r="K8" s="85">
        <v>5</v>
      </c>
      <c r="L8" s="85">
        <v>6</v>
      </c>
      <c r="M8" s="85">
        <v>7</v>
      </c>
      <c r="N8" s="85">
        <v>8</v>
      </c>
      <c r="O8" s="85">
        <v>9</v>
      </c>
      <c r="P8" s="85">
        <v>10</v>
      </c>
      <c r="Q8" s="85">
        <v>11</v>
      </c>
      <c r="R8" s="85">
        <v>12</v>
      </c>
      <c r="S8" s="85">
        <v>13</v>
      </c>
      <c r="T8" s="85">
        <v>14</v>
      </c>
      <c r="U8" s="85">
        <v>15</v>
      </c>
      <c r="V8" s="85">
        <v>16</v>
      </c>
      <c r="W8" s="85">
        <v>17</v>
      </c>
      <c r="X8" s="85">
        <v>18</v>
      </c>
      <c r="Y8" s="85">
        <v>19</v>
      </c>
      <c r="Z8" s="85">
        <v>20</v>
      </c>
      <c r="AA8" s="85">
        <v>21</v>
      </c>
      <c r="AB8" s="85">
        <v>22</v>
      </c>
      <c r="AC8" s="85">
        <v>23</v>
      </c>
      <c r="AD8" s="85">
        <v>24</v>
      </c>
      <c r="AE8" s="85">
        <v>25</v>
      </c>
      <c r="AF8" s="85">
        <v>26</v>
      </c>
      <c r="AG8" s="85">
        <v>27</v>
      </c>
      <c r="AH8" s="85">
        <v>28</v>
      </c>
      <c r="AI8" s="85">
        <v>29</v>
      </c>
      <c r="AJ8" s="85">
        <v>30</v>
      </c>
      <c r="AK8" s="85">
        <v>31</v>
      </c>
      <c r="AL8" s="85">
        <v>32</v>
      </c>
      <c r="AM8" s="85">
        <v>33</v>
      </c>
      <c r="AN8" s="85">
        <v>34</v>
      </c>
      <c r="AO8" s="85">
        <v>35</v>
      </c>
      <c r="AP8" s="85">
        <v>36</v>
      </c>
      <c r="AQ8" s="85">
        <v>37</v>
      </c>
      <c r="AR8" s="85">
        <v>38</v>
      </c>
      <c r="AS8" s="85">
        <v>39</v>
      </c>
      <c r="AT8" s="85">
        <v>40</v>
      </c>
      <c r="AU8" s="85">
        <v>41</v>
      </c>
      <c r="AV8" s="85">
        <v>42</v>
      </c>
      <c r="AW8" s="85">
        <v>43</v>
      </c>
      <c r="AX8" s="85">
        <v>44</v>
      </c>
      <c r="AY8" s="85">
        <v>45</v>
      </c>
      <c r="AZ8" s="85">
        <v>46</v>
      </c>
      <c r="BA8" s="85">
        <v>47</v>
      </c>
      <c r="BB8" s="85">
        <v>48</v>
      </c>
      <c r="BC8" s="85">
        <v>49</v>
      </c>
      <c r="BD8" s="85">
        <v>50</v>
      </c>
      <c r="BE8" s="85">
        <v>51</v>
      </c>
      <c r="BF8" s="85">
        <v>52</v>
      </c>
      <c r="BG8" s="85">
        <v>53</v>
      </c>
      <c r="BH8" s="85">
        <v>54</v>
      </c>
      <c r="BI8" s="85">
        <v>55</v>
      </c>
      <c r="BJ8" s="85">
        <v>56</v>
      </c>
      <c r="BK8" s="85">
        <v>57</v>
      </c>
      <c r="BL8" s="85">
        <v>58</v>
      </c>
      <c r="BM8" s="85">
        <v>59</v>
      </c>
      <c r="BN8" s="85">
        <v>60</v>
      </c>
      <c r="BO8" s="85">
        <v>61</v>
      </c>
      <c r="BP8" s="85">
        <v>62</v>
      </c>
      <c r="BQ8" s="85">
        <v>63</v>
      </c>
      <c r="BR8" s="85">
        <v>64</v>
      </c>
      <c r="BS8" s="85">
        <v>65</v>
      </c>
      <c r="BT8" s="85">
        <v>66</v>
      </c>
      <c r="BU8" s="85">
        <v>67</v>
      </c>
      <c r="BV8" s="85">
        <v>68</v>
      </c>
      <c r="BW8" s="85">
        <v>69</v>
      </c>
      <c r="BX8" s="85">
        <v>70</v>
      </c>
      <c r="BY8" s="85">
        <v>71</v>
      </c>
      <c r="BZ8" s="85">
        <v>72</v>
      </c>
      <c r="CA8" s="85">
        <v>73</v>
      </c>
      <c r="CB8" s="85">
        <v>74</v>
      </c>
      <c r="CC8" s="85">
        <v>75</v>
      </c>
      <c r="CD8" s="85">
        <v>76</v>
      </c>
      <c r="CE8" s="85">
        <v>77</v>
      </c>
      <c r="CF8" s="85">
        <v>78</v>
      </c>
      <c r="CG8" s="85">
        <v>79</v>
      </c>
      <c r="CH8" s="85">
        <v>80</v>
      </c>
      <c r="CI8" s="85">
        <v>81</v>
      </c>
      <c r="CJ8" s="85">
        <v>82</v>
      </c>
      <c r="CK8" s="85">
        <v>83</v>
      </c>
      <c r="CL8" s="85">
        <v>84</v>
      </c>
      <c r="CM8" s="85">
        <v>85</v>
      </c>
      <c r="CN8" s="85">
        <v>86</v>
      </c>
      <c r="CO8" s="85">
        <v>87</v>
      </c>
      <c r="CP8" s="85">
        <v>88</v>
      </c>
      <c r="CQ8" s="85">
        <v>89</v>
      </c>
      <c r="CR8" s="85">
        <v>90</v>
      </c>
      <c r="CS8" s="85">
        <v>91</v>
      </c>
      <c r="CT8" s="85">
        <v>92</v>
      </c>
      <c r="CU8" s="85">
        <v>93</v>
      </c>
      <c r="CV8" s="85">
        <v>94</v>
      </c>
      <c r="CW8" s="85">
        <v>95</v>
      </c>
    </row>
    <row r="9" spans="1:101" s="167" customFormat="1" x14ac:dyDescent="0.4">
      <c r="A9" s="167">
        <v>2</v>
      </c>
      <c r="B9" s="167">
        <f t="shared" ref="B9:B47" ca="1" si="0">$A$2-$A$4</f>
        <v>1015</v>
      </c>
      <c r="C9" s="167">
        <f t="shared" ref="C9:C47" ca="1" si="1">$A$2-$A$5</f>
        <v>1746</v>
      </c>
      <c r="D9" s="167">
        <f t="shared" ref="D9:D47" ca="1" si="2">$A$2-$A$6</f>
        <v>2111</v>
      </c>
      <c r="F9" s="85" t="s">
        <v>239</v>
      </c>
      <c r="G9" s="139">
        <f>15*G8</f>
        <v>15</v>
      </c>
      <c r="H9" s="139">
        <f>15*H8</f>
        <v>30</v>
      </c>
      <c r="I9" s="139">
        <f>15*I8</f>
        <v>45</v>
      </c>
      <c r="J9" s="139">
        <f t="shared" ref="J9:BM9" si="3">15*J8</f>
        <v>60</v>
      </c>
      <c r="K9" s="139">
        <f t="shared" si="3"/>
        <v>75</v>
      </c>
      <c r="L9" s="139">
        <f t="shared" si="3"/>
        <v>90</v>
      </c>
      <c r="M9" s="139">
        <f t="shared" si="3"/>
        <v>105</v>
      </c>
      <c r="N9" s="139">
        <f t="shared" si="3"/>
        <v>120</v>
      </c>
      <c r="O9" s="139">
        <f t="shared" si="3"/>
        <v>135</v>
      </c>
      <c r="P9" s="139">
        <f t="shared" si="3"/>
        <v>150</v>
      </c>
      <c r="Q9" s="139">
        <f t="shared" si="3"/>
        <v>165</v>
      </c>
      <c r="R9" s="139">
        <f t="shared" si="3"/>
        <v>180</v>
      </c>
      <c r="S9" s="139">
        <f t="shared" si="3"/>
        <v>195</v>
      </c>
      <c r="T9" s="139">
        <f t="shared" si="3"/>
        <v>210</v>
      </c>
      <c r="U9" s="139">
        <f t="shared" si="3"/>
        <v>225</v>
      </c>
      <c r="V9" s="139">
        <f t="shared" si="3"/>
        <v>240</v>
      </c>
      <c r="W9" s="139">
        <f t="shared" si="3"/>
        <v>255</v>
      </c>
      <c r="X9" s="139">
        <f t="shared" si="3"/>
        <v>270</v>
      </c>
      <c r="Y9" s="139">
        <f t="shared" si="3"/>
        <v>285</v>
      </c>
      <c r="Z9" s="139">
        <f t="shared" si="3"/>
        <v>300</v>
      </c>
      <c r="AA9" s="139">
        <f t="shared" si="3"/>
        <v>315</v>
      </c>
      <c r="AB9" s="139">
        <f t="shared" si="3"/>
        <v>330</v>
      </c>
      <c r="AC9" s="139">
        <f t="shared" si="3"/>
        <v>345</v>
      </c>
      <c r="AD9" s="139">
        <f t="shared" si="3"/>
        <v>360</v>
      </c>
      <c r="AE9" s="139">
        <f t="shared" si="3"/>
        <v>375</v>
      </c>
      <c r="AF9" s="139">
        <f t="shared" si="3"/>
        <v>390</v>
      </c>
      <c r="AG9" s="139">
        <f t="shared" si="3"/>
        <v>405</v>
      </c>
      <c r="AH9" s="139">
        <f t="shared" si="3"/>
        <v>420</v>
      </c>
      <c r="AI9" s="139">
        <f t="shared" si="3"/>
        <v>435</v>
      </c>
      <c r="AJ9" s="139">
        <f t="shared" si="3"/>
        <v>450</v>
      </c>
      <c r="AK9" s="139">
        <f t="shared" si="3"/>
        <v>465</v>
      </c>
      <c r="AL9" s="139">
        <f t="shared" si="3"/>
        <v>480</v>
      </c>
      <c r="AM9" s="139">
        <f t="shared" si="3"/>
        <v>495</v>
      </c>
      <c r="AN9" s="139">
        <f t="shared" si="3"/>
        <v>510</v>
      </c>
      <c r="AO9" s="139">
        <f t="shared" si="3"/>
        <v>525</v>
      </c>
      <c r="AP9" s="139">
        <f t="shared" si="3"/>
        <v>540</v>
      </c>
      <c r="AQ9" s="139">
        <f t="shared" si="3"/>
        <v>555</v>
      </c>
      <c r="AR9" s="139">
        <f t="shared" si="3"/>
        <v>570</v>
      </c>
      <c r="AS9" s="139">
        <f t="shared" si="3"/>
        <v>585</v>
      </c>
      <c r="AT9" s="139">
        <f t="shared" si="3"/>
        <v>600</v>
      </c>
      <c r="AU9" s="139">
        <f t="shared" si="3"/>
        <v>615</v>
      </c>
      <c r="AV9" s="139">
        <f t="shared" si="3"/>
        <v>630</v>
      </c>
      <c r="AW9" s="139">
        <f t="shared" si="3"/>
        <v>645</v>
      </c>
      <c r="AX9" s="139">
        <f t="shared" si="3"/>
        <v>660</v>
      </c>
      <c r="AY9" s="139">
        <f t="shared" si="3"/>
        <v>675</v>
      </c>
      <c r="AZ9" s="139">
        <f t="shared" si="3"/>
        <v>690</v>
      </c>
      <c r="BA9" s="139">
        <f t="shared" si="3"/>
        <v>705</v>
      </c>
      <c r="BB9" s="139">
        <f t="shared" si="3"/>
        <v>720</v>
      </c>
      <c r="BC9" s="139">
        <f t="shared" si="3"/>
        <v>735</v>
      </c>
      <c r="BD9" s="139">
        <f t="shared" si="3"/>
        <v>750</v>
      </c>
      <c r="BE9" s="139">
        <f t="shared" si="3"/>
        <v>765</v>
      </c>
      <c r="BF9" s="139">
        <f t="shared" si="3"/>
        <v>780</v>
      </c>
      <c r="BG9" s="139">
        <f t="shared" si="3"/>
        <v>795</v>
      </c>
      <c r="BH9" s="139">
        <f t="shared" si="3"/>
        <v>810</v>
      </c>
      <c r="BI9" s="139">
        <f t="shared" si="3"/>
        <v>825</v>
      </c>
      <c r="BJ9" s="139">
        <f t="shared" si="3"/>
        <v>840</v>
      </c>
      <c r="BK9" s="139">
        <f t="shared" si="3"/>
        <v>855</v>
      </c>
      <c r="BL9" s="139">
        <f t="shared" si="3"/>
        <v>870</v>
      </c>
      <c r="BM9" s="139">
        <f t="shared" si="3"/>
        <v>885</v>
      </c>
      <c r="BN9" s="139">
        <f t="shared" ref="BN9" si="4">15*BN8</f>
        <v>900</v>
      </c>
      <c r="BO9" s="139">
        <f t="shared" ref="BO9" si="5">15*BO8</f>
        <v>915</v>
      </c>
      <c r="BP9" s="139">
        <f t="shared" ref="BP9" si="6">15*BP8</f>
        <v>930</v>
      </c>
      <c r="BQ9" s="139">
        <f t="shared" ref="BQ9" si="7">15*BQ8</f>
        <v>945</v>
      </c>
      <c r="BR9" s="139">
        <f t="shared" ref="BR9" si="8">15*BR8</f>
        <v>960</v>
      </c>
      <c r="BS9" s="139">
        <f t="shared" ref="BS9" si="9">15*BS8</f>
        <v>975</v>
      </c>
      <c r="BT9" s="139">
        <f t="shared" ref="BT9" si="10">15*BT8</f>
        <v>990</v>
      </c>
      <c r="BU9" s="139">
        <f t="shared" ref="BU9" si="11">15*BU8</f>
        <v>1005</v>
      </c>
      <c r="BV9" s="139">
        <f t="shared" ref="BV9" si="12">15*BV8</f>
        <v>1020</v>
      </c>
      <c r="BW9" s="139">
        <f t="shared" ref="BW9" si="13">15*BW8</f>
        <v>1035</v>
      </c>
      <c r="BX9" s="139">
        <f t="shared" ref="BX9" si="14">15*BX8</f>
        <v>1050</v>
      </c>
      <c r="BY9" s="139">
        <f t="shared" ref="BY9" si="15">15*BY8</f>
        <v>1065</v>
      </c>
      <c r="BZ9" s="139">
        <f t="shared" ref="BZ9" si="16">15*BZ8</f>
        <v>1080</v>
      </c>
      <c r="CA9" s="139">
        <f t="shared" ref="CA9" si="17">15*CA8</f>
        <v>1095</v>
      </c>
      <c r="CB9" s="139">
        <f t="shared" ref="CB9" si="18">15*CB8</f>
        <v>1110</v>
      </c>
      <c r="CC9" s="139">
        <f t="shared" ref="CC9" si="19">15*CC8</f>
        <v>1125</v>
      </c>
      <c r="CD9" s="139">
        <f t="shared" ref="CD9" si="20">15*CD8</f>
        <v>1140</v>
      </c>
      <c r="CE9" s="139">
        <f t="shared" ref="CE9" si="21">15*CE8</f>
        <v>1155</v>
      </c>
      <c r="CF9" s="139">
        <f t="shared" ref="CF9" si="22">15*CF8</f>
        <v>1170</v>
      </c>
      <c r="CG9" s="139">
        <f t="shared" ref="CG9" si="23">15*CG8</f>
        <v>1185</v>
      </c>
      <c r="CH9" s="139">
        <f t="shared" ref="CH9:CO9" si="24">15*CH8</f>
        <v>1200</v>
      </c>
      <c r="CI9" s="139">
        <f t="shared" si="24"/>
        <v>1215</v>
      </c>
      <c r="CJ9" s="139">
        <f t="shared" si="24"/>
        <v>1230</v>
      </c>
      <c r="CK9" s="139">
        <f t="shared" si="24"/>
        <v>1245</v>
      </c>
      <c r="CL9" s="139">
        <f t="shared" si="24"/>
        <v>1260</v>
      </c>
      <c r="CM9" s="139">
        <f t="shared" si="24"/>
        <v>1275</v>
      </c>
      <c r="CN9" s="139">
        <f t="shared" si="24"/>
        <v>1290</v>
      </c>
      <c r="CO9" s="139">
        <f t="shared" si="24"/>
        <v>1305</v>
      </c>
      <c r="CP9" s="139">
        <f t="shared" ref="CP9:CW9" si="25">15*CP8</f>
        <v>1320</v>
      </c>
      <c r="CQ9" s="139">
        <f t="shared" si="25"/>
        <v>1335</v>
      </c>
      <c r="CR9" s="139">
        <f t="shared" si="25"/>
        <v>1350</v>
      </c>
      <c r="CS9" s="139">
        <f t="shared" si="25"/>
        <v>1365</v>
      </c>
      <c r="CT9" s="139">
        <f t="shared" si="25"/>
        <v>1380</v>
      </c>
      <c r="CU9" s="139">
        <f t="shared" si="25"/>
        <v>1395</v>
      </c>
      <c r="CV9" s="139">
        <f t="shared" si="25"/>
        <v>1410</v>
      </c>
      <c r="CW9" s="139">
        <f t="shared" si="25"/>
        <v>1425</v>
      </c>
    </row>
    <row r="10" spans="1:101" x14ac:dyDescent="0.4">
      <c r="A10" s="167">
        <v>3</v>
      </c>
      <c r="B10" s="167">
        <f t="shared" ca="1" si="0"/>
        <v>1015</v>
      </c>
      <c r="C10" s="167">
        <f t="shared" ca="1" si="1"/>
        <v>1746</v>
      </c>
      <c r="D10" s="167">
        <f t="shared" ca="1" si="2"/>
        <v>2111</v>
      </c>
      <c r="F10" s="85" t="s">
        <v>154</v>
      </c>
      <c r="G10" s="85">
        <f>COUNTIFS('2023년 신조차 고장관리 세부현황'!$P:$P,"&gt;="&amp;G8,'2023년 신조차 고장관리 세부현황'!$P:$P,"&lt;"&amp;'트랜드 분석_15일'!G9)</f>
        <v>0</v>
      </c>
      <c r="H10" s="85">
        <f>COUNTIFS('2023년 신조차 고장관리 세부현황'!$P:$P,"&gt;="&amp;'트랜드 분석_15일'!G$9,'2023년 신조차 고장관리 세부현황'!$P:$P,"&lt;"&amp;'트랜드 분석_15일'!H$9)</f>
        <v>0</v>
      </c>
      <c r="I10" s="85">
        <f>COUNTIFS('2023년 신조차 고장관리 세부현황'!$P:$P,"&gt;="&amp;'트랜드 분석_15일'!H$9,'2023년 신조차 고장관리 세부현황'!$P:$P,"&lt;"&amp;'트랜드 분석_15일'!I$9)</f>
        <v>0</v>
      </c>
      <c r="J10" s="85">
        <f>COUNTIFS('2023년 신조차 고장관리 세부현황'!$P:$P,"&gt;="&amp;'트랜드 분석_15일'!I$9,'2023년 신조차 고장관리 세부현황'!$P:$P,"&lt;"&amp;'트랜드 분석_15일'!J$9)</f>
        <v>0</v>
      </c>
      <c r="K10" s="85">
        <f>COUNTIFS('2023년 신조차 고장관리 세부현황'!$P:$P,"&gt;="&amp;'트랜드 분석_15일'!J$9,'2023년 신조차 고장관리 세부현황'!$P:$P,"&lt;"&amp;'트랜드 분석_15일'!K$9)</f>
        <v>0</v>
      </c>
      <c r="L10" s="85">
        <f>COUNTIFS('2023년 신조차 고장관리 세부현황'!$P:$P,"&gt;="&amp;'트랜드 분석_15일'!K$9,'2023년 신조차 고장관리 세부현황'!$P:$P,"&lt;"&amp;'트랜드 분석_15일'!L$9)</f>
        <v>0</v>
      </c>
      <c r="M10" s="85">
        <f>COUNTIFS('2023년 신조차 고장관리 세부현황'!$P:$P,"&gt;="&amp;'트랜드 분석_15일'!L$9,'2023년 신조차 고장관리 세부현황'!$P:$P,"&lt;"&amp;'트랜드 분석_15일'!M$9)</f>
        <v>0</v>
      </c>
      <c r="N10" s="85">
        <f>COUNTIFS('2023년 신조차 고장관리 세부현황'!$P:$P,"&gt;="&amp;'트랜드 분석_15일'!M$9,'2023년 신조차 고장관리 세부현황'!$P:$P,"&lt;"&amp;'트랜드 분석_15일'!N$9)</f>
        <v>0</v>
      </c>
      <c r="O10" s="85">
        <f>COUNTIFS('2023년 신조차 고장관리 세부현황'!$P:$P,"&gt;="&amp;'트랜드 분석_15일'!N$9,'2023년 신조차 고장관리 세부현황'!$P:$P,"&lt;"&amp;'트랜드 분석_15일'!O$9)</f>
        <v>0</v>
      </c>
      <c r="P10" s="85">
        <f>COUNTIFS('2023년 신조차 고장관리 세부현황'!$P:$P,"&gt;="&amp;'트랜드 분석_15일'!O$9,'2023년 신조차 고장관리 세부현황'!$P:$P,"&lt;"&amp;'트랜드 분석_15일'!P$9)</f>
        <v>3</v>
      </c>
      <c r="Q10" s="85">
        <f>COUNTIFS('2023년 신조차 고장관리 세부현황'!$P:$P,"&gt;="&amp;'트랜드 분석_15일'!P$9,'2023년 신조차 고장관리 세부현황'!$P:$P,"&lt;"&amp;'트랜드 분석_15일'!Q$9)</f>
        <v>1</v>
      </c>
      <c r="R10" s="85">
        <f>COUNTIFS('2023년 신조차 고장관리 세부현황'!$P:$P,"&gt;="&amp;'트랜드 분석_15일'!Q$9,'2023년 신조차 고장관리 세부현황'!$P:$P,"&lt;"&amp;'트랜드 분석_15일'!R$9)</f>
        <v>2</v>
      </c>
      <c r="S10" s="85">
        <f>COUNTIFS('2023년 신조차 고장관리 세부현황'!$P:$P,"&gt;="&amp;'트랜드 분석_15일'!R$9,'2023년 신조차 고장관리 세부현황'!$P:$P,"&lt;"&amp;'트랜드 분석_15일'!S$9)</f>
        <v>3</v>
      </c>
      <c r="T10" s="85">
        <f>COUNTIFS('2023년 신조차 고장관리 세부현황'!$P:$P,"&gt;="&amp;'트랜드 분석_15일'!S$9,'2023년 신조차 고장관리 세부현황'!$P:$P,"&lt;"&amp;'트랜드 분석_15일'!T$9)</f>
        <v>2</v>
      </c>
      <c r="U10" s="85">
        <f>COUNTIFS('2023년 신조차 고장관리 세부현황'!$P:$P,"&gt;="&amp;'트랜드 분석_15일'!T$9,'2023년 신조차 고장관리 세부현황'!$P:$P,"&lt;"&amp;'트랜드 분석_15일'!U$9)</f>
        <v>0</v>
      </c>
      <c r="V10" s="85">
        <f>COUNTIFS('2023년 신조차 고장관리 세부현황'!$P:$P,"&gt;="&amp;'트랜드 분석_15일'!U$9,'2023년 신조차 고장관리 세부현황'!$P:$P,"&lt;"&amp;'트랜드 분석_15일'!V$9)</f>
        <v>0</v>
      </c>
      <c r="W10" s="85">
        <f>COUNTIFS('2023년 신조차 고장관리 세부현황'!$P:$P,"&gt;="&amp;'트랜드 분석_15일'!V$9,'2023년 신조차 고장관리 세부현황'!$P:$P,"&lt;"&amp;'트랜드 분석_15일'!W$9)</f>
        <v>2</v>
      </c>
      <c r="X10" s="85">
        <f>COUNTIFS('2023년 신조차 고장관리 세부현황'!$P:$P,"&gt;="&amp;'트랜드 분석_15일'!W$9,'2023년 신조차 고장관리 세부현황'!$P:$P,"&lt;"&amp;'트랜드 분석_15일'!X$9)</f>
        <v>1</v>
      </c>
      <c r="Y10" s="85">
        <f>COUNTIFS('2023년 신조차 고장관리 세부현황'!$P:$P,"&gt;="&amp;'트랜드 분석_15일'!X$9,'2023년 신조차 고장관리 세부현황'!$P:$P,"&lt;"&amp;'트랜드 분석_15일'!Y$9)</f>
        <v>2</v>
      </c>
      <c r="Z10" s="85">
        <f>COUNTIFS('2023년 신조차 고장관리 세부현황'!$P:$P,"&gt;="&amp;'트랜드 분석_15일'!Y$9,'2023년 신조차 고장관리 세부현황'!$P:$P,"&lt;"&amp;'트랜드 분석_15일'!Z$9)</f>
        <v>6</v>
      </c>
      <c r="AA10" s="85">
        <f>COUNTIFS('2023년 신조차 고장관리 세부현황'!$P:$P,"&gt;="&amp;'트랜드 분석_15일'!Z$9,'2023년 신조차 고장관리 세부현황'!$P:$P,"&lt;"&amp;'트랜드 분석_15일'!AA$9)</f>
        <v>2</v>
      </c>
      <c r="AB10" s="85">
        <f>COUNTIFS('2023년 신조차 고장관리 세부현황'!$P:$P,"&gt;="&amp;'트랜드 분석_15일'!AA$9,'2023년 신조차 고장관리 세부현황'!$P:$P,"&lt;"&amp;'트랜드 분석_15일'!AB$9)</f>
        <v>2</v>
      </c>
      <c r="AC10" s="85">
        <f>COUNTIFS('2023년 신조차 고장관리 세부현황'!$P:$P,"&gt;="&amp;'트랜드 분석_15일'!AB$9,'2023년 신조차 고장관리 세부현황'!$P:$P,"&lt;"&amp;'트랜드 분석_15일'!AC$9)</f>
        <v>1</v>
      </c>
      <c r="AD10" s="85">
        <f>COUNTIFS('2023년 신조차 고장관리 세부현황'!$P:$P,"&gt;="&amp;'트랜드 분석_15일'!AC$9,'2023년 신조차 고장관리 세부현황'!$P:$P,"&lt;"&amp;'트랜드 분석_15일'!AD$9)</f>
        <v>1</v>
      </c>
      <c r="AE10" s="85">
        <f>COUNTIFS('2023년 신조차 고장관리 세부현황'!$P:$P,"&gt;="&amp;'트랜드 분석_15일'!AD$9,'2023년 신조차 고장관리 세부현황'!$P:$P,"&lt;"&amp;'트랜드 분석_15일'!AE$9)</f>
        <v>1</v>
      </c>
      <c r="AF10" s="85">
        <f>COUNTIFS('2023년 신조차 고장관리 세부현황'!$P:$P,"&gt;="&amp;'트랜드 분석_15일'!AE$9,'2023년 신조차 고장관리 세부현황'!$P:$P,"&lt;"&amp;'트랜드 분석_15일'!AF$9)</f>
        <v>3</v>
      </c>
      <c r="AG10" s="85">
        <f>COUNTIFS('2023년 신조차 고장관리 세부현황'!$P:$P,"&gt;="&amp;'트랜드 분석_15일'!AF$9,'2023년 신조차 고장관리 세부현황'!$P:$P,"&lt;"&amp;'트랜드 분석_15일'!AG$9)</f>
        <v>1</v>
      </c>
      <c r="AH10" s="85">
        <f>COUNTIFS('2023년 신조차 고장관리 세부현황'!$P:$P,"&gt;="&amp;'트랜드 분석_15일'!AG$9,'2023년 신조차 고장관리 세부현황'!$P:$P,"&lt;"&amp;'트랜드 분석_15일'!AH$9)</f>
        <v>0</v>
      </c>
      <c r="AI10" s="85">
        <f>COUNTIFS('2023년 신조차 고장관리 세부현황'!$P:$P,"&gt;="&amp;'트랜드 분석_15일'!AH$9,'2023년 신조차 고장관리 세부현황'!$P:$P,"&lt;"&amp;'트랜드 분석_15일'!AI$9)</f>
        <v>0</v>
      </c>
      <c r="AJ10" s="85">
        <f>COUNTIFS('2023년 신조차 고장관리 세부현황'!$P:$P,"&gt;="&amp;'트랜드 분석_15일'!AI$9,'2023년 신조차 고장관리 세부현황'!$P:$P,"&lt;"&amp;'트랜드 분석_15일'!AJ$9)</f>
        <v>0</v>
      </c>
      <c r="AK10" s="85">
        <f>COUNTIFS('2023년 신조차 고장관리 세부현황'!$P:$P,"&gt;="&amp;'트랜드 분석_15일'!AJ$9,'2023년 신조차 고장관리 세부현황'!$P:$P,"&lt;"&amp;'트랜드 분석_15일'!AK$9)</f>
        <v>1</v>
      </c>
      <c r="AL10" s="85">
        <f>COUNTIFS('2023년 신조차 고장관리 세부현황'!$P:$P,"&gt;="&amp;'트랜드 분석_15일'!AK$9,'2023년 신조차 고장관리 세부현황'!$P:$P,"&lt;"&amp;'트랜드 분석_15일'!AL$9)</f>
        <v>3</v>
      </c>
      <c r="AM10" s="85">
        <f>COUNTIFS('2023년 신조차 고장관리 세부현황'!$P:$P,"&gt;="&amp;'트랜드 분석_15일'!AL$9,'2023년 신조차 고장관리 세부현황'!$P:$P,"&lt;"&amp;'트랜드 분석_15일'!AM$9)</f>
        <v>0</v>
      </c>
      <c r="AN10" s="85">
        <f>COUNTIFS('2023년 신조차 고장관리 세부현황'!$P:$P,"&gt;="&amp;'트랜드 분석_15일'!AM$9,'2023년 신조차 고장관리 세부현황'!$P:$P,"&lt;"&amp;'트랜드 분석_15일'!AN$9)</f>
        <v>0</v>
      </c>
      <c r="AO10" s="85">
        <f>COUNTIFS('2023년 신조차 고장관리 세부현황'!$P:$P,"&gt;="&amp;'트랜드 분석_15일'!AN$9,'2023년 신조차 고장관리 세부현황'!$P:$P,"&lt;"&amp;'트랜드 분석_15일'!AO$9)</f>
        <v>1</v>
      </c>
      <c r="AP10" s="85">
        <f>COUNTIFS('2023년 신조차 고장관리 세부현황'!$P:$P,"&gt;="&amp;'트랜드 분석_15일'!AO$9,'2023년 신조차 고장관리 세부현황'!$P:$P,"&lt;"&amp;'트랜드 분석_15일'!AP$9)</f>
        <v>0</v>
      </c>
      <c r="AQ10" s="85">
        <f>COUNTIFS('2023년 신조차 고장관리 세부현황'!$P:$P,"&gt;="&amp;'트랜드 분석_15일'!AP$9,'2023년 신조차 고장관리 세부현황'!$P:$P,"&lt;"&amp;'트랜드 분석_15일'!AQ$9)</f>
        <v>1</v>
      </c>
      <c r="AR10" s="85">
        <f>COUNTIFS('2023년 신조차 고장관리 세부현황'!$P:$P,"&gt;="&amp;'트랜드 분석_15일'!AQ$9,'2023년 신조차 고장관리 세부현황'!$P:$P,"&lt;"&amp;'트랜드 분석_15일'!AR$9)</f>
        <v>0</v>
      </c>
      <c r="AS10" s="85">
        <f>COUNTIFS('2023년 신조차 고장관리 세부현황'!$P:$P,"&gt;="&amp;'트랜드 분석_15일'!AR$9,'2023년 신조차 고장관리 세부현황'!$P:$P,"&lt;"&amp;'트랜드 분석_15일'!AS$9)</f>
        <v>0</v>
      </c>
      <c r="AT10" s="85">
        <f>COUNTIFS('2023년 신조차 고장관리 세부현황'!$P:$P,"&gt;="&amp;'트랜드 분석_15일'!AS$9,'2023년 신조차 고장관리 세부현황'!$P:$P,"&lt;"&amp;'트랜드 분석_15일'!AT$9)</f>
        <v>0</v>
      </c>
      <c r="AU10" s="85">
        <f>COUNTIFS('2023년 신조차 고장관리 세부현황'!$P:$P,"&gt;="&amp;'트랜드 분석_15일'!AT$9,'2023년 신조차 고장관리 세부현황'!$P:$P,"&lt;"&amp;'트랜드 분석_15일'!AU$9)</f>
        <v>0</v>
      </c>
      <c r="AV10" s="85">
        <f>COUNTIFS('2023년 신조차 고장관리 세부현황'!$P:$P,"&gt;="&amp;'트랜드 분석_15일'!AU$9,'2023년 신조차 고장관리 세부현황'!$P:$P,"&lt;"&amp;'트랜드 분석_15일'!AV$9)</f>
        <v>0</v>
      </c>
      <c r="AW10" s="85">
        <f>COUNTIFS('2023년 신조차 고장관리 세부현황'!$P:$P,"&gt;="&amp;'트랜드 분석_15일'!AV$9,'2023년 신조차 고장관리 세부현황'!$P:$P,"&lt;"&amp;'트랜드 분석_15일'!AW$9)</f>
        <v>0</v>
      </c>
      <c r="AX10" s="85">
        <f>COUNTIFS('2023년 신조차 고장관리 세부현황'!$P:$P,"&gt;="&amp;'트랜드 분석_15일'!AW$9,'2023년 신조차 고장관리 세부현황'!$P:$P,"&lt;"&amp;'트랜드 분석_15일'!AX$9)</f>
        <v>0</v>
      </c>
      <c r="AY10" s="85">
        <f>COUNTIFS('2023년 신조차 고장관리 세부현황'!$P:$P,"&gt;="&amp;'트랜드 분석_15일'!AX$9,'2023년 신조차 고장관리 세부현황'!$P:$P,"&lt;"&amp;'트랜드 분석_15일'!AY$9)</f>
        <v>0</v>
      </c>
      <c r="AZ10" s="85">
        <f>COUNTIFS('2023년 신조차 고장관리 세부현황'!$P:$P,"&gt;="&amp;'트랜드 분석_15일'!AY$9,'2023년 신조차 고장관리 세부현황'!$P:$P,"&lt;"&amp;'트랜드 분석_15일'!AZ$9)</f>
        <v>0</v>
      </c>
      <c r="BA10" s="85">
        <f>COUNTIFS('2023년 신조차 고장관리 세부현황'!$P:$P,"&gt;="&amp;'트랜드 분석_15일'!AZ$9,'2023년 신조차 고장관리 세부현황'!$P:$P,"&lt;"&amp;'트랜드 분석_15일'!BA$9)</f>
        <v>0</v>
      </c>
      <c r="BB10" s="85">
        <f>COUNTIFS('2023년 신조차 고장관리 세부현황'!$P:$P,"&gt;="&amp;'트랜드 분석_15일'!BA$9,'2023년 신조차 고장관리 세부현황'!$P:$P,"&lt;"&amp;'트랜드 분석_15일'!BB$9)</f>
        <v>0</v>
      </c>
      <c r="BC10" s="85">
        <f>COUNTIFS('2023년 신조차 고장관리 세부현황'!$P:$P,"&gt;="&amp;'트랜드 분석_15일'!BB$9,'2023년 신조차 고장관리 세부현황'!$P:$P,"&lt;"&amp;'트랜드 분석_15일'!BC$9)</f>
        <v>0</v>
      </c>
      <c r="BD10" s="85">
        <f>COUNTIFS('2023년 신조차 고장관리 세부현황'!$P:$P,"&gt;="&amp;'트랜드 분석_15일'!BC$9,'2023년 신조차 고장관리 세부현황'!$P:$P,"&lt;"&amp;'트랜드 분석_15일'!BD$9)</f>
        <v>0</v>
      </c>
      <c r="BE10" s="85">
        <f>COUNTIFS('2023년 신조차 고장관리 세부현황'!$P:$P,"&gt;="&amp;'트랜드 분석_15일'!BD$9,'2023년 신조차 고장관리 세부현황'!$P:$P,"&lt;"&amp;'트랜드 분석_15일'!BE$9)</f>
        <v>0</v>
      </c>
      <c r="BF10" s="85">
        <f>COUNTIFS('2023년 신조차 고장관리 세부현황'!$P:$P,"&gt;="&amp;'트랜드 분석_15일'!BE$9,'2023년 신조차 고장관리 세부현황'!$P:$P,"&lt;"&amp;'트랜드 분석_15일'!BF$9)</f>
        <v>0</v>
      </c>
      <c r="BG10" s="85">
        <f>COUNTIFS('2023년 신조차 고장관리 세부현황'!$P:$P,"&gt;="&amp;'트랜드 분석_15일'!BF$9,'2023년 신조차 고장관리 세부현황'!$P:$P,"&lt;"&amp;'트랜드 분석_15일'!BG$9)</f>
        <v>0</v>
      </c>
      <c r="BH10" s="85">
        <f>COUNTIFS('2023년 신조차 고장관리 세부현황'!$P:$P,"&gt;="&amp;'트랜드 분석_15일'!BG$9,'2023년 신조차 고장관리 세부현황'!$P:$P,"&lt;"&amp;'트랜드 분석_15일'!BH$9)</f>
        <v>0</v>
      </c>
      <c r="BI10" s="85">
        <f>COUNTIFS('2023년 신조차 고장관리 세부현황'!$P:$P,"&gt;="&amp;'트랜드 분석_15일'!BH$9,'2023년 신조차 고장관리 세부현황'!$P:$P,"&lt;"&amp;'트랜드 분석_15일'!BI$9)</f>
        <v>0</v>
      </c>
      <c r="BJ10" s="85">
        <f>COUNTIFS('2023년 신조차 고장관리 세부현황'!$P:$P,"&gt;="&amp;'트랜드 분석_15일'!BI$9,'2023년 신조차 고장관리 세부현황'!$P:$P,"&lt;"&amp;'트랜드 분석_15일'!BJ$9)</f>
        <v>0</v>
      </c>
      <c r="BK10" s="85">
        <f>COUNTIFS('2023년 신조차 고장관리 세부현황'!$P:$P,"&gt;="&amp;'트랜드 분석_15일'!BJ$9,'2023년 신조차 고장관리 세부현황'!$P:$P,"&lt;"&amp;'트랜드 분석_15일'!BK$9)</f>
        <v>0</v>
      </c>
      <c r="BL10" s="85">
        <f>COUNTIFS('2023년 신조차 고장관리 세부현황'!$P:$P,"&gt;="&amp;'트랜드 분석_15일'!BK$9,'2023년 신조차 고장관리 세부현황'!$P:$P,"&lt;"&amp;'트랜드 분석_15일'!BL$9)</f>
        <v>0</v>
      </c>
      <c r="BM10" s="85">
        <f>COUNTIFS('2023년 신조차 고장관리 세부현황'!$P:$P,"&gt;="&amp;'트랜드 분석_15일'!BL$9,'2023년 신조차 고장관리 세부현황'!$P:$P,"&lt;"&amp;'트랜드 분석_15일'!BM$9)</f>
        <v>0</v>
      </c>
      <c r="BN10" s="85">
        <f>COUNTIFS('2023년 신조차 고장관리 세부현황'!$P:$P,"&gt;="&amp;'트랜드 분석_15일'!BM$9,'2023년 신조차 고장관리 세부현황'!$P:$P,"&lt;"&amp;'트랜드 분석_15일'!BN$9)</f>
        <v>0</v>
      </c>
      <c r="BO10" s="85">
        <f>COUNTIFS('2023년 신조차 고장관리 세부현황'!$P:$P,"&gt;="&amp;'트랜드 분석_15일'!BN$9,'2023년 신조차 고장관리 세부현황'!$P:$P,"&lt;"&amp;'트랜드 분석_15일'!BO$9)</f>
        <v>0</v>
      </c>
      <c r="BP10" s="85">
        <f>COUNTIFS('2023년 신조차 고장관리 세부현황'!$P:$P,"&gt;="&amp;'트랜드 분석_15일'!BO$9,'2023년 신조차 고장관리 세부현황'!$P:$P,"&lt;"&amp;'트랜드 분석_15일'!BP$9)</f>
        <v>0</v>
      </c>
      <c r="BQ10" s="85">
        <f>COUNTIFS('2023년 신조차 고장관리 세부현황'!$P:$P,"&gt;="&amp;'트랜드 분석_15일'!BP$9,'2023년 신조차 고장관리 세부현황'!$P:$P,"&lt;"&amp;'트랜드 분석_15일'!BQ$9)</f>
        <v>0</v>
      </c>
      <c r="BR10" s="85">
        <f>COUNTIFS('2023년 신조차 고장관리 세부현황'!$P:$P,"&gt;="&amp;'트랜드 분석_15일'!BQ$9,'2023년 신조차 고장관리 세부현황'!$P:$P,"&lt;"&amp;'트랜드 분석_15일'!BR$9)</f>
        <v>0</v>
      </c>
      <c r="BS10" s="85">
        <f>COUNTIFS('2023년 신조차 고장관리 세부현황'!$P:$P,"&gt;="&amp;'트랜드 분석_15일'!BR$9,'2023년 신조차 고장관리 세부현황'!$P:$P,"&lt;"&amp;'트랜드 분석_15일'!BS$9)</f>
        <v>0</v>
      </c>
      <c r="BT10" s="85">
        <f>COUNTIFS('2023년 신조차 고장관리 세부현황'!$P:$P,"&gt;="&amp;'트랜드 분석_15일'!BS$9,'2023년 신조차 고장관리 세부현황'!$P:$P,"&lt;"&amp;'트랜드 분석_15일'!BT$9)</f>
        <v>0</v>
      </c>
      <c r="BU10" s="85">
        <f>COUNTIFS('2023년 신조차 고장관리 세부현황'!$P:$P,"&gt;="&amp;'트랜드 분석_15일'!BT$9,'2023년 신조차 고장관리 세부현황'!$P:$P,"&lt;"&amp;'트랜드 분석_15일'!BU$9)</f>
        <v>0</v>
      </c>
      <c r="BV10" s="85">
        <f>COUNTIFS('2023년 신조차 고장관리 세부현황'!$P:$P,"&gt;="&amp;'트랜드 분석_15일'!BU$9,'2023년 신조차 고장관리 세부현황'!$P:$P,"&lt;"&amp;'트랜드 분석_15일'!BV$9)</f>
        <v>0</v>
      </c>
      <c r="BW10" s="85">
        <f>COUNTIFS('2023년 신조차 고장관리 세부현황'!$P:$P,"&gt;="&amp;'트랜드 분석_15일'!BV$9,'2023년 신조차 고장관리 세부현황'!$P:$P,"&lt;"&amp;'트랜드 분석_15일'!BW$9)</f>
        <v>0</v>
      </c>
      <c r="BX10" s="85">
        <f>COUNTIFS('2023년 신조차 고장관리 세부현황'!$P:$P,"&gt;="&amp;'트랜드 분석_15일'!BW$9,'2023년 신조차 고장관리 세부현황'!$P:$P,"&lt;"&amp;'트랜드 분석_15일'!BX$9)</f>
        <v>0</v>
      </c>
      <c r="BY10" s="85">
        <f>COUNTIFS('2023년 신조차 고장관리 세부현황'!$P:$P,"&gt;="&amp;'트랜드 분석_15일'!BX$9,'2023년 신조차 고장관리 세부현황'!$P:$P,"&lt;"&amp;'트랜드 분석_15일'!BY$9)</f>
        <v>0</v>
      </c>
      <c r="BZ10" s="85">
        <f>COUNTIFS('2023년 신조차 고장관리 세부현황'!$P:$P,"&gt;="&amp;'트랜드 분석_15일'!BY$9,'2023년 신조차 고장관리 세부현황'!$P:$P,"&lt;"&amp;'트랜드 분석_15일'!BZ$9)</f>
        <v>0</v>
      </c>
      <c r="CA10" s="85">
        <f>COUNTIFS('2023년 신조차 고장관리 세부현황'!$P:$P,"&gt;="&amp;'트랜드 분석_15일'!BZ$9,'2023년 신조차 고장관리 세부현황'!$P:$P,"&lt;"&amp;'트랜드 분석_15일'!CA$9)</f>
        <v>0</v>
      </c>
      <c r="CB10" s="85">
        <f>COUNTIFS('2023년 신조차 고장관리 세부현황'!$P:$P,"&gt;="&amp;'트랜드 분석_15일'!CA$9,'2023년 신조차 고장관리 세부현황'!$P:$P,"&lt;"&amp;'트랜드 분석_15일'!CB$9)</f>
        <v>0</v>
      </c>
      <c r="CC10" s="85">
        <f>COUNTIFS('2023년 신조차 고장관리 세부현황'!$P:$P,"&gt;="&amp;'트랜드 분석_15일'!CB$9,'2023년 신조차 고장관리 세부현황'!$P:$P,"&lt;"&amp;'트랜드 분석_15일'!CC$9)</f>
        <v>0</v>
      </c>
      <c r="CD10" s="85">
        <f>COUNTIFS('2023년 신조차 고장관리 세부현황'!$P:$P,"&gt;="&amp;'트랜드 분석_15일'!CC$9,'2023년 신조차 고장관리 세부현황'!$P:$P,"&lt;"&amp;'트랜드 분석_15일'!CD$9)</f>
        <v>0</v>
      </c>
      <c r="CE10" s="85">
        <f>COUNTIFS('2023년 신조차 고장관리 세부현황'!$P:$P,"&gt;="&amp;'트랜드 분석_15일'!CD$9,'2023년 신조차 고장관리 세부현황'!$P:$P,"&lt;"&amp;'트랜드 분석_15일'!CE$9)</f>
        <v>0</v>
      </c>
      <c r="CF10" s="85">
        <f>COUNTIFS('2023년 신조차 고장관리 세부현황'!$P:$P,"&gt;="&amp;'트랜드 분석_15일'!CE$9,'2023년 신조차 고장관리 세부현황'!$P:$P,"&lt;"&amp;'트랜드 분석_15일'!CF$9)</f>
        <v>0</v>
      </c>
      <c r="CG10" s="85">
        <f>COUNTIFS('2023년 신조차 고장관리 세부현황'!$P:$P,"&gt;="&amp;'트랜드 분석_15일'!CF$9,'2023년 신조차 고장관리 세부현황'!$P:$P,"&lt;"&amp;'트랜드 분석_15일'!CG$9)</f>
        <v>0</v>
      </c>
      <c r="CH10" s="85">
        <f>COUNTIFS('2023년 신조차 고장관리 세부현황'!$P:$P,"&gt;="&amp;'트랜드 분석_15일'!CG$9,'2023년 신조차 고장관리 세부현황'!$P:$P,"&lt;"&amp;'트랜드 분석_15일'!CH$9)</f>
        <v>1</v>
      </c>
      <c r="CI10" s="85">
        <f>COUNTIFS('2023년 신조차 고장관리 세부현황'!$P:$P,"&gt;="&amp;'트랜드 분석_15일'!CH$9,'2023년 신조차 고장관리 세부현황'!$P:$P,"&lt;"&amp;'트랜드 분석_15일'!CI$9)</f>
        <v>0</v>
      </c>
      <c r="CJ10" s="85">
        <f>COUNTIFS('2023년 신조차 고장관리 세부현황'!$P:$P,"&gt;="&amp;'트랜드 분석_15일'!CI$9,'2023년 신조차 고장관리 세부현황'!$P:$P,"&lt;"&amp;'트랜드 분석_15일'!CJ$9)</f>
        <v>2</v>
      </c>
      <c r="CK10" s="85">
        <f>COUNTIFS('2023년 신조차 고장관리 세부현황'!$P:$P,"&gt;="&amp;'트랜드 분석_15일'!CJ$9,'2023년 신조차 고장관리 세부현황'!$P:$P,"&lt;"&amp;'트랜드 분석_15일'!CK$9)</f>
        <v>0</v>
      </c>
      <c r="CL10" s="85">
        <f>COUNTIFS('2023년 신조차 고장관리 세부현황'!$P:$P,"&gt;="&amp;'트랜드 분석_15일'!CK$9,'2023년 신조차 고장관리 세부현황'!$P:$P,"&lt;"&amp;'트랜드 분석_15일'!CL$9)</f>
        <v>0</v>
      </c>
      <c r="CM10" s="85">
        <f>COUNTIFS('2023년 신조차 고장관리 세부현황'!$P:$P,"&gt;="&amp;'트랜드 분석_15일'!CL$9,'2023년 신조차 고장관리 세부현황'!$P:$P,"&lt;"&amp;'트랜드 분석_15일'!CM$9)</f>
        <v>0</v>
      </c>
      <c r="CN10" s="85">
        <f>COUNTIFS('2023년 신조차 고장관리 세부현황'!$P:$P,"&gt;="&amp;'트랜드 분석_15일'!CM$9,'2023년 신조차 고장관리 세부현황'!$P:$P,"&lt;"&amp;'트랜드 분석_15일'!CN$9)</f>
        <v>0</v>
      </c>
      <c r="CO10" s="85">
        <f>COUNTIFS('2023년 신조차 고장관리 세부현황'!$P:$P,"&gt;="&amp;'트랜드 분석_15일'!CN$9,'2023년 신조차 고장관리 세부현황'!$P:$P,"&lt;"&amp;'트랜드 분석_15일'!CO$9)</f>
        <v>0</v>
      </c>
      <c r="CP10" s="85">
        <f>COUNTIFS('2023년 신조차 고장관리 세부현황'!$P:$P,"&gt;="&amp;'트랜드 분석_15일'!CO$9,'2023년 신조차 고장관리 세부현황'!$P:$P,"&lt;"&amp;'트랜드 분석_15일'!CP$9)</f>
        <v>0</v>
      </c>
      <c r="CQ10" s="85">
        <f>COUNTIFS('2023년 신조차 고장관리 세부현황'!$P:$P,"&gt;="&amp;'트랜드 분석_15일'!CP$9,'2023년 신조차 고장관리 세부현황'!$P:$P,"&lt;"&amp;'트랜드 분석_15일'!CQ$9)</f>
        <v>0</v>
      </c>
      <c r="CR10" s="85">
        <f>COUNTIFS('2023년 신조차 고장관리 세부현황'!$P:$P,"&gt;="&amp;'트랜드 분석_15일'!CQ$9,'2023년 신조차 고장관리 세부현황'!$P:$P,"&lt;"&amp;'트랜드 분석_15일'!CR$9)</f>
        <v>0</v>
      </c>
      <c r="CS10" s="85">
        <f>COUNTIFS('2023년 신조차 고장관리 세부현황'!$P:$P,"&gt;="&amp;'트랜드 분석_15일'!CR$9,'2023년 신조차 고장관리 세부현황'!$P:$P,"&lt;"&amp;'트랜드 분석_15일'!CS$9)</f>
        <v>0</v>
      </c>
      <c r="CT10" s="85">
        <f>COUNTIFS('2023년 신조차 고장관리 세부현황'!$P:$P,"&gt;="&amp;'트랜드 분석_15일'!CS$9,'2023년 신조차 고장관리 세부현황'!$P:$P,"&lt;"&amp;'트랜드 분석_15일'!CT$9)</f>
        <v>0</v>
      </c>
      <c r="CU10" s="85">
        <f>COUNTIFS('2023년 신조차 고장관리 세부현황'!$P:$P,"&gt;="&amp;'트랜드 분석_15일'!CT$9,'2023년 신조차 고장관리 세부현황'!$P:$P,"&lt;"&amp;'트랜드 분석_15일'!CU$9)</f>
        <v>0</v>
      </c>
      <c r="CV10" s="85">
        <f>COUNTIFS('2023년 신조차 고장관리 세부현황'!$P:$P,"&gt;="&amp;'트랜드 분석_15일'!CU$9,'2023년 신조차 고장관리 세부현황'!$P:$P,"&lt;"&amp;'트랜드 분석_15일'!CV$9)</f>
        <v>0</v>
      </c>
      <c r="CW10" s="85">
        <f>COUNTIFS('2023년 신조차 고장관리 세부현황'!$P:$P,"&gt;="&amp;'트랜드 분석_15일'!CV$9,'2023년 신조차 고장관리 세부현황'!$P:$P,"&lt;"&amp;'트랜드 분석_15일'!CW$9)</f>
        <v>0</v>
      </c>
    </row>
    <row r="11" spans="1:101" x14ac:dyDescent="0.4">
      <c r="A11" s="167">
        <v>4</v>
      </c>
      <c r="B11" s="167">
        <f t="shared" ca="1" si="0"/>
        <v>1015</v>
      </c>
      <c r="C11" s="167">
        <f t="shared" ca="1" si="1"/>
        <v>1746</v>
      </c>
      <c r="D11" s="167">
        <f t="shared" ca="1" si="2"/>
        <v>2111</v>
      </c>
      <c r="E11" s="167">
        <v>360</v>
      </c>
      <c r="F11" s="85" t="s">
        <v>164</v>
      </c>
      <c r="G11" s="85">
        <f>COUNTIFS('2023년 신조차 고장관리 세부현황'!$P:$P,"&gt;="&amp;$G$8,'2023년 신조차 고장관리 세부현황'!$P:$P,"&lt;"&amp;'트랜드 분석_15일'!G$9,'2023년 신조차 고장관리 세부현황'!$S:$S,'트랜드 분석_15일'!$F11)</f>
        <v>0</v>
      </c>
      <c r="H11" s="85">
        <f>COUNTIFS('2023년 신조차 고장관리 세부현황'!$P:$P,"&gt;="&amp;'트랜드 분석_15일'!G$9,'2023년 신조차 고장관리 세부현황'!$P:$P,"&lt;"&amp;'트랜드 분석_15일'!H$9,'2023년 신조차 고장관리 세부현황'!$S:$S,'트랜드 분석_15일'!$F11)</f>
        <v>0</v>
      </c>
      <c r="I11" s="85">
        <f>COUNTIFS('2023년 신조차 고장관리 세부현황'!$P:$P,"&gt;="&amp;'트랜드 분석_15일'!H$9,'2023년 신조차 고장관리 세부현황'!$P:$P,"&lt;"&amp;'트랜드 분석_15일'!I$9,'2023년 신조차 고장관리 세부현황'!$S:$S,'트랜드 분석_15일'!$F11)</f>
        <v>0</v>
      </c>
      <c r="J11" s="85">
        <f>COUNTIFS('2023년 신조차 고장관리 세부현황'!$P:$P,"&gt;="&amp;'트랜드 분석_15일'!I$9,'2023년 신조차 고장관리 세부현황'!$P:$P,"&lt;"&amp;'트랜드 분석_15일'!J$9,'2023년 신조차 고장관리 세부현황'!$S:$S,'트랜드 분석_15일'!$F11)</f>
        <v>0</v>
      </c>
      <c r="K11" s="85">
        <f>COUNTIFS('2023년 신조차 고장관리 세부현황'!$P:$P,"&gt;="&amp;'트랜드 분석_15일'!J$9,'2023년 신조차 고장관리 세부현황'!$P:$P,"&lt;"&amp;'트랜드 분석_15일'!K$9,'2023년 신조차 고장관리 세부현황'!$S:$S,'트랜드 분석_15일'!$F11)</f>
        <v>0</v>
      </c>
      <c r="L11" s="85">
        <f>COUNTIFS('2023년 신조차 고장관리 세부현황'!$P:$P,"&gt;="&amp;'트랜드 분석_15일'!K$9,'2023년 신조차 고장관리 세부현황'!$P:$P,"&lt;"&amp;'트랜드 분석_15일'!L$9,'2023년 신조차 고장관리 세부현황'!$S:$S,'트랜드 분석_15일'!$F11)</f>
        <v>0</v>
      </c>
      <c r="M11" s="85">
        <f>COUNTIFS('2023년 신조차 고장관리 세부현황'!$P:$P,"&gt;="&amp;'트랜드 분석_15일'!L$9,'2023년 신조차 고장관리 세부현황'!$P:$P,"&lt;"&amp;'트랜드 분석_15일'!M$9,'2023년 신조차 고장관리 세부현황'!$S:$S,'트랜드 분석_15일'!$F11)</f>
        <v>0</v>
      </c>
      <c r="N11" s="85">
        <f>COUNTIFS('2023년 신조차 고장관리 세부현황'!$P:$P,"&gt;="&amp;'트랜드 분석_15일'!M$9,'2023년 신조차 고장관리 세부현황'!$P:$P,"&lt;"&amp;'트랜드 분석_15일'!N$9,'2023년 신조차 고장관리 세부현황'!$S:$S,'트랜드 분석_15일'!$F11)</f>
        <v>0</v>
      </c>
      <c r="O11" s="85">
        <f>COUNTIFS('2023년 신조차 고장관리 세부현황'!$P:$P,"&gt;="&amp;'트랜드 분석_15일'!N$9,'2023년 신조차 고장관리 세부현황'!$P:$P,"&lt;"&amp;'트랜드 분석_15일'!O$9,'2023년 신조차 고장관리 세부현황'!$S:$S,'트랜드 분석_15일'!$F11)</f>
        <v>0</v>
      </c>
      <c r="P11" s="85">
        <f>COUNTIFS('2023년 신조차 고장관리 세부현황'!$P:$P,"&gt;="&amp;'트랜드 분석_15일'!O$9,'2023년 신조차 고장관리 세부현황'!$P:$P,"&lt;"&amp;'트랜드 분석_15일'!P$9,'2023년 신조차 고장관리 세부현황'!$S:$S,'트랜드 분석_15일'!$F11)</f>
        <v>0</v>
      </c>
      <c r="Q11" s="85">
        <f>COUNTIFS('2023년 신조차 고장관리 세부현황'!$P:$P,"&gt;="&amp;'트랜드 분석_15일'!P$9,'2023년 신조차 고장관리 세부현황'!$P:$P,"&lt;"&amp;'트랜드 분석_15일'!Q$9,'2023년 신조차 고장관리 세부현황'!$S:$S,'트랜드 분석_15일'!$F11)</f>
        <v>0</v>
      </c>
      <c r="R11" s="85">
        <f>COUNTIFS('2023년 신조차 고장관리 세부현황'!$P:$P,"&gt;="&amp;'트랜드 분석_15일'!Q$9,'2023년 신조차 고장관리 세부현황'!$P:$P,"&lt;"&amp;'트랜드 분석_15일'!R$9,'2023년 신조차 고장관리 세부현황'!$S:$S,'트랜드 분석_15일'!$F11)</f>
        <v>0</v>
      </c>
      <c r="S11" s="85">
        <f>COUNTIFS('2023년 신조차 고장관리 세부현황'!$P:$P,"&gt;="&amp;'트랜드 분석_15일'!R$9,'2023년 신조차 고장관리 세부현황'!$P:$P,"&lt;"&amp;'트랜드 분석_15일'!S$9,'2023년 신조차 고장관리 세부현황'!$S:$S,'트랜드 분석_15일'!$F11)</f>
        <v>0</v>
      </c>
      <c r="T11" s="85">
        <f>COUNTIFS('2023년 신조차 고장관리 세부현황'!$P:$P,"&gt;="&amp;'트랜드 분석_15일'!S$9,'2023년 신조차 고장관리 세부현황'!$P:$P,"&lt;"&amp;'트랜드 분석_15일'!T$9,'2023년 신조차 고장관리 세부현황'!$S:$S,'트랜드 분석_15일'!$F11)</f>
        <v>0</v>
      </c>
      <c r="U11" s="85">
        <f>COUNTIFS('2023년 신조차 고장관리 세부현황'!$P:$P,"&gt;="&amp;'트랜드 분석_15일'!T$9,'2023년 신조차 고장관리 세부현황'!$P:$P,"&lt;"&amp;'트랜드 분석_15일'!U$9,'2023년 신조차 고장관리 세부현황'!$S:$S,'트랜드 분석_15일'!$F11)</f>
        <v>0</v>
      </c>
      <c r="V11" s="85">
        <f>COUNTIFS('2023년 신조차 고장관리 세부현황'!$P:$P,"&gt;="&amp;'트랜드 분석_15일'!U$9,'2023년 신조차 고장관리 세부현황'!$P:$P,"&lt;"&amp;'트랜드 분석_15일'!V$9,'2023년 신조차 고장관리 세부현황'!$S:$S,'트랜드 분석_15일'!$F11)</f>
        <v>0</v>
      </c>
      <c r="W11" s="85">
        <f>COUNTIFS('2023년 신조차 고장관리 세부현황'!$P:$P,"&gt;="&amp;'트랜드 분석_15일'!V$9,'2023년 신조차 고장관리 세부현황'!$P:$P,"&lt;"&amp;'트랜드 분석_15일'!W$9,'2023년 신조차 고장관리 세부현황'!$S:$S,'트랜드 분석_15일'!$F11)</f>
        <v>0</v>
      </c>
      <c r="X11" s="85">
        <f>COUNTIFS('2023년 신조차 고장관리 세부현황'!$P:$P,"&gt;="&amp;'트랜드 분석_15일'!W$9,'2023년 신조차 고장관리 세부현황'!$P:$P,"&lt;"&amp;'트랜드 분석_15일'!X$9,'2023년 신조차 고장관리 세부현황'!$S:$S,'트랜드 분석_15일'!$F11)</f>
        <v>0</v>
      </c>
      <c r="Y11" s="85">
        <f>COUNTIFS('2023년 신조차 고장관리 세부현황'!$P:$P,"&gt;="&amp;'트랜드 분석_15일'!X$9,'2023년 신조차 고장관리 세부현황'!$P:$P,"&lt;"&amp;'트랜드 분석_15일'!Y$9,'2023년 신조차 고장관리 세부현황'!$S:$S,'트랜드 분석_15일'!$F11)</f>
        <v>0</v>
      </c>
      <c r="Z11" s="85">
        <f>COUNTIFS('2023년 신조차 고장관리 세부현황'!$P:$P,"&gt;="&amp;'트랜드 분석_15일'!Y$9,'2023년 신조차 고장관리 세부현황'!$P:$P,"&lt;"&amp;'트랜드 분석_15일'!Z$9,'2023년 신조차 고장관리 세부현황'!$S:$S,'트랜드 분석_15일'!$F11)</f>
        <v>0</v>
      </c>
      <c r="AA11" s="85">
        <f>COUNTIFS('2023년 신조차 고장관리 세부현황'!$P:$P,"&gt;="&amp;'트랜드 분석_15일'!Z$9,'2023년 신조차 고장관리 세부현황'!$P:$P,"&lt;"&amp;'트랜드 분석_15일'!AA$9,'2023년 신조차 고장관리 세부현황'!$S:$S,'트랜드 분석_15일'!$F11)</f>
        <v>0</v>
      </c>
      <c r="AB11" s="85">
        <f>COUNTIFS('2023년 신조차 고장관리 세부현황'!$P:$P,"&gt;="&amp;'트랜드 분석_15일'!AA$9,'2023년 신조차 고장관리 세부현황'!$P:$P,"&lt;"&amp;'트랜드 분석_15일'!AB$9,'2023년 신조차 고장관리 세부현황'!$S:$S,'트랜드 분석_15일'!$F11)</f>
        <v>0</v>
      </c>
      <c r="AC11" s="85">
        <f>COUNTIFS('2023년 신조차 고장관리 세부현황'!$P:$P,"&gt;="&amp;'트랜드 분석_15일'!AB$9,'2023년 신조차 고장관리 세부현황'!$P:$P,"&lt;"&amp;'트랜드 분석_15일'!AC$9,'2023년 신조차 고장관리 세부현황'!$S:$S,'트랜드 분석_15일'!$F11)</f>
        <v>0</v>
      </c>
      <c r="AD11" s="85">
        <f>COUNTIFS('2023년 신조차 고장관리 세부현황'!$P:$P,"&gt;="&amp;'트랜드 분석_15일'!AC$9,'2023년 신조차 고장관리 세부현황'!$P:$P,"&lt;"&amp;'트랜드 분석_15일'!AD$9,'2023년 신조차 고장관리 세부현황'!$S:$S,'트랜드 분석_15일'!$F11)</f>
        <v>0</v>
      </c>
      <c r="AE11" s="85">
        <f>COUNTIFS('2023년 신조차 고장관리 세부현황'!$P:$P,"&gt;="&amp;'트랜드 분석_15일'!AD$9,'2023년 신조차 고장관리 세부현황'!$P:$P,"&lt;"&amp;'트랜드 분석_15일'!AE$9,'2023년 신조차 고장관리 세부현황'!$S:$S,'트랜드 분석_15일'!$F11)</f>
        <v>0</v>
      </c>
      <c r="AF11" s="85">
        <f>COUNTIFS('2023년 신조차 고장관리 세부현황'!$P:$P,"&gt;="&amp;'트랜드 분석_15일'!AE$9,'2023년 신조차 고장관리 세부현황'!$P:$P,"&lt;"&amp;'트랜드 분석_15일'!AF$9,'2023년 신조차 고장관리 세부현황'!$S:$S,'트랜드 분석_15일'!$F11)</f>
        <v>0</v>
      </c>
      <c r="AG11" s="85">
        <f>COUNTIFS('2023년 신조차 고장관리 세부현황'!$P:$P,"&gt;="&amp;'트랜드 분석_15일'!AF$9,'2023년 신조차 고장관리 세부현황'!$P:$P,"&lt;"&amp;'트랜드 분석_15일'!AG$9,'2023년 신조차 고장관리 세부현황'!$S:$S,'트랜드 분석_15일'!$F11)</f>
        <v>0</v>
      </c>
      <c r="AH11" s="85">
        <f>COUNTIFS('2023년 신조차 고장관리 세부현황'!$P:$P,"&gt;="&amp;'트랜드 분석_15일'!AG$9,'2023년 신조차 고장관리 세부현황'!$P:$P,"&lt;"&amp;'트랜드 분석_15일'!AH$9,'2023년 신조차 고장관리 세부현황'!$S:$S,'트랜드 분석_15일'!$F11)</f>
        <v>0</v>
      </c>
      <c r="AI11" s="85">
        <f>COUNTIFS('2023년 신조차 고장관리 세부현황'!$P:$P,"&gt;="&amp;'트랜드 분석_15일'!AH$9,'2023년 신조차 고장관리 세부현황'!$P:$P,"&lt;"&amp;'트랜드 분석_15일'!AI$9,'2023년 신조차 고장관리 세부현황'!$S:$S,'트랜드 분석_15일'!$F11)</f>
        <v>0</v>
      </c>
      <c r="AJ11" s="85">
        <f>COUNTIFS('2023년 신조차 고장관리 세부현황'!$P:$P,"&gt;="&amp;'트랜드 분석_15일'!AI$9,'2023년 신조차 고장관리 세부현황'!$P:$P,"&lt;"&amp;'트랜드 분석_15일'!AJ$9,'2023년 신조차 고장관리 세부현황'!$S:$S,'트랜드 분석_15일'!$F11)</f>
        <v>0</v>
      </c>
      <c r="AK11" s="85">
        <f>COUNTIFS('2023년 신조차 고장관리 세부현황'!$P:$P,"&gt;="&amp;'트랜드 분석_15일'!AJ$9,'2023년 신조차 고장관리 세부현황'!$P:$P,"&lt;"&amp;'트랜드 분석_15일'!AK$9,'2023년 신조차 고장관리 세부현황'!$S:$S,'트랜드 분석_15일'!$F11)</f>
        <v>0</v>
      </c>
      <c r="AL11" s="85">
        <f>COUNTIFS('2023년 신조차 고장관리 세부현황'!$P:$P,"&gt;="&amp;'트랜드 분석_15일'!AK$9,'2023년 신조차 고장관리 세부현황'!$P:$P,"&lt;"&amp;'트랜드 분석_15일'!AL$9,'2023년 신조차 고장관리 세부현황'!$S:$S,'트랜드 분석_15일'!$F11)</f>
        <v>0</v>
      </c>
      <c r="AM11" s="85">
        <f>COUNTIFS('2023년 신조차 고장관리 세부현황'!$P:$P,"&gt;="&amp;'트랜드 분석_15일'!AL$9,'2023년 신조차 고장관리 세부현황'!$P:$P,"&lt;"&amp;'트랜드 분석_15일'!AM$9,'2023년 신조차 고장관리 세부현황'!$S:$S,'트랜드 분석_15일'!$F11)</f>
        <v>0</v>
      </c>
      <c r="AN11" s="85">
        <f>COUNTIFS('2023년 신조차 고장관리 세부현황'!$P:$P,"&gt;="&amp;'트랜드 분석_15일'!AM$9,'2023년 신조차 고장관리 세부현황'!$P:$P,"&lt;"&amp;'트랜드 분석_15일'!AN$9,'2023년 신조차 고장관리 세부현황'!$S:$S,'트랜드 분석_15일'!$F11)</f>
        <v>0</v>
      </c>
      <c r="AO11" s="85">
        <f>COUNTIFS('2023년 신조차 고장관리 세부현황'!$P:$P,"&gt;="&amp;'트랜드 분석_15일'!AN$9,'2023년 신조차 고장관리 세부현황'!$P:$P,"&lt;"&amp;'트랜드 분석_15일'!AO$9,'2023년 신조차 고장관리 세부현황'!$S:$S,'트랜드 분석_15일'!$F11)</f>
        <v>0</v>
      </c>
      <c r="AP11" s="85">
        <f>COUNTIFS('2023년 신조차 고장관리 세부현황'!$P:$P,"&gt;="&amp;'트랜드 분석_15일'!AO$9,'2023년 신조차 고장관리 세부현황'!$P:$P,"&lt;"&amp;'트랜드 분석_15일'!AP$9,'2023년 신조차 고장관리 세부현황'!$S:$S,'트랜드 분석_15일'!$F11)</f>
        <v>0</v>
      </c>
      <c r="AQ11" s="85">
        <f>COUNTIFS('2023년 신조차 고장관리 세부현황'!$P:$P,"&gt;="&amp;'트랜드 분석_15일'!AP$9,'2023년 신조차 고장관리 세부현황'!$P:$P,"&lt;"&amp;'트랜드 분석_15일'!AQ$9,'2023년 신조차 고장관리 세부현황'!$S:$S,'트랜드 분석_15일'!$F11)</f>
        <v>0</v>
      </c>
      <c r="AR11" s="85">
        <f>COUNTIFS('2023년 신조차 고장관리 세부현황'!$P:$P,"&gt;="&amp;'트랜드 분석_15일'!AQ$9,'2023년 신조차 고장관리 세부현황'!$P:$P,"&lt;"&amp;'트랜드 분석_15일'!AR$9,'2023년 신조차 고장관리 세부현황'!$S:$S,'트랜드 분석_15일'!$F11)</f>
        <v>0</v>
      </c>
      <c r="AS11" s="85">
        <f>COUNTIFS('2023년 신조차 고장관리 세부현황'!$P:$P,"&gt;="&amp;'트랜드 분석_15일'!AR$9,'2023년 신조차 고장관리 세부현황'!$P:$P,"&lt;"&amp;'트랜드 분석_15일'!AS$9,'2023년 신조차 고장관리 세부현황'!$S:$S,'트랜드 분석_15일'!$F11)</f>
        <v>0</v>
      </c>
      <c r="AT11" s="85">
        <f>COUNTIFS('2023년 신조차 고장관리 세부현황'!$P:$P,"&gt;="&amp;'트랜드 분석_15일'!AS$9,'2023년 신조차 고장관리 세부현황'!$P:$P,"&lt;"&amp;'트랜드 분석_15일'!AT$9,'2023년 신조차 고장관리 세부현황'!$S:$S,'트랜드 분석_15일'!$F11)</f>
        <v>0</v>
      </c>
      <c r="AU11" s="85">
        <f>COUNTIFS('2023년 신조차 고장관리 세부현황'!$P:$P,"&gt;="&amp;'트랜드 분석_15일'!AT$9,'2023년 신조차 고장관리 세부현황'!$P:$P,"&lt;"&amp;'트랜드 분석_15일'!AU$9,'2023년 신조차 고장관리 세부현황'!$S:$S,'트랜드 분석_15일'!$F11)</f>
        <v>0</v>
      </c>
      <c r="AV11" s="85">
        <f>COUNTIFS('2023년 신조차 고장관리 세부현황'!$P:$P,"&gt;="&amp;'트랜드 분석_15일'!AU$9,'2023년 신조차 고장관리 세부현황'!$P:$P,"&lt;"&amp;'트랜드 분석_15일'!AV$9,'2023년 신조차 고장관리 세부현황'!$S:$S,'트랜드 분석_15일'!$F11)</f>
        <v>0</v>
      </c>
      <c r="AW11" s="85">
        <f>COUNTIFS('2023년 신조차 고장관리 세부현황'!$P:$P,"&gt;="&amp;'트랜드 분석_15일'!AV$9,'2023년 신조차 고장관리 세부현황'!$P:$P,"&lt;"&amp;'트랜드 분석_15일'!AW$9,'2023년 신조차 고장관리 세부현황'!$S:$S,'트랜드 분석_15일'!$F11)</f>
        <v>0</v>
      </c>
      <c r="AX11" s="85">
        <f>COUNTIFS('2023년 신조차 고장관리 세부현황'!$P:$P,"&gt;="&amp;'트랜드 분석_15일'!AW$9,'2023년 신조차 고장관리 세부현황'!$P:$P,"&lt;"&amp;'트랜드 분석_15일'!AX$9,'2023년 신조차 고장관리 세부현황'!$S:$S,'트랜드 분석_15일'!$F11)</f>
        <v>0</v>
      </c>
      <c r="AY11" s="85">
        <f>COUNTIFS('2023년 신조차 고장관리 세부현황'!$P:$P,"&gt;="&amp;'트랜드 분석_15일'!AX$9,'2023년 신조차 고장관리 세부현황'!$P:$P,"&lt;"&amp;'트랜드 분석_15일'!AY$9,'2023년 신조차 고장관리 세부현황'!$S:$S,'트랜드 분석_15일'!$F11)</f>
        <v>0</v>
      </c>
      <c r="AZ11" s="85">
        <f>COUNTIFS('2023년 신조차 고장관리 세부현황'!$P:$P,"&gt;="&amp;'트랜드 분석_15일'!AY$9,'2023년 신조차 고장관리 세부현황'!$P:$P,"&lt;"&amp;'트랜드 분석_15일'!AZ$9,'2023년 신조차 고장관리 세부현황'!$S:$S,'트랜드 분석_15일'!$F11)</f>
        <v>0</v>
      </c>
      <c r="BA11" s="85">
        <f>COUNTIFS('2023년 신조차 고장관리 세부현황'!$P:$P,"&gt;="&amp;'트랜드 분석_15일'!AZ$9,'2023년 신조차 고장관리 세부현황'!$P:$P,"&lt;"&amp;'트랜드 분석_15일'!BA$9,'2023년 신조차 고장관리 세부현황'!$S:$S,'트랜드 분석_15일'!$F11)</f>
        <v>0</v>
      </c>
      <c r="BB11" s="85">
        <f>COUNTIFS('2023년 신조차 고장관리 세부현황'!$P:$P,"&gt;="&amp;'트랜드 분석_15일'!BA$9,'2023년 신조차 고장관리 세부현황'!$P:$P,"&lt;"&amp;'트랜드 분석_15일'!BB$9,'2023년 신조차 고장관리 세부현황'!$S:$S,'트랜드 분석_15일'!$F11)</f>
        <v>0</v>
      </c>
      <c r="BC11" s="85">
        <f>COUNTIFS('2023년 신조차 고장관리 세부현황'!$P:$P,"&gt;="&amp;'트랜드 분석_15일'!BB$9,'2023년 신조차 고장관리 세부현황'!$P:$P,"&lt;"&amp;'트랜드 분석_15일'!BC$9,'2023년 신조차 고장관리 세부현황'!$S:$S,'트랜드 분석_15일'!$F11)</f>
        <v>0</v>
      </c>
      <c r="BD11" s="85">
        <f>COUNTIFS('2023년 신조차 고장관리 세부현황'!$P:$P,"&gt;="&amp;'트랜드 분석_15일'!BC$9,'2023년 신조차 고장관리 세부현황'!$P:$P,"&lt;"&amp;'트랜드 분석_15일'!BD$9,'2023년 신조차 고장관리 세부현황'!$S:$S,'트랜드 분석_15일'!$F11)</f>
        <v>0</v>
      </c>
      <c r="BE11" s="85">
        <f>COUNTIFS('2023년 신조차 고장관리 세부현황'!$P:$P,"&gt;="&amp;'트랜드 분석_15일'!BD$9,'2023년 신조차 고장관리 세부현황'!$P:$P,"&lt;"&amp;'트랜드 분석_15일'!BE$9,'2023년 신조차 고장관리 세부현황'!$S:$S,'트랜드 분석_15일'!$F11)</f>
        <v>0</v>
      </c>
      <c r="BF11" s="85">
        <f>COUNTIFS('2023년 신조차 고장관리 세부현황'!$P:$P,"&gt;="&amp;'트랜드 분석_15일'!BE$9,'2023년 신조차 고장관리 세부현황'!$P:$P,"&lt;"&amp;'트랜드 분석_15일'!BF$9,'2023년 신조차 고장관리 세부현황'!$S:$S,'트랜드 분석_15일'!$F11)</f>
        <v>0</v>
      </c>
      <c r="BG11" s="85">
        <f>COUNTIFS('2023년 신조차 고장관리 세부현황'!$P:$P,"&gt;="&amp;'트랜드 분석_15일'!BF$9,'2023년 신조차 고장관리 세부현황'!$P:$P,"&lt;"&amp;'트랜드 분석_15일'!BG$9,'2023년 신조차 고장관리 세부현황'!$S:$S,'트랜드 분석_15일'!$F11)</f>
        <v>0</v>
      </c>
      <c r="BH11" s="85">
        <f>COUNTIFS('2023년 신조차 고장관리 세부현황'!$P:$P,"&gt;="&amp;'트랜드 분석_15일'!BG$9,'2023년 신조차 고장관리 세부현황'!$P:$P,"&lt;"&amp;'트랜드 분석_15일'!BH$9,'2023년 신조차 고장관리 세부현황'!$S:$S,'트랜드 분석_15일'!$F11)</f>
        <v>0</v>
      </c>
      <c r="BI11" s="85">
        <f>COUNTIFS('2023년 신조차 고장관리 세부현황'!$P:$P,"&gt;="&amp;'트랜드 분석_15일'!BH$9,'2023년 신조차 고장관리 세부현황'!$P:$P,"&lt;"&amp;'트랜드 분석_15일'!BI$9,'2023년 신조차 고장관리 세부현황'!$S:$S,'트랜드 분석_15일'!$F11)</f>
        <v>0</v>
      </c>
      <c r="BJ11" s="85">
        <f>COUNTIFS('2023년 신조차 고장관리 세부현황'!$P:$P,"&gt;="&amp;'트랜드 분석_15일'!BI$9,'2023년 신조차 고장관리 세부현황'!$P:$P,"&lt;"&amp;'트랜드 분석_15일'!BJ$9,'2023년 신조차 고장관리 세부현황'!$S:$S,'트랜드 분석_15일'!$F11)</f>
        <v>0</v>
      </c>
      <c r="BK11" s="85">
        <f>COUNTIFS('2023년 신조차 고장관리 세부현황'!$P:$P,"&gt;="&amp;'트랜드 분석_15일'!BJ$9,'2023년 신조차 고장관리 세부현황'!$P:$P,"&lt;"&amp;'트랜드 분석_15일'!BK$9,'2023년 신조차 고장관리 세부현황'!$S:$S,'트랜드 분석_15일'!$F11)</f>
        <v>0</v>
      </c>
      <c r="BL11" s="85">
        <f>COUNTIFS('2023년 신조차 고장관리 세부현황'!$P:$P,"&gt;="&amp;'트랜드 분석_15일'!BK$9,'2023년 신조차 고장관리 세부현황'!$P:$P,"&lt;"&amp;'트랜드 분석_15일'!BL$9,'2023년 신조차 고장관리 세부현황'!$S:$S,'트랜드 분석_15일'!$F11)</f>
        <v>0</v>
      </c>
      <c r="BM11" s="85">
        <f>COUNTIFS('2023년 신조차 고장관리 세부현황'!$P:$P,"&gt;="&amp;'트랜드 분석_15일'!BL$9,'2023년 신조차 고장관리 세부현황'!$P:$P,"&lt;"&amp;'트랜드 분석_15일'!BM$9,'2023년 신조차 고장관리 세부현황'!$S:$S,'트랜드 분석_15일'!$F11)</f>
        <v>0</v>
      </c>
      <c r="BN11" s="85">
        <f>COUNTIFS('2023년 신조차 고장관리 세부현황'!$P:$P,"&gt;="&amp;'트랜드 분석_15일'!BM$9,'2023년 신조차 고장관리 세부현황'!$P:$P,"&lt;"&amp;'트랜드 분석_15일'!BN$9,'2023년 신조차 고장관리 세부현황'!$S:$S,'트랜드 분석_15일'!$F11)</f>
        <v>0</v>
      </c>
      <c r="BO11" s="85">
        <f>COUNTIFS('2023년 신조차 고장관리 세부현황'!$P:$P,"&gt;="&amp;'트랜드 분석_15일'!BN$9,'2023년 신조차 고장관리 세부현황'!$P:$P,"&lt;"&amp;'트랜드 분석_15일'!BO$9,'2023년 신조차 고장관리 세부현황'!$S:$S,'트랜드 분석_15일'!$F11)</f>
        <v>0</v>
      </c>
      <c r="BP11" s="85">
        <f>COUNTIFS('2023년 신조차 고장관리 세부현황'!$P:$P,"&gt;="&amp;'트랜드 분석_15일'!BO$9,'2023년 신조차 고장관리 세부현황'!$P:$P,"&lt;"&amp;'트랜드 분석_15일'!BP$9,'2023년 신조차 고장관리 세부현황'!$S:$S,'트랜드 분석_15일'!$F11)</f>
        <v>0</v>
      </c>
      <c r="BQ11" s="85">
        <f>COUNTIFS('2023년 신조차 고장관리 세부현황'!$P:$P,"&gt;="&amp;'트랜드 분석_15일'!BP$9,'2023년 신조차 고장관리 세부현황'!$P:$P,"&lt;"&amp;'트랜드 분석_15일'!BQ$9,'2023년 신조차 고장관리 세부현황'!$S:$S,'트랜드 분석_15일'!$F11)</f>
        <v>0</v>
      </c>
      <c r="BR11" s="85">
        <f>COUNTIFS('2023년 신조차 고장관리 세부현황'!$P:$P,"&gt;="&amp;'트랜드 분석_15일'!BQ$9,'2023년 신조차 고장관리 세부현황'!$P:$P,"&lt;"&amp;'트랜드 분석_15일'!BR$9,'2023년 신조차 고장관리 세부현황'!$S:$S,'트랜드 분석_15일'!$F11)</f>
        <v>0</v>
      </c>
      <c r="BS11" s="85">
        <f>COUNTIFS('2023년 신조차 고장관리 세부현황'!$P:$P,"&gt;="&amp;'트랜드 분석_15일'!BR$9,'2023년 신조차 고장관리 세부현황'!$P:$P,"&lt;"&amp;'트랜드 분석_15일'!BS$9,'2023년 신조차 고장관리 세부현황'!$S:$S,'트랜드 분석_15일'!$F11)</f>
        <v>0</v>
      </c>
      <c r="BT11" s="85">
        <f>COUNTIFS('2023년 신조차 고장관리 세부현황'!$P:$P,"&gt;="&amp;'트랜드 분석_15일'!BS$9,'2023년 신조차 고장관리 세부현황'!$P:$P,"&lt;"&amp;'트랜드 분석_15일'!BT$9,'2023년 신조차 고장관리 세부현황'!$S:$S,'트랜드 분석_15일'!$F11)</f>
        <v>0</v>
      </c>
      <c r="BU11" s="85">
        <f>COUNTIFS('2023년 신조차 고장관리 세부현황'!$P:$P,"&gt;="&amp;'트랜드 분석_15일'!BT$9,'2023년 신조차 고장관리 세부현황'!$P:$P,"&lt;"&amp;'트랜드 분석_15일'!BU$9,'2023년 신조차 고장관리 세부현황'!$S:$S,'트랜드 분석_15일'!$F11)</f>
        <v>0</v>
      </c>
      <c r="BV11" s="85">
        <f>COUNTIFS('2023년 신조차 고장관리 세부현황'!$P:$P,"&gt;="&amp;'트랜드 분석_15일'!BU$9,'2023년 신조차 고장관리 세부현황'!$P:$P,"&lt;"&amp;'트랜드 분석_15일'!BV$9,'2023년 신조차 고장관리 세부현황'!$S:$S,'트랜드 분석_15일'!$F11)</f>
        <v>0</v>
      </c>
      <c r="BW11" s="85">
        <f>COUNTIFS('2023년 신조차 고장관리 세부현황'!$P:$P,"&gt;="&amp;'트랜드 분석_15일'!BV$9,'2023년 신조차 고장관리 세부현황'!$P:$P,"&lt;"&amp;'트랜드 분석_15일'!BW$9,'2023년 신조차 고장관리 세부현황'!$S:$S,'트랜드 분석_15일'!$F11)</f>
        <v>0</v>
      </c>
      <c r="BX11" s="85">
        <f>COUNTIFS('2023년 신조차 고장관리 세부현황'!$P:$P,"&gt;="&amp;'트랜드 분석_15일'!BW$9,'2023년 신조차 고장관리 세부현황'!$P:$P,"&lt;"&amp;'트랜드 분석_15일'!BX$9,'2023년 신조차 고장관리 세부현황'!$S:$S,'트랜드 분석_15일'!$F11)</f>
        <v>0</v>
      </c>
      <c r="BY11" s="85">
        <f>COUNTIFS('2023년 신조차 고장관리 세부현황'!$P:$P,"&gt;="&amp;'트랜드 분석_15일'!BX$9,'2023년 신조차 고장관리 세부현황'!$P:$P,"&lt;"&amp;'트랜드 분석_15일'!BY$9,'2023년 신조차 고장관리 세부현황'!$S:$S,'트랜드 분석_15일'!$F11)</f>
        <v>0</v>
      </c>
      <c r="BZ11" s="85">
        <f>COUNTIFS('2023년 신조차 고장관리 세부현황'!$P:$P,"&gt;="&amp;'트랜드 분석_15일'!BY$9,'2023년 신조차 고장관리 세부현황'!$P:$P,"&lt;"&amp;'트랜드 분석_15일'!BZ$9,'2023년 신조차 고장관리 세부현황'!$S:$S,'트랜드 분석_15일'!$F11)</f>
        <v>0</v>
      </c>
      <c r="CA11" s="85">
        <f>COUNTIFS('2023년 신조차 고장관리 세부현황'!$P:$P,"&gt;="&amp;'트랜드 분석_15일'!BZ$9,'2023년 신조차 고장관리 세부현황'!$P:$P,"&lt;"&amp;'트랜드 분석_15일'!CA$9,'2023년 신조차 고장관리 세부현황'!$S:$S,'트랜드 분석_15일'!$F11)</f>
        <v>0</v>
      </c>
      <c r="CB11" s="85">
        <f>COUNTIFS('2023년 신조차 고장관리 세부현황'!$P:$P,"&gt;="&amp;'트랜드 분석_15일'!CA$9,'2023년 신조차 고장관리 세부현황'!$P:$P,"&lt;"&amp;'트랜드 분석_15일'!CB$9,'2023년 신조차 고장관리 세부현황'!$S:$S,'트랜드 분석_15일'!$F11)</f>
        <v>0</v>
      </c>
      <c r="CC11" s="85">
        <f>COUNTIFS('2023년 신조차 고장관리 세부현황'!$P:$P,"&gt;="&amp;'트랜드 분석_15일'!CB$9,'2023년 신조차 고장관리 세부현황'!$P:$P,"&lt;"&amp;'트랜드 분석_15일'!CC$9,'2023년 신조차 고장관리 세부현황'!$S:$S,'트랜드 분석_15일'!$F11)</f>
        <v>0</v>
      </c>
      <c r="CD11" s="85">
        <f>COUNTIFS('2023년 신조차 고장관리 세부현황'!$P:$P,"&gt;="&amp;'트랜드 분석_15일'!CC$9,'2023년 신조차 고장관리 세부현황'!$P:$P,"&lt;"&amp;'트랜드 분석_15일'!CD$9,'2023년 신조차 고장관리 세부현황'!$S:$S,'트랜드 분석_15일'!$F11)</f>
        <v>0</v>
      </c>
      <c r="CE11" s="85">
        <f>COUNTIFS('2023년 신조차 고장관리 세부현황'!$P:$P,"&gt;="&amp;'트랜드 분석_15일'!CD$9,'2023년 신조차 고장관리 세부현황'!$P:$P,"&lt;"&amp;'트랜드 분석_15일'!CE$9,'2023년 신조차 고장관리 세부현황'!$S:$S,'트랜드 분석_15일'!$F11)</f>
        <v>0</v>
      </c>
      <c r="CF11" s="85">
        <f>COUNTIFS('2023년 신조차 고장관리 세부현황'!$P:$P,"&gt;="&amp;'트랜드 분석_15일'!CE$9,'2023년 신조차 고장관리 세부현황'!$P:$P,"&lt;"&amp;'트랜드 분석_15일'!CF$9,'2023년 신조차 고장관리 세부현황'!$S:$S,'트랜드 분석_15일'!$F11)</f>
        <v>0</v>
      </c>
      <c r="CG11" s="85">
        <f>COUNTIFS('2023년 신조차 고장관리 세부현황'!$P:$P,"&gt;="&amp;'트랜드 분석_15일'!CF$9,'2023년 신조차 고장관리 세부현황'!$P:$P,"&lt;"&amp;'트랜드 분석_15일'!CG$9,'2023년 신조차 고장관리 세부현황'!$S:$S,'트랜드 분석_15일'!$F11)</f>
        <v>0</v>
      </c>
      <c r="CH11" s="85">
        <f>COUNTIFS('2023년 신조차 고장관리 세부현황'!$P:$P,"&gt;="&amp;'트랜드 분석_15일'!CG$9,'2023년 신조차 고장관리 세부현황'!$P:$P,"&lt;"&amp;'트랜드 분석_15일'!CH$9,'2023년 신조차 고장관리 세부현황'!$S:$S,'트랜드 분석_15일'!$F11)</f>
        <v>0</v>
      </c>
      <c r="CI11" s="85">
        <f>COUNTIFS('2023년 신조차 고장관리 세부현황'!$P:$P,"&gt;="&amp;'트랜드 분석_15일'!CH$9,'2023년 신조차 고장관리 세부현황'!$P:$P,"&lt;"&amp;'트랜드 분석_15일'!CI$9,'2023년 신조차 고장관리 세부현황'!$S:$S,'트랜드 분석_15일'!$F11)</f>
        <v>0</v>
      </c>
      <c r="CJ11" s="85">
        <f>COUNTIFS('2023년 신조차 고장관리 세부현황'!$P:$P,"&gt;="&amp;'트랜드 분석_15일'!CI$9,'2023년 신조차 고장관리 세부현황'!$P:$P,"&lt;"&amp;'트랜드 분석_15일'!CJ$9,'2023년 신조차 고장관리 세부현황'!$S:$S,'트랜드 분석_15일'!$F11)</f>
        <v>0</v>
      </c>
      <c r="CK11" s="85">
        <f>COUNTIFS('2023년 신조차 고장관리 세부현황'!$P:$P,"&gt;="&amp;'트랜드 분석_15일'!CJ$9,'2023년 신조차 고장관리 세부현황'!$P:$P,"&lt;"&amp;'트랜드 분석_15일'!CK$9,'2023년 신조차 고장관리 세부현황'!$S:$S,'트랜드 분석_15일'!$F11)</f>
        <v>0</v>
      </c>
      <c r="CL11" s="85">
        <f>COUNTIFS('2023년 신조차 고장관리 세부현황'!$P:$P,"&gt;="&amp;'트랜드 분석_15일'!CK$9,'2023년 신조차 고장관리 세부현황'!$P:$P,"&lt;"&amp;'트랜드 분석_15일'!CL$9,'2023년 신조차 고장관리 세부현황'!$S:$S,'트랜드 분석_15일'!$F11)</f>
        <v>0</v>
      </c>
      <c r="CM11" s="85">
        <f>COUNTIFS('2023년 신조차 고장관리 세부현황'!$P:$P,"&gt;="&amp;'트랜드 분석_15일'!CL$9,'2023년 신조차 고장관리 세부현황'!$P:$P,"&lt;"&amp;'트랜드 분석_15일'!CM$9,'2023년 신조차 고장관리 세부현황'!$S:$S,'트랜드 분석_15일'!$F11)</f>
        <v>0</v>
      </c>
      <c r="CN11" s="85">
        <f>COUNTIFS('2023년 신조차 고장관리 세부현황'!$P:$P,"&gt;="&amp;'트랜드 분석_15일'!CM$9,'2023년 신조차 고장관리 세부현황'!$P:$P,"&lt;"&amp;'트랜드 분석_15일'!CN$9,'2023년 신조차 고장관리 세부현황'!$S:$S,'트랜드 분석_15일'!$F11)</f>
        <v>0</v>
      </c>
      <c r="CO11" s="85">
        <f>COUNTIFS('2023년 신조차 고장관리 세부현황'!$P:$P,"&gt;="&amp;'트랜드 분석_15일'!CN$9,'2023년 신조차 고장관리 세부현황'!$P:$P,"&lt;"&amp;'트랜드 분석_15일'!CO$9,'2023년 신조차 고장관리 세부현황'!$S:$S,'트랜드 분석_15일'!$F11)</f>
        <v>0</v>
      </c>
      <c r="CP11" s="85">
        <f>COUNTIFS('2023년 신조차 고장관리 세부현황'!$P:$P,"&gt;="&amp;'트랜드 분석_15일'!CO$9,'2023년 신조차 고장관리 세부현황'!$P:$P,"&lt;"&amp;'트랜드 분석_15일'!CP$9,'2023년 신조차 고장관리 세부현황'!$S:$S,'트랜드 분석_15일'!$F11)</f>
        <v>0</v>
      </c>
      <c r="CQ11" s="85">
        <f>COUNTIFS('2023년 신조차 고장관리 세부현황'!$P:$P,"&gt;="&amp;'트랜드 분석_15일'!CP$9,'2023년 신조차 고장관리 세부현황'!$P:$P,"&lt;"&amp;'트랜드 분석_15일'!CQ$9,'2023년 신조차 고장관리 세부현황'!$S:$S,'트랜드 분석_15일'!$F11)</f>
        <v>0</v>
      </c>
      <c r="CR11" s="85">
        <f>COUNTIFS('2023년 신조차 고장관리 세부현황'!$P:$P,"&gt;="&amp;'트랜드 분석_15일'!CQ$9,'2023년 신조차 고장관리 세부현황'!$P:$P,"&lt;"&amp;'트랜드 분석_15일'!CR$9,'2023년 신조차 고장관리 세부현황'!$S:$S,'트랜드 분석_15일'!$F11)</f>
        <v>0</v>
      </c>
      <c r="CS11" s="85">
        <f>COUNTIFS('2023년 신조차 고장관리 세부현황'!$P:$P,"&gt;="&amp;'트랜드 분석_15일'!CR$9,'2023년 신조차 고장관리 세부현황'!$P:$P,"&lt;"&amp;'트랜드 분석_15일'!CS$9,'2023년 신조차 고장관리 세부현황'!$S:$S,'트랜드 분석_15일'!$F11)</f>
        <v>0</v>
      </c>
      <c r="CT11" s="85">
        <f>COUNTIFS('2023년 신조차 고장관리 세부현황'!$P:$P,"&gt;="&amp;'트랜드 분석_15일'!CS$9,'2023년 신조차 고장관리 세부현황'!$P:$P,"&lt;"&amp;'트랜드 분석_15일'!CT$9,'2023년 신조차 고장관리 세부현황'!$S:$S,'트랜드 분석_15일'!$F11)</f>
        <v>0</v>
      </c>
      <c r="CU11" s="85">
        <f>COUNTIFS('2023년 신조차 고장관리 세부현황'!$P:$P,"&gt;="&amp;'트랜드 분석_15일'!CT$9,'2023년 신조차 고장관리 세부현황'!$P:$P,"&lt;"&amp;'트랜드 분석_15일'!CU$9,'2023년 신조차 고장관리 세부현황'!$S:$S,'트랜드 분석_15일'!$F11)</f>
        <v>0</v>
      </c>
      <c r="CV11" s="85">
        <f>COUNTIFS('2023년 신조차 고장관리 세부현황'!$P:$P,"&gt;="&amp;'트랜드 분석_15일'!CU$9,'2023년 신조차 고장관리 세부현황'!$P:$P,"&lt;"&amp;'트랜드 분석_15일'!CV$9,'2023년 신조차 고장관리 세부현황'!$S:$S,'트랜드 분석_15일'!$F11)</f>
        <v>0</v>
      </c>
      <c r="CW11" s="85">
        <f>COUNTIFS('2023년 신조차 고장관리 세부현황'!$P:$P,"&gt;="&amp;'트랜드 분석_15일'!CV$9,'2023년 신조차 고장관리 세부현황'!$P:$P,"&lt;"&amp;'트랜드 분석_15일'!CW$9,'2023년 신조차 고장관리 세부현황'!$S:$S,'트랜드 분석_15일'!$F11)</f>
        <v>0</v>
      </c>
    </row>
    <row r="12" spans="1:101" x14ac:dyDescent="0.4">
      <c r="A12" s="167">
        <v>5</v>
      </c>
      <c r="B12" s="167">
        <f t="shared" ca="1" si="0"/>
        <v>1015</v>
      </c>
      <c r="C12" s="167">
        <f t="shared" ca="1" si="1"/>
        <v>1746</v>
      </c>
      <c r="D12" s="167">
        <f t="shared" ca="1" si="2"/>
        <v>2111</v>
      </c>
      <c r="F12" s="85" t="s">
        <v>223</v>
      </c>
      <c r="G12" s="85">
        <f>COUNTIFS('2023년 신조차 고장관리 세부현황'!$P:$P,"&gt;="&amp;$G$8,'2023년 신조차 고장관리 세부현황'!$P:$P,"&lt;"&amp;'트랜드 분석_15일'!G$9,'2023년 신조차 고장관리 세부현황'!$S:$S,'트랜드 분석_15일'!$F12)</f>
        <v>0</v>
      </c>
      <c r="H12" s="85">
        <f>COUNTIFS('2023년 신조차 고장관리 세부현황'!$P:$P,"&gt;="&amp;'트랜드 분석_15일'!G$9,'2023년 신조차 고장관리 세부현황'!$P:$P,"&lt;"&amp;'트랜드 분석_15일'!H$9,'2023년 신조차 고장관리 세부현황'!$S:$S,'트랜드 분석_15일'!$F12)</f>
        <v>0</v>
      </c>
      <c r="I12" s="85">
        <f>COUNTIFS('2023년 신조차 고장관리 세부현황'!$P:$P,"&gt;="&amp;'트랜드 분석_15일'!H$9,'2023년 신조차 고장관리 세부현황'!$P:$P,"&lt;"&amp;'트랜드 분석_15일'!I$9,'2023년 신조차 고장관리 세부현황'!$S:$S,'트랜드 분석_15일'!$F12)</f>
        <v>0</v>
      </c>
      <c r="J12" s="85">
        <f>COUNTIFS('2023년 신조차 고장관리 세부현황'!$P:$P,"&gt;="&amp;'트랜드 분석_15일'!I$9,'2023년 신조차 고장관리 세부현황'!$P:$P,"&lt;"&amp;'트랜드 분석_15일'!J$9,'2023년 신조차 고장관리 세부현황'!$S:$S,'트랜드 분석_15일'!$F12)</f>
        <v>0</v>
      </c>
      <c r="K12" s="85">
        <f>COUNTIFS('2023년 신조차 고장관리 세부현황'!$P:$P,"&gt;="&amp;'트랜드 분석_15일'!J$9,'2023년 신조차 고장관리 세부현황'!$P:$P,"&lt;"&amp;'트랜드 분석_15일'!K$9,'2023년 신조차 고장관리 세부현황'!$S:$S,'트랜드 분석_15일'!$F12)</f>
        <v>0</v>
      </c>
      <c r="L12" s="85">
        <f>COUNTIFS('2023년 신조차 고장관리 세부현황'!$P:$P,"&gt;="&amp;'트랜드 분석_15일'!K$9,'2023년 신조차 고장관리 세부현황'!$P:$P,"&lt;"&amp;'트랜드 분석_15일'!L$9,'2023년 신조차 고장관리 세부현황'!$S:$S,'트랜드 분석_15일'!$F12)</f>
        <v>0</v>
      </c>
      <c r="M12" s="85">
        <f>COUNTIFS('2023년 신조차 고장관리 세부현황'!$P:$P,"&gt;="&amp;'트랜드 분석_15일'!L$9,'2023년 신조차 고장관리 세부현황'!$P:$P,"&lt;"&amp;'트랜드 분석_15일'!M$9,'2023년 신조차 고장관리 세부현황'!$S:$S,'트랜드 분석_15일'!$F12)</f>
        <v>0</v>
      </c>
      <c r="N12" s="85">
        <f>COUNTIFS('2023년 신조차 고장관리 세부현황'!$P:$P,"&gt;="&amp;'트랜드 분석_15일'!M$9,'2023년 신조차 고장관리 세부현황'!$P:$P,"&lt;"&amp;'트랜드 분석_15일'!N$9,'2023년 신조차 고장관리 세부현황'!$S:$S,'트랜드 분석_15일'!$F12)</f>
        <v>0</v>
      </c>
      <c r="O12" s="85">
        <f>COUNTIFS('2023년 신조차 고장관리 세부현황'!$P:$P,"&gt;="&amp;'트랜드 분석_15일'!N$9,'2023년 신조차 고장관리 세부현황'!$P:$P,"&lt;"&amp;'트랜드 분석_15일'!O$9,'2023년 신조차 고장관리 세부현황'!$S:$S,'트랜드 분석_15일'!$F12)</f>
        <v>0</v>
      </c>
      <c r="P12" s="85">
        <f>COUNTIFS('2023년 신조차 고장관리 세부현황'!$P:$P,"&gt;="&amp;'트랜드 분석_15일'!O$9,'2023년 신조차 고장관리 세부현황'!$P:$P,"&lt;"&amp;'트랜드 분석_15일'!P$9,'2023년 신조차 고장관리 세부현황'!$S:$S,'트랜드 분석_15일'!$F12)</f>
        <v>1</v>
      </c>
      <c r="Q12" s="85">
        <f>COUNTIFS('2023년 신조차 고장관리 세부현황'!$P:$P,"&gt;="&amp;'트랜드 분석_15일'!P$9,'2023년 신조차 고장관리 세부현황'!$P:$P,"&lt;"&amp;'트랜드 분석_15일'!Q$9,'2023년 신조차 고장관리 세부현황'!$S:$S,'트랜드 분석_15일'!$F12)</f>
        <v>0</v>
      </c>
      <c r="R12" s="85">
        <f>COUNTIFS('2023년 신조차 고장관리 세부현황'!$P:$P,"&gt;="&amp;'트랜드 분석_15일'!Q$9,'2023년 신조차 고장관리 세부현황'!$P:$P,"&lt;"&amp;'트랜드 분석_15일'!R$9,'2023년 신조차 고장관리 세부현황'!$S:$S,'트랜드 분석_15일'!$F12)</f>
        <v>2</v>
      </c>
      <c r="S12" s="85">
        <f>COUNTIFS('2023년 신조차 고장관리 세부현황'!$P:$P,"&gt;="&amp;'트랜드 분석_15일'!R$9,'2023년 신조차 고장관리 세부현황'!$P:$P,"&lt;"&amp;'트랜드 분석_15일'!S$9,'2023년 신조차 고장관리 세부현황'!$S:$S,'트랜드 분석_15일'!$F12)</f>
        <v>2</v>
      </c>
      <c r="T12" s="85">
        <f>COUNTIFS('2023년 신조차 고장관리 세부현황'!$P:$P,"&gt;="&amp;'트랜드 분석_15일'!S$9,'2023년 신조차 고장관리 세부현황'!$P:$P,"&lt;"&amp;'트랜드 분석_15일'!T$9,'2023년 신조차 고장관리 세부현황'!$S:$S,'트랜드 분석_15일'!$F12)</f>
        <v>0</v>
      </c>
      <c r="U12" s="85">
        <f>COUNTIFS('2023년 신조차 고장관리 세부현황'!$P:$P,"&gt;="&amp;'트랜드 분석_15일'!T$9,'2023년 신조차 고장관리 세부현황'!$P:$P,"&lt;"&amp;'트랜드 분석_15일'!U$9,'2023년 신조차 고장관리 세부현황'!$S:$S,'트랜드 분석_15일'!$F12)</f>
        <v>0</v>
      </c>
      <c r="V12" s="85">
        <f>COUNTIFS('2023년 신조차 고장관리 세부현황'!$P:$P,"&gt;="&amp;'트랜드 분석_15일'!U$9,'2023년 신조차 고장관리 세부현황'!$P:$P,"&lt;"&amp;'트랜드 분석_15일'!V$9,'2023년 신조차 고장관리 세부현황'!$S:$S,'트랜드 분석_15일'!$F12)</f>
        <v>0</v>
      </c>
      <c r="W12" s="85">
        <f>COUNTIFS('2023년 신조차 고장관리 세부현황'!$P:$P,"&gt;="&amp;'트랜드 분석_15일'!V$9,'2023년 신조차 고장관리 세부현황'!$P:$P,"&lt;"&amp;'트랜드 분석_15일'!W$9,'2023년 신조차 고장관리 세부현황'!$S:$S,'트랜드 분석_15일'!$F12)</f>
        <v>2</v>
      </c>
      <c r="X12" s="85">
        <f>COUNTIFS('2023년 신조차 고장관리 세부현황'!$P:$P,"&gt;="&amp;'트랜드 분석_15일'!W$9,'2023년 신조차 고장관리 세부현황'!$P:$P,"&lt;"&amp;'트랜드 분석_15일'!X$9,'2023년 신조차 고장관리 세부현황'!$S:$S,'트랜드 분석_15일'!$F12)</f>
        <v>0</v>
      </c>
      <c r="Y12" s="85">
        <f>COUNTIFS('2023년 신조차 고장관리 세부현황'!$P:$P,"&gt;="&amp;'트랜드 분석_15일'!X$9,'2023년 신조차 고장관리 세부현황'!$P:$P,"&lt;"&amp;'트랜드 분석_15일'!Y$9,'2023년 신조차 고장관리 세부현황'!$S:$S,'트랜드 분석_15일'!$F12)</f>
        <v>2</v>
      </c>
      <c r="Z12" s="85">
        <f>COUNTIFS('2023년 신조차 고장관리 세부현황'!$P:$P,"&gt;="&amp;'트랜드 분석_15일'!Y$9,'2023년 신조차 고장관리 세부현황'!$P:$P,"&lt;"&amp;'트랜드 분석_15일'!Z$9,'2023년 신조차 고장관리 세부현황'!$S:$S,'트랜드 분석_15일'!$F12)</f>
        <v>3</v>
      </c>
      <c r="AA12" s="85">
        <f>COUNTIFS('2023년 신조차 고장관리 세부현황'!$P:$P,"&gt;="&amp;'트랜드 분석_15일'!Z$9,'2023년 신조차 고장관리 세부현황'!$P:$P,"&lt;"&amp;'트랜드 분석_15일'!AA$9,'2023년 신조차 고장관리 세부현황'!$S:$S,'트랜드 분석_15일'!$F12)</f>
        <v>0</v>
      </c>
      <c r="AB12" s="85">
        <f>COUNTIFS('2023년 신조차 고장관리 세부현황'!$P:$P,"&gt;="&amp;'트랜드 분석_15일'!AA$9,'2023년 신조차 고장관리 세부현황'!$P:$P,"&lt;"&amp;'트랜드 분석_15일'!AB$9,'2023년 신조차 고장관리 세부현황'!$S:$S,'트랜드 분석_15일'!$F12)</f>
        <v>2</v>
      </c>
      <c r="AC12" s="85">
        <f>COUNTIFS('2023년 신조차 고장관리 세부현황'!$P:$P,"&gt;="&amp;'트랜드 분석_15일'!AB$9,'2023년 신조차 고장관리 세부현황'!$P:$P,"&lt;"&amp;'트랜드 분석_15일'!AC$9,'2023년 신조차 고장관리 세부현황'!$S:$S,'트랜드 분석_15일'!$F12)</f>
        <v>1</v>
      </c>
      <c r="AD12" s="85">
        <f>COUNTIFS('2023년 신조차 고장관리 세부현황'!$P:$P,"&gt;="&amp;'트랜드 분석_15일'!AC$9,'2023년 신조차 고장관리 세부현황'!$P:$P,"&lt;"&amp;'트랜드 분석_15일'!AD$9,'2023년 신조차 고장관리 세부현황'!$S:$S,'트랜드 분석_15일'!$F12)</f>
        <v>0</v>
      </c>
      <c r="AE12" s="85">
        <f>COUNTIFS('2023년 신조차 고장관리 세부현황'!$P:$P,"&gt;="&amp;'트랜드 분석_15일'!AD$9,'2023년 신조차 고장관리 세부현황'!$P:$P,"&lt;"&amp;'트랜드 분석_15일'!AE$9,'2023년 신조차 고장관리 세부현황'!$S:$S,'트랜드 분석_15일'!$F12)</f>
        <v>1</v>
      </c>
      <c r="AF12" s="85">
        <f>COUNTIFS('2023년 신조차 고장관리 세부현황'!$P:$P,"&gt;="&amp;'트랜드 분석_15일'!AE$9,'2023년 신조차 고장관리 세부현황'!$P:$P,"&lt;"&amp;'트랜드 분석_15일'!AF$9,'2023년 신조차 고장관리 세부현황'!$S:$S,'트랜드 분석_15일'!$F12)</f>
        <v>2</v>
      </c>
      <c r="AG12" s="85">
        <f>COUNTIFS('2023년 신조차 고장관리 세부현황'!$P:$P,"&gt;="&amp;'트랜드 분석_15일'!AF$9,'2023년 신조차 고장관리 세부현황'!$P:$P,"&lt;"&amp;'트랜드 분석_15일'!AG$9,'2023년 신조차 고장관리 세부현황'!$S:$S,'트랜드 분석_15일'!$F12)</f>
        <v>0</v>
      </c>
      <c r="AH12" s="85">
        <f>COUNTIFS('2023년 신조차 고장관리 세부현황'!$P:$P,"&gt;="&amp;'트랜드 분석_15일'!AG$9,'2023년 신조차 고장관리 세부현황'!$P:$P,"&lt;"&amp;'트랜드 분석_15일'!AH$9,'2023년 신조차 고장관리 세부현황'!$S:$S,'트랜드 분석_15일'!$F12)</f>
        <v>0</v>
      </c>
      <c r="AI12" s="85">
        <f>COUNTIFS('2023년 신조차 고장관리 세부현황'!$P:$P,"&gt;="&amp;'트랜드 분석_15일'!AH$9,'2023년 신조차 고장관리 세부현황'!$P:$P,"&lt;"&amp;'트랜드 분석_15일'!AI$9,'2023년 신조차 고장관리 세부현황'!$S:$S,'트랜드 분석_15일'!$F12)</f>
        <v>0</v>
      </c>
      <c r="AJ12" s="85">
        <f>COUNTIFS('2023년 신조차 고장관리 세부현황'!$P:$P,"&gt;="&amp;'트랜드 분석_15일'!AI$9,'2023년 신조차 고장관리 세부현황'!$P:$P,"&lt;"&amp;'트랜드 분석_15일'!AJ$9,'2023년 신조차 고장관리 세부현황'!$S:$S,'트랜드 분석_15일'!$F12)</f>
        <v>0</v>
      </c>
      <c r="AK12" s="85">
        <f>COUNTIFS('2023년 신조차 고장관리 세부현황'!$P:$P,"&gt;="&amp;'트랜드 분석_15일'!AJ$9,'2023년 신조차 고장관리 세부현황'!$P:$P,"&lt;"&amp;'트랜드 분석_15일'!AK$9,'2023년 신조차 고장관리 세부현황'!$S:$S,'트랜드 분석_15일'!$F12)</f>
        <v>0</v>
      </c>
      <c r="AL12" s="85">
        <f>COUNTIFS('2023년 신조차 고장관리 세부현황'!$P:$P,"&gt;="&amp;'트랜드 분석_15일'!AK$9,'2023년 신조차 고장관리 세부현황'!$P:$P,"&lt;"&amp;'트랜드 분석_15일'!AL$9,'2023년 신조차 고장관리 세부현황'!$S:$S,'트랜드 분석_15일'!$F12)</f>
        <v>0</v>
      </c>
      <c r="AM12" s="85">
        <f>COUNTIFS('2023년 신조차 고장관리 세부현황'!$P:$P,"&gt;="&amp;'트랜드 분석_15일'!AL$9,'2023년 신조차 고장관리 세부현황'!$P:$P,"&lt;"&amp;'트랜드 분석_15일'!AM$9,'2023년 신조차 고장관리 세부현황'!$S:$S,'트랜드 분석_15일'!$F12)</f>
        <v>0</v>
      </c>
      <c r="AN12" s="85">
        <f>COUNTIFS('2023년 신조차 고장관리 세부현황'!$P:$P,"&gt;="&amp;'트랜드 분석_15일'!AM$9,'2023년 신조차 고장관리 세부현황'!$P:$P,"&lt;"&amp;'트랜드 분석_15일'!AN$9,'2023년 신조차 고장관리 세부현황'!$S:$S,'트랜드 분석_15일'!$F12)</f>
        <v>0</v>
      </c>
      <c r="AO12" s="85">
        <f>COUNTIFS('2023년 신조차 고장관리 세부현황'!$P:$P,"&gt;="&amp;'트랜드 분석_15일'!AN$9,'2023년 신조차 고장관리 세부현황'!$P:$P,"&lt;"&amp;'트랜드 분석_15일'!AO$9,'2023년 신조차 고장관리 세부현황'!$S:$S,'트랜드 분석_15일'!$F12)</f>
        <v>0</v>
      </c>
      <c r="AP12" s="85">
        <f>COUNTIFS('2023년 신조차 고장관리 세부현황'!$P:$P,"&gt;="&amp;'트랜드 분석_15일'!AO$9,'2023년 신조차 고장관리 세부현황'!$P:$P,"&lt;"&amp;'트랜드 분석_15일'!AP$9,'2023년 신조차 고장관리 세부현황'!$S:$S,'트랜드 분석_15일'!$F12)</f>
        <v>0</v>
      </c>
      <c r="AQ12" s="85">
        <f>COUNTIFS('2023년 신조차 고장관리 세부현황'!$P:$P,"&gt;="&amp;'트랜드 분석_15일'!AP$9,'2023년 신조차 고장관리 세부현황'!$P:$P,"&lt;"&amp;'트랜드 분석_15일'!AQ$9,'2023년 신조차 고장관리 세부현황'!$S:$S,'트랜드 분석_15일'!$F12)</f>
        <v>0</v>
      </c>
      <c r="AR12" s="85">
        <f>COUNTIFS('2023년 신조차 고장관리 세부현황'!$P:$P,"&gt;="&amp;'트랜드 분석_15일'!AQ$9,'2023년 신조차 고장관리 세부현황'!$P:$P,"&lt;"&amp;'트랜드 분석_15일'!AR$9,'2023년 신조차 고장관리 세부현황'!$S:$S,'트랜드 분석_15일'!$F12)</f>
        <v>0</v>
      </c>
      <c r="AS12" s="85">
        <f>COUNTIFS('2023년 신조차 고장관리 세부현황'!$P:$P,"&gt;="&amp;'트랜드 분석_15일'!AR$9,'2023년 신조차 고장관리 세부현황'!$P:$P,"&lt;"&amp;'트랜드 분석_15일'!AS$9,'2023년 신조차 고장관리 세부현황'!$S:$S,'트랜드 분석_15일'!$F12)</f>
        <v>0</v>
      </c>
      <c r="AT12" s="85">
        <f>COUNTIFS('2023년 신조차 고장관리 세부현황'!$P:$P,"&gt;="&amp;'트랜드 분석_15일'!AS$9,'2023년 신조차 고장관리 세부현황'!$P:$P,"&lt;"&amp;'트랜드 분석_15일'!AT$9,'2023년 신조차 고장관리 세부현황'!$S:$S,'트랜드 분석_15일'!$F12)</f>
        <v>0</v>
      </c>
      <c r="AU12" s="85">
        <f>COUNTIFS('2023년 신조차 고장관리 세부현황'!$P:$P,"&gt;="&amp;'트랜드 분석_15일'!AT$9,'2023년 신조차 고장관리 세부현황'!$P:$P,"&lt;"&amp;'트랜드 분석_15일'!AU$9,'2023년 신조차 고장관리 세부현황'!$S:$S,'트랜드 분석_15일'!$F12)</f>
        <v>0</v>
      </c>
      <c r="AV12" s="85">
        <f>COUNTIFS('2023년 신조차 고장관리 세부현황'!$P:$P,"&gt;="&amp;'트랜드 분석_15일'!AU$9,'2023년 신조차 고장관리 세부현황'!$P:$P,"&lt;"&amp;'트랜드 분석_15일'!AV$9,'2023년 신조차 고장관리 세부현황'!$S:$S,'트랜드 분석_15일'!$F12)</f>
        <v>0</v>
      </c>
      <c r="AW12" s="85">
        <f>COUNTIFS('2023년 신조차 고장관리 세부현황'!$P:$P,"&gt;="&amp;'트랜드 분석_15일'!AV$9,'2023년 신조차 고장관리 세부현황'!$P:$P,"&lt;"&amp;'트랜드 분석_15일'!AW$9,'2023년 신조차 고장관리 세부현황'!$S:$S,'트랜드 분석_15일'!$F12)</f>
        <v>0</v>
      </c>
      <c r="AX12" s="85">
        <f>COUNTIFS('2023년 신조차 고장관리 세부현황'!$P:$P,"&gt;="&amp;'트랜드 분석_15일'!AW$9,'2023년 신조차 고장관리 세부현황'!$P:$P,"&lt;"&amp;'트랜드 분석_15일'!AX$9,'2023년 신조차 고장관리 세부현황'!$S:$S,'트랜드 분석_15일'!$F12)</f>
        <v>0</v>
      </c>
      <c r="AY12" s="85">
        <f>COUNTIFS('2023년 신조차 고장관리 세부현황'!$P:$P,"&gt;="&amp;'트랜드 분석_15일'!AX$9,'2023년 신조차 고장관리 세부현황'!$P:$P,"&lt;"&amp;'트랜드 분석_15일'!AY$9,'2023년 신조차 고장관리 세부현황'!$S:$S,'트랜드 분석_15일'!$F12)</f>
        <v>0</v>
      </c>
      <c r="AZ12" s="85">
        <f>COUNTIFS('2023년 신조차 고장관리 세부현황'!$P:$P,"&gt;="&amp;'트랜드 분석_15일'!AY$9,'2023년 신조차 고장관리 세부현황'!$P:$P,"&lt;"&amp;'트랜드 분석_15일'!AZ$9,'2023년 신조차 고장관리 세부현황'!$S:$S,'트랜드 분석_15일'!$F12)</f>
        <v>0</v>
      </c>
      <c r="BA12" s="85">
        <f>COUNTIFS('2023년 신조차 고장관리 세부현황'!$P:$P,"&gt;="&amp;'트랜드 분석_15일'!AZ$9,'2023년 신조차 고장관리 세부현황'!$P:$P,"&lt;"&amp;'트랜드 분석_15일'!BA$9,'2023년 신조차 고장관리 세부현황'!$S:$S,'트랜드 분석_15일'!$F12)</f>
        <v>0</v>
      </c>
      <c r="BB12" s="85">
        <f>COUNTIFS('2023년 신조차 고장관리 세부현황'!$P:$P,"&gt;="&amp;'트랜드 분석_15일'!BA$9,'2023년 신조차 고장관리 세부현황'!$P:$P,"&lt;"&amp;'트랜드 분석_15일'!BB$9,'2023년 신조차 고장관리 세부현황'!$S:$S,'트랜드 분석_15일'!$F12)</f>
        <v>0</v>
      </c>
      <c r="BC12" s="85">
        <f>COUNTIFS('2023년 신조차 고장관리 세부현황'!$P:$P,"&gt;="&amp;'트랜드 분석_15일'!BB$9,'2023년 신조차 고장관리 세부현황'!$P:$P,"&lt;"&amp;'트랜드 분석_15일'!BC$9,'2023년 신조차 고장관리 세부현황'!$S:$S,'트랜드 분석_15일'!$F12)</f>
        <v>0</v>
      </c>
      <c r="BD12" s="85">
        <f>COUNTIFS('2023년 신조차 고장관리 세부현황'!$P:$P,"&gt;="&amp;'트랜드 분석_15일'!BC$9,'2023년 신조차 고장관리 세부현황'!$P:$P,"&lt;"&amp;'트랜드 분석_15일'!BD$9,'2023년 신조차 고장관리 세부현황'!$S:$S,'트랜드 분석_15일'!$F12)</f>
        <v>0</v>
      </c>
      <c r="BE12" s="85">
        <f>COUNTIFS('2023년 신조차 고장관리 세부현황'!$P:$P,"&gt;="&amp;'트랜드 분석_15일'!BD$9,'2023년 신조차 고장관리 세부현황'!$P:$P,"&lt;"&amp;'트랜드 분석_15일'!BE$9,'2023년 신조차 고장관리 세부현황'!$S:$S,'트랜드 분석_15일'!$F12)</f>
        <v>0</v>
      </c>
      <c r="BF12" s="85">
        <f>COUNTIFS('2023년 신조차 고장관리 세부현황'!$P:$P,"&gt;="&amp;'트랜드 분석_15일'!BE$9,'2023년 신조차 고장관리 세부현황'!$P:$P,"&lt;"&amp;'트랜드 분석_15일'!BF$9,'2023년 신조차 고장관리 세부현황'!$S:$S,'트랜드 분석_15일'!$F12)</f>
        <v>0</v>
      </c>
      <c r="BG12" s="85">
        <f>COUNTIFS('2023년 신조차 고장관리 세부현황'!$P:$P,"&gt;="&amp;'트랜드 분석_15일'!BF$9,'2023년 신조차 고장관리 세부현황'!$P:$P,"&lt;"&amp;'트랜드 분석_15일'!BG$9,'2023년 신조차 고장관리 세부현황'!$S:$S,'트랜드 분석_15일'!$F12)</f>
        <v>0</v>
      </c>
      <c r="BH12" s="85">
        <f>COUNTIFS('2023년 신조차 고장관리 세부현황'!$P:$P,"&gt;="&amp;'트랜드 분석_15일'!BG$9,'2023년 신조차 고장관리 세부현황'!$P:$P,"&lt;"&amp;'트랜드 분석_15일'!BH$9,'2023년 신조차 고장관리 세부현황'!$S:$S,'트랜드 분석_15일'!$F12)</f>
        <v>0</v>
      </c>
      <c r="BI12" s="85">
        <f>COUNTIFS('2023년 신조차 고장관리 세부현황'!$P:$P,"&gt;="&amp;'트랜드 분석_15일'!BH$9,'2023년 신조차 고장관리 세부현황'!$P:$P,"&lt;"&amp;'트랜드 분석_15일'!BI$9,'2023년 신조차 고장관리 세부현황'!$S:$S,'트랜드 분석_15일'!$F12)</f>
        <v>0</v>
      </c>
      <c r="BJ12" s="85">
        <f>COUNTIFS('2023년 신조차 고장관리 세부현황'!$P:$P,"&gt;="&amp;'트랜드 분석_15일'!BI$9,'2023년 신조차 고장관리 세부현황'!$P:$P,"&lt;"&amp;'트랜드 분석_15일'!BJ$9,'2023년 신조차 고장관리 세부현황'!$S:$S,'트랜드 분석_15일'!$F12)</f>
        <v>0</v>
      </c>
      <c r="BK12" s="85">
        <f>COUNTIFS('2023년 신조차 고장관리 세부현황'!$P:$P,"&gt;="&amp;'트랜드 분석_15일'!BJ$9,'2023년 신조차 고장관리 세부현황'!$P:$P,"&lt;"&amp;'트랜드 분석_15일'!BK$9,'2023년 신조차 고장관리 세부현황'!$S:$S,'트랜드 분석_15일'!$F12)</f>
        <v>0</v>
      </c>
      <c r="BL12" s="85">
        <f>COUNTIFS('2023년 신조차 고장관리 세부현황'!$P:$P,"&gt;="&amp;'트랜드 분석_15일'!BK$9,'2023년 신조차 고장관리 세부현황'!$P:$P,"&lt;"&amp;'트랜드 분석_15일'!BL$9,'2023년 신조차 고장관리 세부현황'!$S:$S,'트랜드 분석_15일'!$F12)</f>
        <v>0</v>
      </c>
      <c r="BM12" s="85">
        <f>COUNTIFS('2023년 신조차 고장관리 세부현황'!$P:$P,"&gt;="&amp;'트랜드 분석_15일'!BL$9,'2023년 신조차 고장관리 세부현황'!$P:$P,"&lt;"&amp;'트랜드 분석_15일'!BM$9,'2023년 신조차 고장관리 세부현황'!$S:$S,'트랜드 분석_15일'!$F12)</f>
        <v>0</v>
      </c>
      <c r="BN12" s="85">
        <f>COUNTIFS('2023년 신조차 고장관리 세부현황'!$P:$P,"&gt;="&amp;'트랜드 분석_15일'!BM$9,'2023년 신조차 고장관리 세부현황'!$P:$P,"&lt;"&amp;'트랜드 분석_15일'!BN$9,'2023년 신조차 고장관리 세부현황'!$S:$S,'트랜드 분석_15일'!$F12)</f>
        <v>0</v>
      </c>
      <c r="BO12" s="85">
        <f>COUNTIFS('2023년 신조차 고장관리 세부현황'!$P:$P,"&gt;="&amp;'트랜드 분석_15일'!BN$9,'2023년 신조차 고장관리 세부현황'!$P:$P,"&lt;"&amp;'트랜드 분석_15일'!BO$9,'2023년 신조차 고장관리 세부현황'!$S:$S,'트랜드 분석_15일'!$F12)</f>
        <v>0</v>
      </c>
      <c r="BP12" s="85">
        <f>COUNTIFS('2023년 신조차 고장관리 세부현황'!$P:$P,"&gt;="&amp;'트랜드 분석_15일'!BO$9,'2023년 신조차 고장관리 세부현황'!$P:$P,"&lt;"&amp;'트랜드 분석_15일'!BP$9,'2023년 신조차 고장관리 세부현황'!$S:$S,'트랜드 분석_15일'!$F12)</f>
        <v>0</v>
      </c>
      <c r="BQ12" s="85">
        <f>COUNTIFS('2023년 신조차 고장관리 세부현황'!$P:$P,"&gt;="&amp;'트랜드 분석_15일'!BP$9,'2023년 신조차 고장관리 세부현황'!$P:$P,"&lt;"&amp;'트랜드 분석_15일'!BQ$9,'2023년 신조차 고장관리 세부현황'!$S:$S,'트랜드 분석_15일'!$F12)</f>
        <v>0</v>
      </c>
      <c r="BR12" s="85">
        <f>COUNTIFS('2023년 신조차 고장관리 세부현황'!$P:$P,"&gt;="&amp;'트랜드 분석_15일'!BQ$9,'2023년 신조차 고장관리 세부현황'!$P:$P,"&lt;"&amp;'트랜드 분석_15일'!BR$9,'2023년 신조차 고장관리 세부현황'!$S:$S,'트랜드 분석_15일'!$F12)</f>
        <v>0</v>
      </c>
      <c r="BS12" s="85">
        <f>COUNTIFS('2023년 신조차 고장관리 세부현황'!$P:$P,"&gt;="&amp;'트랜드 분석_15일'!BR$9,'2023년 신조차 고장관리 세부현황'!$P:$P,"&lt;"&amp;'트랜드 분석_15일'!BS$9,'2023년 신조차 고장관리 세부현황'!$S:$S,'트랜드 분석_15일'!$F12)</f>
        <v>0</v>
      </c>
      <c r="BT12" s="85">
        <f>COUNTIFS('2023년 신조차 고장관리 세부현황'!$P:$P,"&gt;="&amp;'트랜드 분석_15일'!BS$9,'2023년 신조차 고장관리 세부현황'!$P:$P,"&lt;"&amp;'트랜드 분석_15일'!BT$9,'2023년 신조차 고장관리 세부현황'!$S:$S,'트랜드 분석_15일'!$F12)</f>
        <v>0</v>
      </c>
      <c r="BU12" s="85">
        <f>COUNTIFS('2023년 신조차 고장관리 세부현황'!$P:$P,"&gt;="&amp;'트랜드 분석_15일'!BT$9,'2023년 신조차 고장관리 세부현황'!$P:$P,"&lt;"&amp;'트랜드 분석_15일'!BU$9,'2023년 신조차 고장관리 세부현황'!$S:$S,'트랜드 분석_15일'!$F12)</f>
        <v>0</v>
      </c>
      <c r="BV12" s="85">
        <f>COUNTIFS('2023년 신조차 고장관리 세부현황'!$P:$P,"&gt;="&amp;'트랜드 분석_15일'!BU$9,'2023년 신조차 고장관리 세부현황'!$P:$P,"&lt;"&amp;'트랜드 분석_15일'!BV$9,'2023년 신조차 고장관리 세부현황'!$S:$S,'트랜드 분석_15일'!$F12)</f>
        <v>0</v>
      </c>
      <c r="BW12" s="85">
        <f>COUNTIFS('2023년 신조차 고장관리 세부현황'!$P:$P,"&gt;="&amp;'트랜드 분석_15일'!BV$9,'2023년 신조차 고장관리 세부현황'!$P:$P,"&lt;"&amp;'트랜드 분석_15일'!BW$9,'2023년 신조차 고장관리 세부현황'!$S:$S,'트랜드 분석_15일'!$F12)</f>
        <v>0</v>
      </c>
      <c r="BX12" s="85">
        <f>COUNTIFS('2023년 신조차 고장관리 세부현황'!$P:$P,"&gt;="&amp;'트랜드 분석_15일'!BW$9,'2023년 신조차 고장관리 세부현황'!$P:$P,"&lt;"&amp;'트랜드 분석_15일'!BX$9,'2023년 신조차 고장관리 세부현황'!$S:$S,'트랜드 분석_15일'!$F12)</f>
        <v>0</v>
      </c>
      <c r="BY12" s="85">
        <f>COUNTIFS('2023년 신조차 고장관리 세부현황'!$P:$P,"&gt;="&amp;'트랜드 분석_15일'!BX$9,'2023년 신조차 고장관리 세부현황'!$P:$P,"&lt;"&amp;'트랜드 분석_15일'!BY$9,'2023년 신조차 고장관리 세부현황'!$S:$S,'트랜드 분석_15일'!$F12)</f>
        <v>0</v>
      </c>
      <c r="BZ12" s="85">
        <f>COUNTIFS('2023년 신조차 고장관리 세부현황'!$P:$P,"&gt;="&amp;'트랜드 분석_15일'!BY$9,'2023년 신조차 고장관리 세부현황'!$P:$P,"&lt;"&amp;'트랜드 분석_15일'!BZ$9,'2023년 신조차 고장관리 세부현황'!$S:$S,'트랜드 분석_15일'!$F12)</f>
        <v>0</v>
      </c>
      <c r="CA12" s="85">
        <f>COUNTIFS('2023년 신조차 고장관리 세부현황'!$P:$P,"&gt;="&amp;'트랜드 분석_15일'!BZ$9,'2023년 신조차 고장관리 세부현황'!$P:$P,"&lt;"&amp;'트랜드 분석_15일'!CA$9,'2023년 신조차 고장관리 세부현황'!$S:$S,'트랜드 분석_15일'!$F12)</f>
        <v>0</v>
      </c>
      <c r="CB12" s="85">
        <f>COUNTIFS('2023년 신조차 고장관리 세부현황'!$P:$P,"&gt;="&amp;'트랜드 분석_15일'!CA$9,'2023년 신조차 고장관리 세부현황'!$P:$P,"&lt;"&amp;'트랜드 분석_15일'!CB$9,'2023년 신조차 고장관리 세부현황'!$S:$S,'트랜드 분석_15일'!$F12)</f>
        <v>0</v>
      </c>
      <c r="CC12" s="85">
        <f>COUNTIFS('2023년 신조차 고장관리 세부현황'!$P:$P,"&gt;="&amp;'트랜드 분석_15일'!CB$9,'2023년 신조차 고장관리 세부현황'!$P:$P,"&lt;"&amp;'트랜드 분석_15일'!CC$9,'2023년 신조차 고장관리 세부현황'!$S:$S,'트랜드 분석_15일'!$F12)</f>
        <v>0</v>
      </c>
      <c r="CD12" s="85">
        <f>COUNTIFS('2023년 신조차 고장관리 세부현황'!$P:$P,"&gt;="&amp;'트랜드 분석_15일'!CC$9,'2023년 신조차 고장관리 세부현황'!$P:$P,"&lt;"&amp;'트랜드 분석_15일'!CD$9,'2023년 신조차 고장관리 세부현황'!$S:$S,'트랜드 분석_15일'!$F12)</f>
        <v>0</v>
      </c>
      <c r="CE12" s="85">
        <f>COUNTIFS('2023년 신조차 고장관리 세부현황'!$P:$P,"&gt;="&amp;'트랜드 분석_15일'!CD$9,'2023년 신조차 고장관리 세부현황'!$P:$P,"&lt;"&amp;'트랜드 분석_15일'!CE$9,'2023년 신조차 고장관리 세부현황'!$S:$S,'트랜드 분석_15일'!$F12)</f>
        <v>0</v>
      </c>
      <c r="CF12" s="85">
        <f>COUNTIFS('2023년 신조차 고장관리 세부현황'!$P:$P,"&gt;="&amp;'트랜드 분석_15일'!CE$9,'2023년 신조차 고장관리 세부현황'!$P:$P,"&lt;"&amp;'트랜드 분석_15일'!CF$9,'2023년 신조차 고장관리 세부현황'!$S:$S,'트랜드 분석_15일'!$F12)</f>
        <v>0</v>
      </c>
      <c r="CG12" s="85">
        <f>COUNTIFS('2023년 신조차 고장관리 세부현황'!$P:$P,"&gt;="&amp;'트랜드 분석_15일'!CF$9,'2023년 신조차 고장관리 세부현황'!$P:$P,"&lt;"&amp;'트랜드 분석_15일'!CG$9,'2023년 신조차 고장관리 세부현황'!$S:$S,'트랜드 분석_15일'!$F12)</f>
        <v>0</v>
      </c>
      <c r="CH12" s="85">
        <f>COUNTIFS('2023년 신조차 고장관리 세부현황'!$P:$P,"&gt;="&amp;'트랜드 분석_15일'!CG$9,'2023년 신조차 고장관리 세부현황'!$P:$P,"&lt;"&amp;'트랜드 분석_15일'!CH$9,'2023년 신조차 고장관리 세부현황'!$S:$S,'트랜드 분석_15일'!$F12)</f>
        <v>0</v>
      </c>
      <c r="CI12" s="85">
        <f>COUNTIFS('2023년 신조차 고장관리 세부현황'!$P:$P,"&gt;="&amp;'트랜드 분석_15일'!CH$9,'2023년 신조차 고장관리 세부현황'!$P:$P,"&lt;"&amp;'트랜드 분석_15일'!CI$9,'2023년 신조차 고장관리 세부현황'!$S:$S,'트랜드 분석_15일'!$F12)</f>
        <v>0</v>
      </c>
      <c r="CJ12" s="85">
        <f>COUNTIFS('2023년 신조차 고장관리 세부현황'!$P:$P,"&gt;="&amp;'트랜드 분석_15일'!CI$9,'2023년 신조차 고장관리 세부현황'!$P:$P,"&lt;"&amp;'트랜드 분석_15일'!CJ$9,'2023년 신조차 고장관리 세부현황'!$S:$S,'트랜드 분석_15일'!$F12)</f>
        <v>0</v>
      </c>
      <c r="CK12" s="85">
        <f>COUNTIFS('2023년 신조차 고장관리 세부현황'!$P:$P,"&gt;="&amp;'트랜드 분석_15일'!CJ$9,'2023년 신조차 고장관리 세부현황'!$P:$P,"&lt;"&amp;'트랜드 분석_15일'!CK$9,'2023년 신조차 고장관리 세부현황'!$S:$S,'트랜드 분석_15일'!$F12)</f>
        <v>0</v>
      </c>
      <c r="CL12" s="85">
        <f>COUNTIFS('2023년 신조차 고장관리 세부현황'!$P:$P,"&gt;="&amp;'트랜드 분석_15일'!CK$9,'2023년 신조차 고장관리 세부현황'!$P:$P,"&lt;"&amp;'트랜드 분석_15일'!CL$9,'2023년 신조차 고장관리 세부현황'!$S:$S,'트랜드 분석_15일'!$F12)</f>
        <v>0</v>
      </c>
      <c r="CM12" s="85">
        <f>COUNTIFS('2023년 신조차 고장관리 세부현황'!$P:$P,"&gt;="&amp;'트랜드 분석_15일'!CL$9,'2023년 신조차 고장관리 세부현황'!$P:$P,"&lt;"&amp;'트랜드 분석_15일'!CM$9,'2023년 신조차 고장관리 세부현황'!$S:$S,'트랜드 분석_15일'!$F12)</f>
        <v>0</v>
      </c>
      <c r="CN12" s="85">
        <f>COUNTIFS('2023년 신조차 고장관리 세부현황'!$P:$P,"&gt;="&amp;'트랜드 분석_15일'!CM$9,'2023년 신조차 고장관리 세부현황'!$P:$P,"&lt;"&amp;'트랜드 분석_15일'!CN$9,'2023년 신조차 고장관리 세부현황'!$S:$S,'트랜드 분석_15일'!$F12)</f>
        <v>0</v>
      </c>
      <c r="CO12" s="85">
        <f>COUNTIFS('2023년 신조차 고장관리 세부현황'!$P:$P,"&gt;="&amp;'트랜드 분석_15일'!CN$9,'2023년 신조차 고장관리 세부현황'!$P:$P,"&lt;"&amp;'트랜드 분석_15일'!CO$9,'2023년 신조차 고장관리 세부현황'!$S:$S,'트랜드 분석_15일'!$F12)</f>
        <v>0</v>
      </c>
      <c r="CP12" s="85">
        <f>COUNTIFS('2023년 신조차 고장관리 세부현황'!$P:$P,"&gt;="&amp;'트랜드 분석_15일'!CO$9,'2023년 신조차 고장관리 세부현황'!$P:$P,"&lt;"&amp;'트랜드 분석_15일'!CP$9,'2023년 신조차 고장관리 세부현황'!$S:$S,'트랜드 분석_15일'!$F12)</f>
        <v>0</v>
      </c>
      <c r="CQ12" s="85">
        <f>COUNTIFS('2023년 신조차 고장관리 세부현황'!$P:$P,"&gt;="&amp;'트랜드 분석_15일'!CP$9,'2023년 신조차 고장관리 세부현황'!$P:$P,"&lt;"&amp;'트랜드 분석_15일'!CQ$9,'2023년 신조차 고장관리 세부현황'!$S:$S,'트랜드 분석_15일'!$F12)</f>
        <v>0</v>
      </c>
      <c r="CR12" s="85">
        <f>COUNTIFS('2023년 신조차 고장관리 세부현황'!$P:$P,"&gt;="&amp;'트랜드 분석_15일'!CQ$9,'2023년 신조차 고장관리 세부현황'!$P:$P,"&lt;"&amp;'트랜드 분석_15일'!CR$9,'2023년 신조차 고장관리 세부현황'!$S:$S,'트랜드 분석_15일'!$F12)</f>
        <v>0</v>
      </c>
      <c r="CS12" s="85">
        <f>COUNTIFS('2023년 신조차 고장관리 세부현황'!$P:$P,"&gt;="&amp;'트랜드 분석_15일'!CR$9,'2023년 신조차 고장관리 세부현황'!$P:$P,"&lt;"&amp;'트랜드 분석_15일'!CS$9,'2023년 신조차 고장관리 세부현황'!$S:$S,'트랜드 분석_15일'!$F12)</f>
        <v>0</v>
      </c>
      <c r="CT12" s="85">
        <f>COUNTIFS('2023년 신조차 고장관리 세부현황'!$P:$P,"&gt;="&amp;'트랜드 분석_15일'!CS$9,'2023년 신조차 고장관리 세부현황'!$P:$P,"&lt;"&amp;'트랜드 분석_15일'!CT$9,'2023년 신조차 고장관리 세부현황'!$S:$S,'트랜드 분석_15일'!$F12)</f>
        <v>0</v>
      </c>
      <c r="CU12" s="85">
        <f>COUNTIFS('2023년 신조차 고장관리 세부현황'!$P:$P,"&gt;="&amp;'트랜드 분석_15일'!CT$9,'2023년 신조차 고장관리 세부현황'!$P:$P,"&lt;"&amp;'트랜드 분석_15일'!CU$9,'2023년 신조차 고장관리 세부현황'!$S:$S,'트랜드 분석_15일'!$F12)</f>
        <v>0</v>
      </c>
      <c r="CV12" s="85">
        <f>COUNTIFS('2023년 신조차 고장관리 세부현황'!$P:$P,"&gt;="&amp;'트랜드 분석_15일'!CU$9,'2023년 신조차 고장관리 세부현황'!$P:$P,"&lt;"&amp;'트랜드 분석_15일'!CV$9,'2023년 신조차 고장관리 세부현황'!$S:$S,'트랜드 분석_15일'!$F12)</f>
        <v>0</v>
      </c>
      <c r="CW12" s="85">
        <f>COUNTIFS('2023년 신조차 고장관리 세부현황'!$P:$P,"&gt;="&amp;'트랜드 분석_15일'!CV$9,'2023년 신조차 고장관리 세부현황'!$P:$P,"&lt;"&amp;'트랜드 분석_15일'!CW$9,'2023년 신조차 고장관리 세부현황'!$S:$S,'트랜드 분석_15일'!$F12)</f>
        <v>0</v>
      </c>
    </row>
    <row r="13" spans="1:101" x14ac:dyDescent="0.4">
      <c r="F13" s="85" t="s">
        <v>243</v>
      </c>
      <c r="G13" s="85">
        <f>G11+G12</f>
        <v>0</v>
      </c>
      <c r="H13" s="85">
        <f t="shared" ref="H13:BS13" si="26">H11+H12</f>
        <v>0</v>
      </c>
      <c r="I13" s="85">
        <f t="shared" si="26"/>
        <v>0</v>
      </c>
      <c r="J13" s="85">
        <f t="shared" si="26"/>
        <v>0</v>
      </c>
      <c r="K13" s="85">
        <f t="shared" si="26"/>
        <v>0</v>
      </c>
      <c r="L13" s="85">
        <f t="shared" si="26"/>
        <v>0</v>
      </c>
      <c r="M13" s="85">
        <f t="shared" si="26"/>
        <v>0</v>
      </c>
      <c r="N13" s="85">
        <f t="shared" si="26"/>
        <v>0</v>
      </c>
      <c r="O13" s="85">
        <f t="shared" si="26"/>
        <v>0</v>
      </c>
      <c r="P13" s="85">
        <f t="shared" si="26"/>
        <v>1</v>
      </c>
      <c r="Q13" s="85">
        <f t="shared" si="26"/>
        <v>0</v>
      </c>
      <c r="R13" s="85">
        <f t="shared" si="26"/>
        <v>2</v>
      </c>
      <c r="S13" s="85">
        <f t="shared" si="26"/>
        <v>2</v>
      </c>
      <c r="T13" s="85">
        <f t="shared" si="26"/>
        <v>0</v>
      </c>
      <c r="U13" s="85">
        <f t="shared" si="26"/>
        <v>0</v>
      </c>
      <c r="V13" s="85">
        <f t="shared" si="26"/>
        <v>0</v>
      </c>
      <c r="W13" s="85">
        <f t="shared" si="26"/>
        <v>2</v>
      </c>
      <c r="X13" s="85">
        <f t="shared" si="26"/>
        <v>0</v>
      </c>
      <c r="Y13" s="85">
        <f t="shared" si="26"/>
        <v>2</v>
      </c>
      <c r="Z13" s="85">
        <f t="shared" si="26"/>
        <v>3</v>
      </c>
      <c r="AA13" s="85">
        <f t="shared" si="26"/>
        <v>0</v>
      </c>
      <c r="AB13" s="85">
        <f t="shared" si="26"/>
        <v>2</v>
      </c>
      <c r="AC13" s="85">
        <f t="shared" si="26"/>
        <v>1</v>
      </c>
      <c r="AD13" s="85">
        <f t="shared" si="26"/>
        <v>0</v>
      </c>
      <c r="AE13" s="85">
        <f t="shared" si="26"/>
        <v>1</v>
      </c>
      <c r="AF13" s="85">
        <f t="shared" si="26"/>
        <v>2</v>
      </c>
      <c r="AG13" s="85">
        <f t="shared" si="26"/>
        <v>0</v>
      </c>
      <c r="AH13" s="85">
        <f t="shared" si="26"/>
        <v>0</v>
      </c>
      <c r="AI13" s="85">
        <f t="shared" si="26"/>
        <v>0</v>
      </c>
      <c r="AJ13" s="85">
        <f t="shared" si="26"/>
        <v>0</v>
      </c>
      <c r="AK13" s="85">
        <f t="shared" si="26"/>
        <v>0</v>
      </c>
      <c r="AL13" s="85">
        <f t="shared" si="26"/>
        <v>0</v>
      </c>
      <c r="AM13" s="85">
        <f t="shared" si="26"/>
        <v>0</v>
      </c>
      <c r="AN13" s="85">
        <f t="shared" si="26"/>
        <v>0</v>
      </c>
      <c r="AO13" s="85">
        <f t="shared" si="26"/>
        <v>0</v>
      </c>
      <c r="AP13" s="85">
        <f t="shared" si="26"/>
        <v>0</v>
      </c>
      <c r="AQ13" s="85">
        <f t="shared" si="26"/>
        <v>0</v>
      </c>
      <c r="AR13" s="85">
        <f t="shared" si="26"/>
        <v>0</v>
      </c>
      <c r="AS13" s="85">
        <f t="shared" si="26"/>
        <v>0</v>
      </c>
      <c r="AT13" s="85">
        <f t="shared" si="26"/>
        <v>0</v>
      </c>
      <c r="AU13" s="85">
        <f t="shared" si="26"/>
        <v>0</v>
      </c>
      <c r="AV13" s="85">
        <f t="shared" si="26"/>
        <v>0</v>
      </c>
      <c r="AW13" s="85">
        <f t="shared" si="26"/>
        <v>0</v>
      </c>
      <c r="AX13" s="85">
        <f t="shared" si="26"/>
        <v>0</v>
      </c>
      <c r="AY13" s="85">
        <f t="shared" si="26"/>
        <v>0</v>
      </c>
      <c r="AZ13" s="85">
        <f t="shared" si="26"/>
        <v>0</v>
      </c>
      <c r="BA13" s="85">
        <f t="shared" si="26"/>
        <v>0</v>
      </c>
      <c r="BB13" s="85">
        <f t="shared" si="26"/>
        <v>0</v>
      </c>
      <c r="BC13" s="85">
        <f t="shared" si="26"/>
        <v>0</v>
      </c>
      <c r="BD13" s="85">
        <f t="shared" si="26"/>
        <v>0</v>
      </c>
      <c r="BE13" s="85">
        <f t="shared" si="26"/>
        <v>0</v>
      </c>
      <c r="BF13" s="85">
        <f t="shared" si="26"/>
        <v>0</v>
      </c>
      <c r="BG13" s="85">
        <f t="shared" si="26"/>
        <v>0</v>
      </c>
      <c r="BH13" s="85">
        <f t="shared" si="26"/>
        <v>0</v>
      </c>
      <c r="BI13" s="85">
        <f t="shared" si="26"/>
        <v>0</v>
      </c>
      <c r="BJ13" s="85">
        <f t="shared" si="26"/>
        <v>0</v>
      </c>
      <c r="BK13" s="85">
        <f t="shared" si="26"/>
        <v>0</v>
      </c>
      <c r="BL13" s="85">
        <f t="shared" si="26"/>
        <v>0</v>
      </c>
      <c r="BM13" s="85">
        <f t="shared" si="26"/>
        <v>0</v>
      </c>
      <c r="BN13" s="85">
        <f t="shared" si="26"/>
        <v>0</v>
      </c>
      <c r="BO13" s="85">
        <f t="shared" si="26"/>
        <v>0</v>
      </c>
      <c r="BP13" s="85">
        <f t="shared" si="26"/>
        <v>0</v>
      </c>
      <c r="BQ13" s="85">
        <f t="shared" si="26"/>
        <v>0</v>
      </c>
      <c r="BR13" s="85">
        <f t="shared" si="26"/>
        <v>0</v>
      </c>
      <c r="BS13" s="85">
        <f t="shared" si="26"/>
        <v>0</v>
      </c>
      <c r="BT13" s="85">
        <f t="shared" ref="BT13:CH13" si="27">BT11+BT12</f>
        <v>0</v>
      </c>
      <c r="BU13" s="85">
        <f t="shared" si="27"/>
        <v>0</v>
      </c>
      <c r="BV13" s="85">
        <f t="shared" si="27"/>
        <v>0</v>
      </c>
      <c r="BW13" s="85">
        <f t="shared" si="27"/>
        <v>0</v>
      </c>
      <c r="BX13" s="85">
        <f t="shared" si="27"/>
        <v>0</v>
      </c>
      <c r="BY13" s="85">
        <f t="shared" si="27"/>
        <v>0</v>
      </c>
      <c r="BZ13" s="85">
        <f t="shared" si="27"/>
        <v>0</v>
      </c>
      <c r="CA13" s="85">
        <f t="shared" si="27"/>
        <v>0</v>
      </c>
      <c r="CB13" s="85">
        <f t="shared" si="27"/>
        <v>0</v>
      </c>
      <c r="CC13" s="85">
        <f t="shared" si="27"/>
        <v>0</v>
      </c>
      <c r="CD13" s="85">
        <f t="shared" si="27"/>
        <v>0</v>
      </c>
      <c r="CE13" s="85">
        <f t="shared" si="27"/>
        <v>0</v>
      </c>
      <c r="CF13" s="85">
        <f t="shared" si="27"/>
        <v>0</v>
      </c>
      <c r="CG13" s="85">
        <f t="shared" si="27"/>
        <v>0</v>
      </c>
      <c r="CH13" s="85">
        <f t="shared" si="27"/>
        <v>0</v>
      </c>
      <c r="CI13" s="85">
        <f t="shared" ref="CI13:CO13" si="28">CI11+CI12</f>
        <v>0</v>
      </c>
      <c r="CJ13" s="85">
        <f t="shared" si="28"/>
        <v>0</v>
      </c>
      <c r="CK13" s="85">
        <f t="shared" si="28"/>
        <v>0</v>
      </c>
      <c r="CL13" s="85">
        <f t="shared" si="28"/>
        <v>0</v>
      </c>
      <c r="CM13" s="85">
        <f t="shared" si="28"/>
        <v>0</v>
      </c>
      <c r="CN13" s="85">
        <f t="shared" si="28"/>
        <v>0</v>
      </c>
      <c r="CO13" s="85">
        <f t="shared" si="28"/>
        <v>0</v>
      </c>
      <c r="CP13" s="85">
        <f t="shared" ref="CP13:CW13" si="29">CP11+CP12</f>
        <v>0</v>
      </c>
      <c r="CQ13" s="85">
        <f t="shared" si="29"/>
        <v>0</v>
      </c>
      <c r="CR13" s="85">
        <f t="shared" si="29"/>
        <v>0</v>
      </c>
      <c r="CS13" s="85">
        <f t="shared" si="29"/>
        <v>0</v>
      </c>
      <c r="CT13" s="85">
        <f t="shared" si="29"/>
        <v>0</v>
      </c>
      <c r="CU13" s="85">
        <f t="shared" si="29"/>
        <v>0</v>
      </c>
      <c r="CV13" s="85">
        <f t="shared" si="29"/>
        <v>0</v>
      </c>
      <c r="CW13" s="85">
        <f t="shared" si="29"/>
        <v>0</v>
      </c>
    </row>
    <row r="14" spans="1:101" x14ac:dyDescent="0.4">
      <c r="A14" s="167">
        <v>6</v>
      </c>
      <c r="B14" s="167">
        <f t="shared" ca="1" si="0"/>
        <v>1015</v>
      </c>
      <c r="C14" s="167">
        <f t="shared" ca="1" si="1"/>
        <v>1746</v>
      </c>
      <c r="D14" s="167">
        <f t="shared" ca="1" si="2"/>
        <v>2111</v>
      </c>
      <c r="F14" s="86" t="s">
        <v>222</v>
      </c>
      <c r="G14" s="85">
        <f>COUNTIFS('2023년 신조차 고장관리 세부현황'!$P:$P,"&gt;="&amp;$G$8,'2023년 신조차 고장관리 세부현황'!$P:$P,"&lt;"&amp;'트랜드 분석_15일'!G$9,'2023년 신조차 고장관리 세부현황'!$S:$S,'트랜드 분석_15일'!$F14)</f>
        <v>0</v>
      </c>
      <c r="H14" s="85">
        <f>COUNTIFS('2023년 신조차 고장관리 세부현황'!$P:$P,"&gt;="&amp;'트랜드 분석_15일'!G$9,'2023년 신조차 고장관리 세부현황'!$P:$P,"&lt;"&amp;'트랜드 분석_15일'!H$9,'2023년 신조차 고장관리 세부현황'!$S:$S,'트랜드 분석_15일'!$F14)</f>
        <v>0</v>
      </c>
      <c r="I14" s="85">
        <f>COUNTIFS('2023년 신조차 고장관리 세부현황'!$P:$P,"&gt;="&amp;'트랜드 분석_15일'!H$9,'2023년 신조차 고장관리 세부현황'!$P:$P,"&lt;"&amp;'트랜드 분석_15일'!I$9,'2023년 신조차 고장관리 세부현황'!$S:$S,'트랜드 분석_15일'!$F14)</f>
        <v>0</v>
      </c>
      <c r="J14" s="85">
        <f>COUNTIFS('2023년 신조차 고장관리 세부현황'!$P:$P,"&gt;="&amp;'트랜드 분석_15일'!I$9,'2023년 신조차 고장관리 세부현황'!$P:$P,"&lt;"&amp;'트랜드 분석_15일'!J$9,'2023년 신조차 고장관리 세부현황'!$S:$S,'트랜드 분석_15일'!$F14)</f>
        <v>0</v>
      </c>
      <c r="K14" s="85">
        <f>COUNTIFS('2023년 신조차 고장관리 세부현황'!$P:$P,"&gt;="&amp;'트랜드 분석_15일'!J$9,'2023년 신조차 고장관리 세부현황'!$P:$P,"&lt;"&amp;'트랜드 분석_15일'!K$9,'2023년 신조차 고장관리 세부현황'!$S:$S,'트랜드 분석_15일'!$F14)</f>
        <v>0</v>
      </c>
      <c r="L14" s="85">
        <f>COUNTIFS('2023년 신조차 고장관리 세부현황'!$P:$P,"&gt;="&amp;'트랜드 분석_15일'!K$9,'2023년 신조차 고장관리 세부현황'!$P:$P,"&lt;"&amp;'트랜드 분석_15일'!L$9,'2023년 신조차 고장관리 세부현황'!$S:$S,'트랜드 분석_15일'!$F14)</f>
        <v>0</v>
      </c>
      <c r="M14" s="85">
        <f>COUNTIFS('2023년 신조차 고장관리 세부현황'!$P:$P,"&gt;="&amp;'트랜드 분석_15일'!L$9,'2023년 신조차 고장관리 세부현황'!$P:$P,"&lt;"&amp;'트랜드 분석_15일'!M$9,'2023년 신조차 고장관리 세부현황'!$S:$S,'트랜드 분석_15일'!$F14)</f>
        <v>0</v>
      </c>
      <c r="N14" s="85">
        <f>COUNTIFS('2023년 신조차 고장관리 세부현황'!$P:$P,"&gt;="&amp;'트랜드 분석_15일'!M$9,'2023년 신조차 고장관리 세부현황'!$P:$P,"&lt;"&amp;'트랜드 분석_15일'!N$9,'2023년 신조차 고장관리 세부현황'!$S:$S,'트랜드 분석_15일'!$F14)</f>
        <v>0</v>
      </c>
      <c r="O14" s="85">
        <f>COUNTIFS('2023년 신조차 고장관리 세부현황'!$P:$P,"&gt;="&amp;'트랜드 분석_15일'!N$9,'2023년 신조차 고장관리 세부현황'!$P:$P,"&lt;"&amp;'트랜드 분석_15일'!O$9,'2023년 신조차 고장관리 세부현황'!$S:$S,'트랜드 분석_15일'!$F14)</f>
        <v>0</v>
      </c>
      <c r="P14" s="85">
        <f>COUNTIFS('2023년 신조차 고장관리 세부현황'!$P:$P,"&gt;="&amp;'트랜드 분석_15일'!O$9,'2023년 신조차 고장관리 세부현황'!$P:$P,"&lt;"&amp;'트랜드 분석_15일'!P$9,'2023년 신조차 고장관리 세부현황'!$S:$S,'트랜드 분석_15일'!$F14)</f>
        <v>0</v>
      </c>
      <c r="Q14" s="85">
        <f>COUNTIFS('2023년 신조차 고장관리 세부현황'!$P:$P,"&gt;="&amp;'트랜드 분석_15일'!P$9,'2023년 신조차 고장관리 세부현황'!$P:$P,"&lt;"&amp;'트랜드 분석_15일'!Q$9,'2023년 신조차 고장관리 세부현황'!$S:$S,'트랜드 분석_15일'!$F14)</f>
        <v>0</v>
      </c>
      <c r="R14" s="85">
        <f>COUNTIFS('2023년 신조차 고장관리 세부현황'!$P:$P,"&gt;="&amp;'트랜드 분석_15일'!Q$9,'2023년 신조차 고장관리 세부현황'!$P:$P,"&lt;"&amp;'트랜드 분석_15일'!R$9,'2023년 신조차 고장관리 세부현황'!$S:$S,'트랜드 분석_15일'!$F14)</f>
        <v>0</v>
      </c>
      <c r="S14" s="85">
        <f>COUNTIFS('2023년 신조차 고장관리 세부현황'!$P:$P,"&gt;="&amp;'트랜드 분석_15일'!R$9,'2023년 신조차 고장관리 세부현황'!$P:$P,"&lt;"&amp;'트랜드 분석_15일'!S$9,'2023년 신조차 고장관리 세부현황'!$S:$S,'트랜드 분석_15일'!$F14)</f>
        <v>0</v>
      </c>
      <c r="T14" s="85">
        <f>COUNTIFS('2023년 신조차 고장관리 세부현황'!$P:$P,"&gt;="&amp;'트랜드 분석_15일'!S$9,'2023년 신조차 고장관리 세부현황'!$P:$P,"&lt;"&amp;'트랜드 분석_15일'!T$9,'2023년 신조차 고장관리 세부현황'!$S:$S,'트랜드 분석_15일'!$F14)</f>
        <v>0</v>
      </c>
      <c r="U14" s="85">
        <f>COUNTIFS('2023년 신조차 고장관리 세부현황'!$P:$P,"&gt;="&amp;'트랜드 분석_15일'!T$9,'2023년 신조차 고장관리 세부현황'!$P:$P,"&lt;"&amp;'트랜드 분석_15일'!U$9,'2023년 신조차 고장관리 세부현황'!$S:$S,'트랜드 분석_15일'!$F14)</f>
        <v>0</v>
      </c>
      <c r="V14" s="85">
        <f>COUNTIFS('2023년 신조차 고장관리 세부현황'!$P:$P,"&gt;="&amp;'트랜드 분석_15일'!U$9,'2023년 신조차 고장관리 세부현황'!$P:$P,"&lt;"&amp;'트랜드 분석_15일'!V$9,'2023년 신조차 고장관리 세부현황'!$S:$S,'트랜드 분석_15일'!$F14)</f>
        <v>0</v>
      </c>
      <c r="W14" s="85">
        <f>COUNTIFS('2023년 신조차 고장관리 세부현황'!$P:$P,"&gt;="&amp;'트랜드 분석_15일'!V$9,'2023년 신조차 고장관리 세부현황'!$P:$P,"&lt;"&amp;'트랜드 분석_15일'!W$9,'2023년 신조차 고장관리 세부현황'!$S:$S,'트랜드 분석_15일'!$F14)</f>
        <v>0</v>
      </c>
      <c r="X14" s="85">
        <f>COUNTIFS('2023년 신조차 고장관리 세부현황'!$P:$P,"&gt;="&amp;'트랜드 분석_15일'!W$9,'2023년 신조차 고장관리 세부현황'!$P:$P,"&lt;"&amp;'트랜드 분석_15일'!X$9,'2023년 신조차 고장관리 세부현황'!$S:$S,'트랜드 분석_15일'!$F14)</f>
        <v>0</v>
      </c>
      <c r="Y14" s="85">
        <f>COUNTIFS('2023년 신조차 고장관리 세부현황'!$P:$P,"&gt;="&amp;'트랜드 분석_15일'!X$9,'2023년 신조차 고장관리 세부현황'!$P:$P,"&lt;"&amp;'트랜드 분석_15일'!Y$9,'2023년 신조차 고장관리 세부현황'!$S:$S,'트랜드 분석_15일'!$F14)</f>
        <v>0</v>
      </c>
      <c r="Z14" s="85">
        <f>COUNTIFS('2023년 신조차 고장관리 세부현황'!$P:$P,"&gt;="&amp;'트랜드 분석_15일'!Y$9,'2023년 신조차 고장관리 세부현황'!$P:$P,"&lt;"&amp;'트랜드 분석_15일'!Z$9,'2023년 신조차 고장관리 세부현황'!$S:$S,'트랜드 분석_15일'!$F14)</f>
        <v>0</v>
      </c>
      <c r="AA14" s="85">
        <f>COUNTIFS('2023년 신조차 고장관리 세부현황'!$P:$P,"&gt;="&amp;'트랜드 분석_15일'!Z$9,'2023년 신조차 고장관리 세부현황'!$P:$P,"&lt;"&amp;'트랜드 분석_15일'!AA$9,'2023년 신조차 고장관리 세부현황'!$S:$S,'트랜드 분석_15일'!$F14)</f>
        <v>0</v>
      </c>
      <c r="AB14" s="85">
        <f>COUNTIFS('2023년 신조차 고장관리 세부현황'!$P:$P,"&gt;="&amp;'트랜드 분석_15일'!AA$9,'2023년 신조차 고장관리 세부현황'!$P:$P,"&lt;"&amp;'트랜드 분석_15일'!AB$9,'2023년 신조차 고장관리 세부현황'!$S:$S,'트랜드 분석_15일'!$F14)</f>
        <v>0</v>
      </c>
      <c r="AC14" s="85">
        <f>COUNTIFS('2023년 신조차 고장관리 세부현황'!$P:$P,"&gt;="&amp;'트랜드 분석_15일'!AB$9,'2023년 신조차 고장관리 세부현황'!$P:$P,"&lt;"&amp;'트랜드 분석_15일'!AC$9,'2023년 신조차 고장관리 세부현황'!$S:$S,'트랜드 분석_15일'!$F14)</f>
        <v>0</v>
      </c>
      <c r="AD14" s="85">
        <f>COUNTIFS('2023년 신조차 고장관리 세부현황'!$P:$P,"&gt;="&amp;'트랜드 분석_15일'!AC$9,'2023년 신조차 고장관리 세부현황'!$P:$P,"&lt;"&amp;'트랜드 분석_15일'!AD$9,'2023년 신조차 고장관리 세부현황'!$S:$S,'트랜드 분석_15일'!$F14)</f>
        <v>0</v>
      </c>
      <c r="AE14" s="85">
        <f>COUNTIFS('2023년 신조차 고장관리 세부현황'!$P:$P,"&gt;="&amp;'트랜드 분석_15일'!AD$9,'2023년 신조차 고장관리 세부현황'!$P:$P,"&lt;"&amp;'트랜드 분석_15일'!AE$9,'2023년 신조차 고장관리 세부현황'!$S:$S,'트랜드 분석_15일'!$F14)</f>
        <v>0</v>
      </c>
      <c r="AF14" s="85">
        <f>COUNTIFS('2023년 신조차 고장관리 세부현황'!$P:$P,"&gt;="&amp;'트랜드 분석_15일'!AE$9,'2023년 신조차 고장관리 세부현황'!$P:$P,"&lt;"&amp;'트랜드 분석_15일'!AF$9,'2023년 신조차 고장관리 세부현황'!$S:$S,'트랜드 분석_15일'!$F14)</f>
        <v>0</v>
      </c>
      <c r="AG14" s="85">
        <f>COUNTIFS('2023년 신조차 고장관리 세부현황'!$P:$P,"&gt;="&amp;'트랜드 분석_15일'!AF$9,'2023년 신조차 고장관리 세부현황'!$P:$P,"&lt;"&amp;'트랜드 분석_15일'!AG$9,'2023년 신조차 고장관리 세부현황'!$S:$S,'트랜드 분석_15일'!$F14)</f>
        <v>0</v>
      </c>
      <c r="AH14" s="85">
        <f>COUNTIFS('2023년 신조차 고장관리 세부현황'!$P:$P,"&gt;="&amp;'트랜드 분석_15일'!AG$9,'2023년 신조차 고장관리 세부현황'!$P:$P,"&lt;"&amp;'트랜드 분석_15일'!AH$9,'2023년 신조차 고장관리 세부현황'!$S:$S,'트랜드 분석_15일'!$F14)</f>
        <v>0</v>
      </c>
      <c r="AI14" s="85">
        <f>COUNTIFS('2023년 신조차 고장관리 세부현황'!$P:$P,"&gt;="&amp;'트랜드 분석_15일'!AH$9,'2023년 신조차 고장관리 세부현황'!$P:$P,"&lt;"&amp;'트랜드 분석_15일'!AI$9,'2023년 신조차 고장관리 세부현황'!$S:$S,'트랜드 분석_15일'!$F14)</f>
        <v>0</v>
      </c>
      <c r="AJ14" s="85">
        <f>COUNTIFS('2023년 신조차 고장관리 세부현황'!$P:$P,"&gt;="&amp;'트랜드 분석_15일'!AI$9,'2023년 신조차 고장관리 세부현황'!$P:$P,"&lt;"&amp;'트랜드 분석_15일'!AJ$9,'2023년 신조차 고장관리 세부현황'!$S:$S,'트랜드 분석_15일'!$F14)</f>
        <v>0</v>
      </c>
      <c r="AK14" s="85">
        <f>COUNTIFS('2023년 신조차 고장관리 세부현황'!$P:$P,"&gt;="&amp;'트랜드 분석_15일'!AJ$9,'2023년 신조차 고장관리 세부현황'!$P:$P,"&lt;"&amp;'트랜드 분석_15일'!AK$9,'2023년 신조차 고장관리 세부현황'!$S:$S,'트랜드 분석_15일'!$F14)</f>
        <v>0</v>
      </c>
      <c r="AL14" s="85">
        <f>COUNTIFS('2023년 신조차 고장관리 세부현황'!$P:$P,"&gt;="&amp;'트랜드 분석_15일'!AK$9,'2023년 신조차 고장관리 세부현황'!$P:$P,"&lt;"&amp;'트랜드 분석_15일'!AL$9,'2023년 신조차 고장관리 세부현황'!$S:$S,'트랜드 분석_15일'!$F14)</f>
        <v>0</v>
      </c>
      <c r="AM14" s="85">
        <f>COUNTIFS('2023년 신조차 고장관리 세부현황'!$P:$P,"&gt;="&amp;'트랜드 분석_15일'!AL$9,'2023년 신조차 고장관리 세부현황'!$P:$P,"&lt;"&amp;'트랜드 분석_15일'!AM$9,'2023년 신조차 고장관리 세부현황'!$S:$S,'트랜드 분석_15일'!$F14)</f>
        <v>0</v>
      </c>
      <c r="AN14" s="85">
        <f>COUNTIFS('2023년 신조차 고장관리 세부현황'!$P:$P,"&gt;="&amp;'트랜드 분석_15일'!AM$9,'2023년 신조차 고장관리 세부현황'!$P:$P,"&lt;"&amp;'트랜드 분석_15일'!AN$9,'2023년 신조차 고장관리 세부현황'!$S:$S,'트랜드 분석_15일'!$F14)</f>
        <v>0</v>
      </c>
      <c r="AO14" s="85">
        <f>COUNTIFS('2023년 신조차 고장관리 세부현황'!$P:$P,"&gt;="&amp;'트랜드 분석_15일'!AN$9,'2023년 신조차 고장관리 세부현황'!$P:$P,"&lt;"&amp;'트랜드 분석_15일'!AO$9,'2023년 신조차 고장관리 세부현황'!$S:$S,'트랜드 분석_15일'!$F14)</f>
        <v>0</v>
      </c>
      <c r="AP14" s="85">
        <f>COUNTIFS('2023년 신조차 고장관리 세부현황'!$P:$P,"&gt;="&amp;'트랜드 분석_15일'!AO$9,'2023년 신조차 고장관리 세부현황'!$P:$P,"&lt;"&amp;'트랜드 분석_15일'!AP$9,'2023년 신조차 고장관리 세부현황'!$S:$S,'트랜드 분석_15일'!$F14)</f>
        <v>0</v>
      </c>
      <c r="AQ14" s="85">
        <f>COUNTIFS('2023년 신조차 고장관리 세부현황'!$P:$P,"&gt;="&amp;'트랜드 분석_15일'!AP$9,'2023년 신조차 고장관리 세부현황'!$P:$P,"&lt;"&amp;'트랜드 분석_15일'!AQ$9,'2023년 신조차 고장관리 세부현황'!$S:$S,'트랜드 분석_15일'!$F14)</f>
        <v>0</v>
      </c>
      <c r="AR14" s="85">
        <f>COUNTIFS('2023년 신조차 고장관리 세부현황'!$P:$P,"&gt;="&amp;'트랜드 분석_15일'!AQ$9,'2023년 신조차 고장관리 세부현황'!$P:$P,"&lt;"&amp;'트랜드 분석_15일'!AR$9,'2023년 신조차 고장관리 세부현황'!$S:$S,'트랜드 분석_15일'!$F14)</f>
        <v>0</v>
      </c>
      <c r="AS14" s="85">
        <f>COUNTIFS('2023년 신조차 고장관리 세부현황'!$P:$P,"&gt;="&amp;'트랜드 분석_15일'!AR$9,'2023년 신조차 고장관리 세부현황'!$P:$P,"&lt;"&amp;'트랜드 분석_15일'!AS$9,'2023년 신조차 고장관리 세부현황'!$S:$S,'트랜드 분석_15일'!$F14)</f>
        <v>0</v>
      </c>
      <c r="AT14" s="85">
        <f>COUNTIFS('2023년 신조차 고장관리 세부현황'!$P:$P,"&gt;="&amp;'트랜드 분석_15일'!AS$9,'2023년 신조차 고장관리 세부현황'!$P:$P,"&lt;"&amp;'트랜드 분석_15일'!AT$9,'2023년 신조차 고장관리 세부현황'!$S:$S,'트랜드 분석_15일'!$F14)</f>
        <v>0</v>
      </c>
      <c r="AU14" s="85">
        <f>COUNTIFS('2023년 신조차 고장관리 세부현황'!$P:$P,"&gt;="&amp;'트랜드 분석_15일'!AT$9,'2023년 신조차 고장관리 세부현황'!$P:$P,"&lt;"&amp;'트랜드 분석_15일'!AU$9,'2023년 신조차 고장관리 세부현황'!$S:$S,'트랜드 분석_15일'!$F14)</f>
        <v>0</v>
      </c>
      <c r="AV14" s="85">
        <f>COUNTIFS('2023년 신조차 고장관리 세부현황'!$P:$P,"&gt;="&amp;'트랜드 분석_15일'!AU$9,'2023년 신조차 고장관리 세부현황'!$P:$P,"&lt;"&amp;'트랜드 분석_15일'!AV$9,'2023년 신조차 고장관리 세부현황'!$S:$S,'트랜드 분석_15일'!$F14)</f>
        <v>0</v>
      </c>
      <c r="AW14" s="85">
        <f>COUNTIFS('2023년 신조차 고장관리 세부현황'!$P:$P,"&gt;="&amp;'트랜드 분석_15일'!AV$9,'2023년 신조차 고장관리 세부현황'!$P:$P,"&lt;"&amp;'트랜드 분석_15일'!AW$9,'2023년 신조차 고장관리 세부현황'!$S:$S,'트랜드 분석_15일'!$F14)</f>
        <v>0</v>
      </c>
      <c r="AX14" s="85">
        <f>COUNTIFS('2023년 신조차 고장관리 세부현황'!$P:$P,"&gt;="&amp;'트랜드 분석_15일'!AW$9,'2023년 신조차 고장관리 세부현황'!$P:$P,"&lt;"&amp;'트랜드 분석_15일'!AX$9,'2023년 신조차 고장관리 세부현황'!$S:$S,'트랜드 분석_15일'!$F14)</f>
        <v>0</v>
      </c>
      <c r="AY14" s="85">
        <f>COUNTIFS('2023년 신조차 고장관리 세부현황'!$P:$P,"&gt;="&amp;'트랜드 분석_15일'!AX$9,'2023년 신조차 고장관리 세부현황'!$P:$P,"&lt;"&amp;'트랜드 분석_15일'!AY$9,'2023년 신조차 고장관리 세부현황'!$S:$S,'트랜드 분석_15일'!$F14)</f>
        <v>0</v>
      </c>
      <c r="AZ14" s="85">
        <f>COUNTIFS('2023년 신조차 고장관리 세부현황'!$P:$P,"&gt;="&amp;'트랜드 분석_15일'!AY$9,'2023년 신조차 고장관리 세부현황'!$P:$P,"&lt;"&amp;'트랜드 분석_15일'!AZ$9,'2023년 신조차 고장관리 세부현황'!$S:$S,'트랜드 분석_15일'!$F14)</f>
        <v>0</v>
      </c>
      <c r="BA14" s="85">
        <f>COUNTIFS('2023년 신조차 고장관리 세부현황'!$P:$P,"&gt;="&amp;'트랜드 분석_15일'!AZ$9,'2023년 신조차 고장관리 세부현황'!$P:$P,"&lt;"&amp;'트랜드 분석_15일'!BA$9,'2023년 신조차 고장관리 세부현황'!$S:$S,'트랜드 분석_15일'!$F14)</f>
        <v>0</v>
      </c>
      <c r="BB14" s="85">
        <f>COUNTIFS('2023년 신조차 고장관리 세부현황'!$P:$P,"&gt;="&amp;'트랜드 분석_15일'!BA$9,'2023년 신조차 고장관리 세부현황'!$P:$P,"&lt;"&amp;'트랜드 분석_15일'!BB$9,'2023년 신조차 고장관리 세부현황'!$S:$S,'트랜드 분석_15일'!$F14)</f>
        <v>0</v>
      </c>
      <c r="BC14" s="85">
        <f>COUNTIFS('2023년 신조차 고장관리 세부현황'!$P:$P,"&gt;="&amp;'트랜드 분석_15일'!BB$9,'2023년 신조차 고장관리 세부현황'!$P:$P,"&lt;"&amp;'트랜드 분석_15일'!BC$9,'2023년 신조차 고장관리 세부현황'!$S:$S,'트랜드 분석_15일'!$F14)</f>
        <v>0</v>
      </c>
      <c r="BD14" s="85">
        <f>COUNTIFS('2023년 신조차 고장관리 세부현황'!$P:$P,"&gt;="&amp;'트랜드 분석_15일'!BC$9,'2023년 신조차 고장관리 세부현황'!$P:$P,"&lt;"&amp;'트랜드 분석_15일'!BD$9,'2023년 신조차 고장관리 세부현황'!$S:$S,'트랜드 분석_15일'!$F14)</f>
        <v>0</v>
      </c>
      <c r="BE14" s="85">
        <f>COUNTIFS('2023년 신조차 고장관리 세부현황'!$P:$P,"&gt;="&amp;'트랜드 분석_15일'!BD$9,'2023년 신조차 고장관리 세부현황'!$P:$P,"&lt;"&amp;'트랜드 분석_15일'!BE$9,'2023년 신조차 고장관리 세부현황'!$S:$S,'트랜드 분석_15일'!$F14)</f>
        <v>0</v>
      </c>
      <c r="BF14" s="85">
        <f>COUNTIFS('2023년 신조차 고장관리 세부현황'!$P:$P,"&gt;="&amp;'트랜드 분석_15일'!BE$9,'2023년 신조차 고장관리 세부현황'!$P:$P,"&lt;"&amp;'트랜드 분석_15일'!BF$9,'2023년 신조차 고장관리 세부현황'!$S:$S,'트랜드 분석_15일'!$F14)</f>
        <v>0</v>
      </c>
      <c r="BG14" s="85">
        <f>COUNTIFS('2023년 신조차 고장관리 세부현황'!$P:$P,"&gt;="&amp;'트랜드 분석_15일'!BF$9,'2023년 신조차 고장관리 세부현황'!$P:$P,"&lt;"&amp;'트랜드 분석_15일'!BG$9,'2023년 신조차 고장관리 세부현황'!$S:$S,'트랜드 분석_15일'!$F14)</f>
        <v>0</v>
      </c>
      <c r="BH14" s="85">
        <f>COUNTIFS('2023년 신조차 고장관리 세부현황'!$P:$P,"&gt;="&amp;'트랜드 분석_15일'!BG$9,'2023년 신조차 고장관리 세부현황'!$P:$P,"&lt;"&amp;'트랜드 분석_15일'!BH$9,'2023년 신조차 고장관리 세부현황'!$S:$S,'트랜드 분석_15일'!$F14)</f>
        <v>0</v>
      </c>
      <c r="BI14" s="85">
        <f>COUNTIFS('2023년 신조차 고장관리 세부현황'!$P:$P,"&gt;="&amp;'트랜드 분석_15일'!BH$9,'2023년 신조차 고장관리 세부현황'!$P:$P,"&lt;"&amp;'트랜드 분석_15일'!BI$9,'2023년 신조차 고장관리 세부현황'!$S:$S,'트랜드 분석_15일'!$F14)</f>
        <v>0</v>
      </c>
      <c r="BJ14" s="85">
        <f>COUNTIFS('2023년 신조차 고장관리 세부현황'!$P:$P,"&gt;="&amp;'트랜드 분석_15일'!BI$9,'2023년 신조차 고장관리 세부현황'!$P:$P,"&lt;"&amp;'트랜드 분석_15일'!BJ$9,'2023년 신조차 고장관리 세부현황'!$S:$S,'트랜드 분석_15일'!$F14)</f>
        <v>0</v>
      </c>
      <c r="BK14" s="85">
        <f>COUNTIFS('2023년 신조차 고장관리 세부현황'!$P:$P,"&gt;="&amp;'트랜드 분석_15일'!BJ$9,'2023년 신조차 고장관리 세부현황'!$P:$P,"&lt;"&amp;'트랜드 분석_15일'!BK$9,'2023년 신조차 고장관리 세부현황'!$S:$S,'트랜드 분석_15일'!$F14)</f>
        <v>0</v>
      </c>
      <c r="BL14" s="85">
        <f>COUNTIFS('2023년 신조차 고장관리 세부현황'!$P:$P,"&gt;="&amp;'트랜드 분석_15일'!BK$9,'2023년 신조차 고장관리 세부현황'!$P:$P,"&lt;"&amp;'트랜드 분석_15일'!BL$9,'2023년 신조차 고장관리 세부현황'!$S:$S,'트랜드 분석_15일'!$F14)</f>
        <v>0</v>
      </c>
      <c r="BM14" s="85">
        <f>COUNTIFS('2023년 신조차 고장관리 세부현황'!$P:$P,"&gt;="&amp;'트랜드 분석_15일'!BL$9,'2023년 신조차 고장관리 세부현황'!$P:$P,"&lt;"&amp;'트랜드 분석_15일'!BM$9,'2023년 신조차 고장관리 세부현황'!$S:$S,'트랜드 분석_15일'!$F14)</f>
        <v>0</v>
      </c>
      <c r="BN14" s="85">
        <f>COUNTIFS('2023년 신조차 고장관리 세부현황'!$P:$P,"&gt;="&amp;'트랜드 분석_15일'!BM$9,'2023년 신조차 고장관리 세부현황'!$P:$P,"&lt;"&amp;'트랜드 분석_15일'!BN$9,'2023년 신조차 고장관리 세부현황'!$S:$S,'트랜드 분석_15일'!$F14)</f>
        <v>0</v>
      </c>
      <c r="BO14" s="85">
        <f>COUNTIFS('2023년 신조차 고장관리 세부현황'!$P:$P,"&gt;="&amp;'트랜드 분석_15일'!BN$9,'2023년 신조차 고장관리 세부현황'!$P:$P,"&lt;"&amp;'트랜드 분석_15일'!BO$9,'2023년 신조차 고장관리 세부현황'!$S:$S,'트랜드 분석_15일'!$F14)</f>
        <v>0</v>
      </c>
      <c r="BP14" s="85">
        <f>COUNTIFS('2023년 신조차 고장관리 세부현황'!$P:$P,"&gt;="&amp;'트랜드 분석_15일'!BO$9,'2023년 신조차 고장관리 세부현황'!$P:$P,"&lt;"&amp;'트랜드 분석_15일'!BP$9,'2023년 신조차 고장관리 세부현황'!$S:$S,'트랜드 분석_15일'!$F14)</f>
        <v>0</v>
      </c>
      <c r="BQ14" s="85">
        <f>COUNTIFS('2023년 신조차 고장관리 세부현황'!$P:$P,"&gt;="&amp;'트랜드 분석_15일'!BP$9,'2023년 신조차 고장관리 세부현황'!$P:$P,"&lt;"&amp;'트랜드 분석_15일'!BQ$9,'2023년 신조차 고장관리 세부현황'!$S:$S,'트랜드 분석_15일'!$F14)</f>
        <v>0</v>
      </c>
      <c r="BR14" s="85">
        <f>COUNTIFS('2023년 신조차 고장관리 세부현황'!$P:$P,"&gt;="&amp;'트랜드 분석_15일'!BQ$9,'2023년 신조차 고장관리 세부현황'!$P:$P,"&lt;"&amp;'트랜드 분석_15일'!BR$9,'2023년 신조차 고장관리 세부현황'!$S:$S,'트랜드 분석_15일'!$F14)</f>
        <v>0</v>
      </c>
      <c r="BS14" s="85">
        <f>COUNTIFS('2023년 신조차 고장관리 세부현황'!$P:$P,"&gt;="&amp;'트랜드 분석_15일'!BR$9,'2023년 신조차 고장관리 세부현황'!$P:$P,"&lt;"&amp;'트랜드 분석_15일'!BS$9,'2023년 신조차 고장관리 세부현황'!$S:$S,'트랜드 분석_15일'!$F14)</f>
        <v>0</v>
      </c>
      <c r="BT14" s="85">
        <f>COUNTIFS('2023년 신조차 고장관리 세부현황'!$P:$P,"&gt;="&amp;'트랜드 분석_15일'!BS$9,'2023년 신조차 고장관리 세부현황'!$P:$P,"&lt;"&amp;'트랜드 분석_15일'!BT$9,'2023년 신조차 고장관리 세부현황'!$S:$S,'트랜드 분석_15일'!$F14)</f>
        <v>0</v>
      </c>
      <c r="BU14" s="85">
        <f>COUNTIFS('2023년 신조차 고장관리 세부현황'!$P:$P,"&gt;="&amp;'트랜드 분석_15일'!BT$9,'2023년 신조차 고장관리 세부현황'!$P:$P,"&lt;"&amp;'트랜드 분석_15일'!BU$9,'2023년 신조차 고장관리 세부현황'!$S:$S,'트랜드 분석_15일'!$F14)</f>
        <v>0</v>
      </c>
      <c r="BV14" s="85">
        <f>COUNTIFS('2023년 신조차 고장관리 세부현황'!$P:$P,"&gt;="&amp;'트랜드 분석_15일'!BU$9,'2023년 신조차 고장관리 세부현황'!$P:$P,"&lt;"&amp;'트랜드 분석_15일'!BV$9,'2023년 신조차 고장관리 세부현황'!$S:$S,'트랜드 분석_15일'!$F14)</f>
        <v>0</v>
      </c>
      <c r="BW14" s="85">
        <f>COUNTIFS('2023년 신조차 고장관리 세부현황'!$P:$P,"&gt;="&amp;'트랜드 분석_15일'!BV$9,'2023년 신조차 고장관리 세부현황'!$P:$P,"&lt;"&amp;'트랜드 분석_15일'!BW$9,'2023년 신조차 고장관리 세부현황'!$S:$S,'트랜드 분석_15일'!$F14)</f>
        <v>0</v>
      </c>
      <c r="BX14" s="85">
        <f>COUNTIFS('2023년 신조차 고장관리 세부현황'!$P:$P,"&gt;="&amp;'트랜드 분석_15일'!BW$9,'2023년 신조차 고장관리 세부현황'!$P:$P,"&lt;"&amp;'트랜드 분석_15일'!BX$9,'2023년 신조차 고장관리 세부현황'!$S:$S,'트랜드 분석_15일'!$F14)</f>
        <v>0</v>
      </c>
      <c r="BY14" s="85">
        <f>COUNTIFS('2023년 신조차 고장관리 세부현황'!$P:$P,"&gt;="&amp;'트랜드 분석_15일'!BX$9,'2023년 신조차 고장관리 세부현황'!$P:$P,"&lt;"&amp;'트랜드 분석_15일'!BY$9,'2023년 신조차 고장관리 세부현황'!$S:$S,'트랜드 분석_15일'!$F14)</f>
        <v>0</v>
      </c>
      <c r="BZ14" s="85">
        <f>COUNTIFS('2023년 신조차 고장관리 세부현황'!$P:$P,"&gt;="&amp;'트랜드 분석_15일'!BY$9,'2023년 신조차 고장관리 세부현황'!$P:$P,"&lt;"&amp;'트랜드 분석_15일'!BZ$9,'2023년 신조차 고장관리 세부현황'!$S:$S,'트랜드 분석_15일'!$F14)</f>
        <v>0</v>
      </c>
      <c r="CA14" s="85">
        <f>COUNTIFS('2023년 신조차 고장관리 세부현황'!$P:$P,"&gt;="&amp;'트랜드 분석_15일'!BZ$9,'2023년 신조차 고장관리 세부현황'!$P:$P,"&lt;"&amp;'트랜드 분석_15일'!CA$9,'2023년 신조차 고장관리 세부현황'!$S:$S,'트랜드 분석_15일'!$F14)</f>
        <v>0</v>
      </c>
      <c r="CB14" s="85">
        <f>COUNTIFS('2023년 신조차 고장관리 세부현황'!$P:$P,"&gt;="&amp;'트랜드 분석_15일'!CA$9,'2023년 신조차 고장관리 세부현황'!$P:$P,"&lt;"&amp;'트랜드 분석_15일'!CB$9,'2023년 신조차 고장관리 세부현황'!$S:$S,'트랜드 분석_15일'!$F14)</f>
        <v>0</v>
      </c>
      <c r="CC14" s="85">
        <f>COUNTIFS('2023년 신조차 고장관리 세부현황'!$P:$P,"&gt;="&amp;'트랜드 분석_15일'!CB$9,'2023년 신조차 고장관리 세부현황'!$P:$P,"&lt;"&amp;'트랜드 분석_15일'!CC$9,'2023년 신조차 고장관리 세부현황'!$S:$S,'트랜드 분석_15일'!$F14)</f>
        <v>0</v>
      </c>
      <c r="CD14" s="85">
        <f>COUNTIFS('2023년 신조차 고장관리 세부현황'!$P:$P,"&gt;="&amp;'트랜드 분석_15일'!CC$9,'2023년 신조차 고장관리 세부현황'!$P:$P,"&lt;"&amp;'트랜드 분석_15일'!CD$9,'2023년 신조차 고장관리 세부현황'!$S:$S,'트랜드 분석_15일'!$F14)</f>
        <v>0</v>
      </c>
      <c r="CE14" s="85">
        <f>COUNTIFS('2023년 신조차 고장관리 세부현황'!$P:$P,"&gt;="&amp;'트랜드 분석_15일'!CD$9,'2023년 신조차 고장관리 세부현황'!$P:$P,"&lt;"&amp;'트랜드 분석_15일'!CE$9,'2023년 신조차 고장관리 세부현황'!$S:$S,'트랜드 분석_15일'!$F14)</f>
        <v>0</v>
      </c>
      <c r="CF14" s="85">
        <f>COUNTIFS('2023년 신조차 고장관리 세부현황'!$P:$P,"&gt;="&amp;'트랜드 분석_15일'!CE$9,'2023년 신조차 고장관리 세부현황'!$P:$P,"&lt;"&amp;'트랜드 분석_15일'!CF$9,'2023년 신조차 고장관리 세부현황'!$S:$S,'트랜드 분석_15일'!$F14)</f>
        <v>0</v>
      </c>
      <c r="CG14" s="85">
        <f>COUNTIFS('2023년 신조차 고장관리 세부현황'!$P:$P,"&gt;="&amp;'트랜드 분석_15일'!CF$9,'2023년 신조차 고장관리 세부현황'!$P:$P,"&lt;"&amp;'트랜드 분석_15일'!CG$9,'2023년 신조차 고장관리 세부현황'!$S:$S,'트랜드 분석_15일'!$F14)</f>
        <v>0</v>
      </c>
      <c r="CH14" s="85">
        <f>COUNTIFS('2023년 신조차 고장관리 세부현황'!$P:$P,"&gt;="&amp;'트랜드 분석_15일'!CG$9,'2023년 신조차 고장관리 세부현황'!$P:$P,"&lt;"&amp;'트랜드 분석_15일'!CH$9,'2023년 신조차 고장관리 세부현황'!$S:$S,'트랜드 분석_15일'!$F14)</f>
        <v>0</v>
      </c>
      <c r="CI14" s="85">
        <f>COUNTIFS('2023년 신조차 고장관리 세부현황'!$P:$P,"&gt;="&amp;'트랜드 분석_15일'!CH$9,'2023년 신조차 고장관리 세부현황'!$P:$P,"&lt;"&amp;'트랜드 분석_15일'!CI$9,'2023년 신조차 고장관리 세부현황'!$S:$S,'트랜드 분석_15일'!$F14)</f>
        <v>0</v>
      </c>
      <c r="CJ14" s="85">
        <f>COUNTIFS('2023년 신조차 고장관리 세부현황'!$P:$P,"&gt;="&amp;'트랜드 분석_15일'!CI$9,'2023년 신조차 고장관리 세부현황'!$P:$P,"&lt;"&amp;'트랜드 분석_15일'!CJ$9,'2023년 신조차 고장관리 세부현황'!$S:$S,'트랜드 분석_15일'!$F14)</f>
        <v>0</v>
      </c>
      <c r="CK14" s="85">
        <f>COUNTIFS('2023년 신조차 고장관리 세부현황'!$P:$P,"&gt;="&amp;'트랜드 분석_15일'!CJ$9,'2023년 신조차 고장관리 세부현황'!$P:$P,"&lt;"&amp;'트랜드 분석_15일'!CK$9,'2023년 신조차 고장관리 세부현황'!$S:$S,'트랜드 분석_15일'!$F14)</f>
        <v>0</v>
      </c>
      <c r="CL14" s="85">
        <f>COUNTIFS('2023년 신조차 고장관리 세부현황'!$P:$P,"&gt;="&amp;'트랜드 분석_15일'!CK$9,'2023년 신조차 고장관리 세부현황'!$P:$P,"&lt;"&amp;'트랜드 분석_15일'!CL$9,'2023년 신조차 고장관리 세부현황'!$S:$S,'트랜드 분석_15일'!$F14)</f>
        <v>0</v>
      </c>
      <c r="CM14" s="85">
        <f>COUNTIFS('2023년 신조차 고장관리 세부현황'!$P:$P,"&gt;="&amp;'트랜드 분석_15일'!CL$9,'2023년 신조차 고장관리 세부현황'!$P:$P,"&lt;"&amp;'트랜드 분석_15일'!CM$9,'2023년 신조차 고장관리 세부현황'!$S:$S,'트랜드 분석_15일'!$F14)</f>
        <v>0</v>
      </c>
      <c r="CN14" s="85">
        <f>COUNTIFS('2023년 신조차 고장관리 세부현황'!$P:$P,"&gt;="&amp;'트랜드 분석_15일'!CM$9,'2023년 신조차 고장관리 세부현황'!$P:$P,"&lt;"&amp;'트랜드 분석_15일'!CN$9,'2023년 신조차 고장관리 세부현황'!$S:$S,'트랜드 분석_15일'!$F14)</f>
        <v>0</v>
      </c>
      <c r="CO14" s="85">
        <f>COUNTIFS('2023년 신조차 고장관리 세부현황'!$P:$P,"&gt;="&amp;'트랜드 분석_15일'!CN$9,'2023년 신조차 고장관리 세부현황'!$P:$P,"&lt;"&amp;'트랜드 분석_15일'!CO$9,'2023년 신조차 고장관리 세부현황'!$S:$S,'트랜드 분석_15일'!$F14)</f>
        <v>0</v>
      </c>
      <c r="CP14" s="85">
        <f>COUNTIFS('2023년 신조차 고장관리 세부현황'!$P:$P,"&gt;="&amp;'트랜드 분석_15일'!CO$9,'2023년 신조차 고장관리 세부현황'!$P:$P,"&lt;"&amp;'트랜드 분석_15일'!CP$9,'2023년 신조차 고장관리 세부현황'!$S:$S,'트랜드 분석_15일'!$F14)</f>
        <v>0</v>
      </c>
      <c r="CQ14" s="85">
        <f>COUNTIFS('2023년 신조차 고장관리 세부현황'!$P:$P,"&gt;="&amp;'트랜드 분석_15일'!CP$9,'2023년 신조차 고장관리 세부현황'!$P:$P,"&lt;"&amp;'트랜드 분석_15일'!CQ$9,'2023년 신조차 고장관리 세부현황'!$S:$S,'트랜드 분석_15일'!$F14)</f>
        <v>0</v>
      </c>
      <c r="CR14" s="85">
        <f>COUNTIFS('2023년 신조차 고장관리 세부현황'!$P:$P,"&gt;="&amp;'트랜드 분석_15일'!CQ$9,'2023년 신조차 고장관리 세부현황'!$P:$P,"&lt;"&amp;'트랜드 분석_15일'!CR$9,'2023년 신조차 고장관리 세부현황'!$S:$S,'트랜드 분석_15일'!$F14)</f>
        <v>0</v>
      </c>
      <c r="CS14" s="85">
        <f>COUNTIFS('2023년 신조차 고장관리 세부현황'!$P:$P,"&gt;="&amp;'트랜드 분석_15일'!CR$9,'2023년 신조차 고장관리 세부현황'!$P:$P,"&lt;"&amp;'트랜드 분석_15일'!CS$9,'2023년 신조차 고장관리 세부현황'!$S:$S,'트랜드 분석_15일'!$F14)</f>
        <v>0</v>
      </c>
      <c r="CT14" s="85">
        <f>COUNTIFS('2023년 신조차 고장관리 세부현황'!$P:$P,"&gt;="&amp;'트랜드 분석_15일'!CS$9,'2023년 신조차 고장관리 세부현황'!$P:$P,"&lt;"&amp;'트랜드 분석_15일'!CT$9,'2023년 신조차 고장관리 세부현황'!$S:$S,'트랜드 분석_15일'!$F14)</f>
        <v>0</v>
      </c>
      <c r="CU14" s="85">
        <f>COUNTIFS('2023년 신조차 고장관리 세부현황'!$P:$P,"&gt;="&amp;'트랜드 분석_15일'!CT$9,'2023년 신조차 고장관리 세부현황'!$P:$P,"&lt;"&amp;'트랜드 분석_15일'!CU$9,'2023년 신조차 고장관리 세부현황'!$S:$S,'트랜드 분석_15일'!$F14)</f>
        <v>0</v>
      </c>
      <c r="CV14" s="85">
        <f>COUNTIFS('2023년 신조차 고장관리 세부현황'!$P:$P,"&gt;="&amp;'트랜드 분석_15일'!CU$9,'2023년 신조차 고장관리 세부현황'!$P:$P,"&lt;"&amp;'트랜드 분석_15일'!CV$9,'2023년 신조차 고장관리 세부현황'!$S:$S,'트랜드 분석_15일'!$F14)</f>
        <v>0</v>
      </c>
      <c r="CW14" s="85">
        <f>COUNTIFS('2023년 신조차 고장관리 세부현황'!$P:$P,"&gt;="&amp;'트랜드 분석_15일'!CV$9,'2023년 신조차 고장관리 세부현황'!$P:$P,"&lt;"&amp;'트랜드 분석_15일'!CW$9,'2023년 신조차 고장관리 세부현황'!$S:$S,'트랜드 분석_15일'!$F14)</f>
        <v>0</v>
      </c>
    </row>
    <row r="16" spans="1:101" x14ac:dyDescent="0.4">
      <c r="A16" s="167">
        <v>7</v>
      </c>
      <c r="B16" s="167">
        <f t="shared" ca="1" si="0"/>
        <v>1015</v>
      </c>
      <c r="C16" s="167">
        <f t="shared" ca="1" si="1"/>
        <v>1746</v>
      </c>
      <c r="D16" s="167">
        <f t="shared" ca="1" si="2"/>
        <v>2111</v>
      </c>
      <c r="F16" t="s">
        <v>244</v>
      </c>
    </row>
    <row r="17" spans="1:102" s="167" customFormat="1" x14ac:dyDescent="0.4">
      <c r="A17" s="167">
        <v>14</v>
      </c>
      <c r="B17" s="167">
        <f t="shared" ca="1" si="0"/>
        <v>1015</v>
      </c>
      <c r="C17" s="167">
        <f t="shared" ca="1" si="1"/>
        <v>1746</v>
      </c>
      <c r="D17" s="167">
        <f t="shared" ca="1" si="2"/>
        <v>2111</v>
      </c>
      <c r="F17" s="85" t="s">
        <v>242</v>
      </c>
      <c r="G17" s="85">
        <v>1</v>
      </c>
      <c r="H17" s="85">
        <v>2</v>
      </c>
      <c r="I17" s="85">
        <v>3</v>
      </c>
      <c r="J17" s="85">
        <v>4</v>
      </c>
      <c r="K17" s="85">
        <v>5</v>
      </c>
      <c r="L17" s="85">
        <v>6</v>
      </c>
      <c r="M17" s="85">
        <v>7</v>
      </c>
      <c r="N17" s="85">
        <v>8</v>
      </c>
      <c r="O17" s="85">
        <v>9</v>
      </c>
      <c r="P17" s="85">
        <v>10</v>
      </c>
      <c r="Q17" s="85">
        <v>11</v>
      </c>
      <c r="R17" s="85">
        <v>12</v>
      </c>
      <c r="S17" s="85">
        <v>13</v>
      </c>
      <c r="T17" s="85">
        <v>14</v>
      </c>
      <c r="U17" s="85">
        <v>15</v>
      </c>
      <c r="V17" s="85">
        <v>16</v>
      </c>
      <c r="W17" s="85">
        <v>17</v>
      </c>
      <c r="X17" s="85">
        <v>18</v>
      </c>
      <c r="Y17" s="85">
        <v>19</v>
      </c>
      <c r="Z17" s="85">
        <v>20</v>
      </c>
      <c r="AA17" s="85">
        <v>21</v>
      </c>
      <c r="AB17" s="85">
        <v>22</v>
      </c>
      <c r="AC17" s="85">
        <v>23</v>
      </c>
      <c r="AD17" s="85">
        <v>24</v>
      </c>
      <c r="AE17" s="85">
        <v>25</v>
      </c>
      <c r="AF17" s="85">
        <v>26</v>
      </c>
      <c r="AG17" s="85">
        <v>27</v>
      </c>
      <c r="AH17" s="85">
        <v>28</v>
      </c>
      <c r="AI17" s="85">
        <v>29</v>
      </c>
      <c r="AJ17" s="85">
        <v>30</v>
      </c>
      <c r="AK17" s="85">
        <v>31</v>
      </c>
      <c r="AL17" s="85">
        <v>32</v>
      </c>
      <c r="AM17" s="85">
        <v>33</v>
      </c>
      <c r="AN17" s="85">
        <v>34</v>
      </c>
      <c r="AO17" s="85">
        <v>35</v>
      </c>
      <c r="AP17" s="85">
        <v>36</v>
      </c>
      <c r="AQ17" s="85">
        <v>37</v>
      </c>
      <c r="AR17" s="85">
        <v>38</v>
      </c>
      <c r="AS17" s="85">
        <v>39</v>
      </c>
      <c r="AT17" s="85">
        <v>40</v>
      </c>
      <c r="AU17" s="85">
        <v>41</v>
      </c>
      <c r="AV17" s="85">
        <v>42</v>
      </c>
      <c r="AW17" s="85">
        <v>43</v>
      </c>
      <c r="AX17" s="85">
        <v>44</v>
      </c>
      <c r="AY17" s="85">
        <v>45</v>
      </c>
      <c r="AZ17" s="85">
        <v>46</v>
      </c>
      <c r="BA17" s="85">
        <v>47</v>
      </c>
      <c r="BB17" s="85">
        <v>48</v>
      </c>
      <c r="BC17" s="85">
        <v>49</v>
      </c>
      <c r="BD17" s="85">
        <v>50</v>
      </c>
      <c r="BE17" s="85">
        <v>51</v>
      </c>
      <c r="BF17" s="85">
        <v>52</v>
      </c>
      <c r="BG17" s="85">
        <v>53</v>
      </c>
      <c r="BH17" s="85">
        <v>54</v>
      </c>
      <c r="BI17" s="85">
        <v>55</v>
      </c>
      <c r="BJ17" s="85">
        <v>56</v>
      </c>
      <c r="BK17" s="85">
        <v>57</v>
      </c>
      <c r="BL17" s="85">
        <v>58</v>
      </c>
      <c r="BM17" s="85">
        <v>59</v>
      </c>
      <c r="BN17" s="85">
        <v>60</v>
      </c>
      <c r="BO17" s="85">
        <v>61</v>
      </c>
      <c r="BP17" s="85">
        <v>62</v>
      </c>
      <c r="BQ17" s="85">
        <v>63</v>
      </c>
      <c r="BR17" s="85">
        <v>64</v>
      </c>
      <c r="BS17" s="85">
        <v>65</v>
      </c>
      <c r="BT17" s="85">
        <v>66</v>
      </c>
      <c r="BU17" s="85">
        <v>67</v>
      </c>
      <c r="BV17" s="85">
        <v>68</v>
      </c>
      <c r="BW17" s="85">
        <v>69</v>
      </c>
      <c r="BX17" s="85">
        <v>70</v>
      </c>
      <c r="BY17" s="85">
        <v>71</v>
      </c>
      <c r="BZ17" s="85">
        <v>72</v>
      </c>
      <c r="CA17" s="85">
        <v>73</v>
      </c>
      <c r="CB17" s="85">
        <v>74</v>
      </c>
      <c r="CC17" s="85">
        <v>75</v>
      </c>
      <c r="CD17" s="85">
        <v>76</v>
      </c>
      <c r="CE17" s="85">
        <v>77</v>
      </c>
      <c r="CF17" s="85">
        <v>78</v>
      </c>
      <c r="CG17" s="85">
        <v>79</v>
      </c>
      <c r="CH17" s="85">
        <v>80</v>
      </c>
      <c r="CI17" s="85">
        <v>81</v>
      </c>
      <c r="CJ17" s="85">
        <v>82</v>
      </c>
      <c r="CK17" s="85">
        <v>83</v>
      </c>
      <c r="CL17" s="85">
        <v>84</v>
      </c>
      <c r="CM17" s="85">
        <v>85</v>
      </c>
      <c r="CN17" s="85">
        <v>86</v>
      </c>
      <c r="CO17" s="85">
        <v>87</v>
      </c>
      <c r="CP17" s="85">
        <v>88</v>
      </c>
      <c r="CQ17" s="85">
        <v>89</v>
      </c>
      <c r="CR17" s="85">
        <v>90</v>
      </c>
      <c r="CS17" s="85">
        <v>91</v>
      </c>
      <c r="CT17" s="85">
        <v>92</v>
      </c>
      <c r="CU17" s="85">
        <v>93</v>
      </c>
      <c r="CV17" s="85">
        <v>94</v>
      </c>
      <c r="CW17" s="85">
        <v>95</v>
      </c>
    </row>
    <row r="18" spans="1:102" s="167" customFormat="1" x14ac:dyDescent="0.4">
      <c r="A18" s="167">
        <v>15</v>
      </c>
      <c r="B18" s="167">
        <f t="shared" ca="1" si="0"/>
        <v>1015</v>
      </c>
      <c r="C18" s="167">
        <f t="shared" ca="1" si="1"/>
        <v>1746</v>
      </c>
      <c r="D18" s="167">
        <f t="shared" ca="1" si="2"/>
        <v>2111</v>
      </c>
      <c r="F18" s="85" t="s">
        <v>239</v>
      </c>
      <c r="G18" s="139">
        <f>15*G17</f>
        <v>15</v>
      </c>
      <c r="H18" s="139">
        <f t="shared" ref="H18" si="30">15*H17</f>
        <v>30</v>
      </c>
      <c r="I18" s="139">
        <f t="shared" ref="I18" si="31">15*I17</f>
        <v>45</v>
      </c>
      <c r="J18" s="139">
        <f t="shared" ref="J18" si="32">15*J17</f>
        <v>60</v>
      </c>
      <c r="K18" s="139">
        <f t="shared" ref="K18" si="33">15*K17</f>
        <v>75</v>
      </c>
      <c r="L18" s="139">
        <f t="shared" ref="L18" si="34">15*L17</f>
        <v>90</v>
      </c>
      <c r="M18" s="139">
        <f t="shared" ref="M18" si="35">15*M17</f>
        <v>105</v>
      </c>
      <c r="N18" s="139">
        <f t="shared" ref="N18" si="36">15*N17</f>
        <v>120</v>
      </c>
      <c r="O18" s="139">
        <f t="shared" ref="O18" si="37">15*O17</f>
        <v>135</v>
      </c>
      <c r="P18" s="139">
        <f t="shared" ref="P18" si="38">15*P17</f>
        <v>150</v>
      </c>
      <c r="Q18" s="139">
        <f t="shared" ref="Q18" si="39">15*Q17</f>
        <v>165</v>
      </c>
      <c r="R18" s="139">
        <f t="shared" ref="R18" si="40">15*R17</f>
        <v>180</v>
      </c>
      <c r="S18" s="139">
        <f t="shared" ref="S18" si="41">15*S17</f>
        <v>195</v>
      </c>
      <c r="T18" s="139">
        <f t="shared" ref="T18" si="42">15*T17</f>
        <v>210</v>
      </c>
      <c r="U18" s="139">
        <f t="shared" ref="U18" si="43">15*U17</f>
        <v>225</v>
      </c>
      <c r="V18" s="139">
        <f t="shared" ref="V18" si="44">15*V17</f>
        <v>240</v>
      </c>
      <c r="W18" s="139">
        <f t="shared" ref="W18" si="45">15*W17</f>
        <v>255</v>
      </c>
      <c r="X18" s="139">
        <f t="shared" ref="X18" si="46">15*X17</f>
        <v>270</v>
      </c>
      <c r="Y18" s="139">
        <f t="shared" ref="Y18" si="47">15*Y17</f>
        <v>285</v>
      </c>
      <c r="Z18" s="139">
        <f t="shared" ref="Z18" si="48">15*Z17</f>
        <v>300</v>
      </c>
      <c r="AA18" s="139">
        <f t="shared" ref="AA18" si="49">15*AA17</f>
        <v>315</v>
      </c>
      <c r="AB18" s="139">
        <f t="shared" ref="AB18" si="50">15*AB17</f>
        <v>330</v>
      </c>
      <c r="AC18" s="139">
        <f t="shared" ref="AC18" si="51">15*AC17</f>
        <v>345</v>
      </c>
      <c r="AD18" s="139">
        <f t="shared" ref="AD18" si="52">15*AD17</f>
        <v>360</v>
      </c>
      <c r="AE18" s="139">
        <f t="shared" ref="AE18" si="53">15*AE17</f>
        <v>375</v>
      </c>
      <c r="AF18" s="139">
        <f t="shared" ref="AF18" si="54">15*AF17</f>
        <v>390</v>
      </c>
      <c r="AG18" s="139">
        <f t="shared" ref="AG18" si="55">15*AG17</f>
        <v>405</v>
      </c>
      <c r="AH18" s="139">
        <f t="shared" ref="AH18" si="56">15*AH17</f>
        <v>420</v>
      </c>
      <c r="AI18" s="139">
        <f t="shared" ref="AI18" si="57">15*AI17</f>
        <v>435</v>
      </c>
      <c r="AJ18" s="139">
        <f t="shared" ref="AJ18" si="58">15*AJ17</f>
        <v>450</v>
      </c>
      <c r="AK18" s="139">
        <f t="shared" ref="AK18" si="59">15*AK17</f>
        <v>465</v>
      </c>
      <c r="AL18" s="139">
        <f t="shared" ref="AL18" si="60">15*AL17</f>
        <v>480</v>
      </c>
      <c r="AM18" s="139">
        <f t="shared" ref="AM18" si="61">15*AM17</f>
        <v>495</v>
      </c>
      <c r="AN18" s="139">
        <f t="shared" ref="AN18" si="62">15*AN17</f>
        <v>510</v>
      </c>
      <c r="AO18" s="139">
        <f t="shared" ref="AO18" si="63">15*AO17</f>
        <v>525</v>
      </c>
      <c r="AP18" s="139">
        <f t="shared" ref="AP18" si="64">15*AP17</f>
        <v>540</v>
      </c>
      <c r="AQ18" s="139">
        <f t="shared" ref="AQ18" si="65">15*AQ17</f>
        <v>555</v>
      </c>
      <c r="AR18" s="139">
        <f t="shared" ref="AR18" si="66">15*AR17</f>
        <v>570</v>
      </c>
      <c r="AS18" s="139">
        <f t="shared" ref="AS18" si="67">15*AS17</f>
        <v>585</v>
      </c>
      <c r="AT18" s="139">
        <f t="shared" ref="AT18" si="68">15*AT17</f>
        <v>600</v>
      </c>
      <c r="AU18" s="139">
        <f t="shared" ref="AU18" si="69">15*AU17</f>
        <v>615</v>
      </c>
      <c r="AV18" s="139">
        <f t="shared" ref="AV18" si="70">15*AV17</f>
        <v>630</v>
      </c>
      <c r="AW18" s="139">
        <f t="shared" ref="AW18" si="71">15*AW17</f>
        <v>645</v>
      </c>
      <c r="AX18" s="139">
        <f t="shared" ref="AX18" si="72">15*AX17</f>
        <v>660</v>
      </c>
      <c r="AY18" s="139">
        <f t="shared" ref="AY18" si="73">15*AY17</f>
        <v>675</v>
      </c>
      <c r="AZ18" s="139">
        <f t="shared" ref="AZ18" si="74">15*AZ17</f>
        <v>690</v>
      </c>
      <c r="BA18" s="139">
        <f t="shared" ref="BA18" si="75">15*BA17</f>
        <v>705</v>
      </c>
      <c r="BB18" s="139">
        <f t="shared" ref="BB18" si="76">15*BB17</f>
        <v>720</v>
      </c>
      <c r="BC18" s="139">
        <f t="shared" ref="BC18" si="77">15*BC17</f>
        <v>735</v>
      </c>
      <c r="BD18" s="139">
        <f t="shared" ref="BD18" si="78">15*BD17</f>
        <v>750</v>
      </c>
      <c r="BE18" s="139">
        <f t="shared" ref="BE18" si="79">15*BE17</f>
        <v>765</v>
      </c>
      <c r="BF18" s="139">
        <f t="shared" ref="BF18" si="80">15*BF17</f>
        <v>780</v>
      </c>
      <c r="BG18" s="139">
        <f t="shared" ref="BG18" si="81">15*BG17</f>
        <v>795</v>
      </c>
      <c r="BH18" s="139">
        <f t="shared" ref="BH18" si="82">15*BH17</f>
        <v>810</v>
      </c>
      <c r="BI18" s="139">
        <f t="shared" ref="BI18" si="83">15*BI17</f>
        <v>825</v>
      </c>
      <c r="BJ18" s="139">
        <f t="shared" ref="BJ18" si="84">15*BJ17</f>
        <v>840</v>
      </c>
      <c r="BK18" s="139">
        <f t="shared" ref="BK18" si="85">15*BK17</f>
        <v>855</v>
      </c>
      <c r="BL18" s="139">
        <f t="shared" ref="BL18" si="86">15*BL17</f>
        <v>870</v>
      </c>
      <c r="BM18" s="139">
        <f t="shared" ref="BM18" si="87">15*BM17</f>
        <v>885</v>
      </c>
      <c r="BN18" s="139">
        <f t="shared" ref="BN18" si="88">15*BN17</f>
        <v>900</v>
      </c>
      <c r="BO18" s="139">
        <f t="shared" ref="BO18" si="89">15*BO17</f>
        <v>915</v>
      </c>
      <c r="BP18" s="139">
        <f t="shared" ref="BP18" si="90">15*BP17</f>
        <v>930</v>
      </c>
      <c r="BQ18" s="139">
        <f t="shared" ref="BQ18" si="91">15*BQ17</f>
        <v>945</v>
      </c>
      <c r="BR18" s="139">
        <f t="shared" ref="BR18" si="92">15*BR17</f>
        <v>960</v>
      </c>
      <c r="BS18" s="139">
        <f t="shared" ref="BS18" si="93">15*BS17</f>
        <v>975</v>
      </c>
      <c r="BT18" s="139">
        <f t="shared" ref="BT18" si="94">15*BT17</f>
        <v>990</v>
      </c>
      <c r="BU18" s="139">
        <f t="shared" ref="BU18" si="95">15*BU17</f>
        <v>1005</v>
      </c>
      <c r="BV18" s="139">
        <f t="shared" ref="BV18" si="96">15*BV17</f>
        <v>1020</v>
      </c>
      <c r="BW18" s="139">
        <f t="shared" ref="BW18" si="97">15*BW17</f>
        <v>1035</v>
      </c>
      <c r="BX18" s="139">
        <f t="shared" ref="BX18" si="98">15*BX17</f>
        <v>1050</v>
      </c>
      <c r="BY18" s="139">
        <f t="shared" ref="BY18" si="99">15*BY17</f>
        <v>1065</v>
      </c>
      <c r="BZ18" s="139">
        <f t="shared" ref="BZ18" si="100">15*BZ17</f>
        <v>1080</v>
      </c>
      <c r="CA18" s="139">
        <f t="shared" ref="CA18" si="101">15*CA17</f>
        <v>1095</v>
      </c>
      <c r="CB18" s="139">
        <f t="shared" ref="CB18" si="102">15*CB17</f>
        <v>1110</v>
      </c>
      <c r="CC18" s="139">
        <f t="shared" ref="CC18" si="103">15*CC17</f>
        <v>1125</v>
      </c>
      <c r="CD18" s="139">
        <f t="shared" ref="CD18" si="104">15*CD17</f>
        <v>1140</v>
      </c>
      <c r="CE18" s="139">
        <f t="shared" ref="CE18" si="105">15*CE17</f>
        <v>1155</v>
      </c>
      <c r="CF18" s="139">
        <f t="shared" ref="CF18" si="106">15*CF17</f>
        <v>1170</v>
      </c>
      <c r="CG18" s="139">
        <f t="shared" ref="CG18" si="107">15*CG17</f>
        <v>1185</v>
      </c>
      <c r="CH18" s="139">
        <f t="shared" ref="CH18:CO18" si="108">15*CH17</f>
        <v>1200</v>
      </c>
      <c r="CI18" s="139">
        <f t="shared" si="108"/>
        <v>1215</v>
      </c>
      <c r="CJ18" s="139">
        <f t="shared" si="108"/>
        <v>1230</v>
      </c>
      <c r="CK18" s="139">
        <f t="shared" si="108"/>
        <v>1245</v>
      </c>
      <c r="CL18" s="139">
        <f t="shared" si="108"/>
        <v>1260</v>
      </c>
      <c r="CM18" s="139">
        <f t="shared" si="108"/>
        <v>1275</v>
      </c>
      <c r="CN18" s="139">
        <f t="shared" si="108"/>
        <v>1290</v>
      </c>
      <c r="CO18" s="139">
        <f t="shared" si="108"/>
        <v>1305</v>
      </c>
      <c r="CP18" s="139">
        <f t="shared" ref="CP18:CW18" si="109">15*CP17</f>
        <v>1320</v>
      </c>
      <c r="CQ18" s="139">
        <f t="shared" si="109"/>
        <v>1335</v>
      </c>
      <c r="CR18" s="139">
        <f t="shared" si="109"/>
        <v>1350</v>
      </c>
      <c r="CS18" s="139">
        <f t="shared" si="109"/>
        <v>1365</v>
      </c>
      <c r="CT18" s="139">
        <f t="shared" si="109"/>
        <v>1380</v>
      </c>
      <c r="CU18" s="139">
        <f t="shared" si="109"/>
        <v>1395</v>
      </c>
      <c r="CV18" s="139">
        <f t="shared" si="109"/>
        <v>1410</v>
      </c>
      <c r="CW18" s="139">
        <f t="shared" si="109"/>
        <v>1425</v>
      </c>
    </row>
    <row r="19" spans="1:102" s="167" customFormat="1" x14ac:dyDescent="0.4">
      <c r="A19" s="167">
        <v>16</v>
      </c>
      <c r="B19" s="167">
        <f t="shared" ca="1" si="0"/>
        <v>1015</v>
      </c>
      <c r="C19" s="167">
        <f t="shared" ca="1" si="1"/>
        <v>1746</v>
      </c>
      <c r="D19" s="167">
        <f t="shared" ca="1" si="2"/>
        <v>2111</v>
      </c>
      <c r="F19" s="85" t="s">
        <v>154</v>
      </c>
      <c r="G19" s="85">
        <f>COUNTIFS('2023년 신조차 고장관리 세부현황'!$K:$K,"128R",'2023년 신조차 고장관리 세부현황'!$P:$P,"&gt;="&amp;G17,'2023년 신조차 고장관리 세부현황'!$P:$P,"&lt;"&amp;'트랜드 분석_15일'!G18)</f>
        <v>0</v>
      </c>
      <c r="H19" s="85">
        <f>COUNTIFS('2023년 신조차 고장관리 세부현황'!$K:$K,"128R",'2023년 신조차 고장관리 세부현황'!$P:$P,"&gt;="&amp;'트랜드 분석_15일'!G$18,'2023년 신조차 고장관리 세부현황'!$P:$P,"&lt;"&amp;'트랜드 분석_15일'!H$18)</f>
        <v>0</v>
      </c>
      <c r="I19" s="85">
        <f>COUNTIFS('2023년 신조차 고장관리 세부현황'!$K:$K,"128R",'2023년 신조차 고장관리 세부현황'!$P:$P,"&gt;="&amp;'트랜드 분석_15일'!H$18,'2023년 신조차 고장관리 세부현황'!$P:$P,"&lt;"&amp;'트랜드 분석_15일'!I$18)</f>
        <v>0</v>
      </c>
      <c r="J19" s="85">
        <f>COUNTIFS('2023년 신조차 고장관리 세부현황'!$K:$K,"128R",'2023년 신조차 고장관리 세부현황'!$P:$P,"&gt;="&amp;'트랜드 분석_15일'!I$18,'2023년 신조차 고장관리 세부현황'!$P:$P,"&lt;"&amp;'트랜드 분석_15일'!J$18)</f>
        <v>0</v>
      </c>
      <c r="K19" s="85">
        <f>COUNTIFS('2023년 신조차 고장관리 세부현황'!$K:$K,"128R",'2023년 신조차 고장관리 세부현황'!$P:$P,"&gt;="&amp;'트랜드 분석_15일'!J$18,'2023년 신조차 고장관리 세부현황'!$P:$P,"&lt;"&amp;'트랜드 분석_15일'!K$18)</f>
        <v>0</v>
      </c>
      <c r="L19" s="85">
        <f>COUNTIFS('2023년 신조차 고장관리 세부현황'!$K:$K,"128R",'2023년 신조차 고장관리 세부현황'!$P:$P,"&gt;="&amp;'트랜드 분석_15일'!K$18,'2023년 신조차 고장관리 세부현황'!$P:$P,"&lt;"&amp;'트랜드 분석_15일'!L$18)</f>
        <v>0</v>
      </c>
      <c r="M19" s="85">
        <f>COUNTIFS('2023년 신조차 고장관리 세부현황'!$K:$K,"128R",'2023년 신조차 고장관리 세부현황'!$P:$P,"&gt;="&amp;'트랜드 분석_15일'!L$18,'2023년 신조차 고장관리 세부현황'!$P:$P,"&lt;"&amp;'트랜드 분석_15일'!M$18)</f>
        <v>0</v>
      </c>
      <c r="N19" s="85">
        <f>COUNTIFS('2023년 신조차 고장관리 세부현황'!$K:$K,"128R",'2023년 신조차 고장관리 세부현황'!$P:$P,"&gt;="&amp;'트랜드 분석_15일'!M$18,'2023년 신조차 고장관리 세부현황'!$P:$P,"&lt;"&amp;'트랜드 분석_15일'!N$18)</f>
        <v>0</v>
      </c>
      <c r="O19" s="85">
        <f>COUNTIFS('2023년 신조차 고장관리 세부현황'!$K:$K,"128R",'2023년 신조차 고장관리 세부현황'!$P:$P,"&gt;="&amp;'트랜드 분석_15일'!N$18,'2023년 신조차 고장관리 세부현황'!$P:$P,"&lt;"&amp;'트랜드 분석_15일'!O$18)</f>
        <v>0</v>
      </c>
      <c r="P19" s="85">
        <f>COUNTIFS('2023년 신조차 고장관리 세부현황'!$K:$K,"128R",'2023년 신조차 고장관리 세부현황'!$P:$P,"&gt;="&amp;'트랜드 분석_15일'!O$18,'2023년 신조차 고장관리 세부현황'!$P:$P,"&lt;"&amp;'트랜드 분석_15일'!P$18)</f>
        <v>0</v>
      </c>
      <c r="Q19" s="85">
        <f>COUNTIFS('2023년 신조차 고장관리 세부현황'!$K:$K,"128R",'2023년 신조차 고장관리 세부현황'!$P:$P,"&gt;="&amp;'트랜드 분석_15일'!P$18,'2023년 신조차 고장관리 세부현황'!$P:$P,"&lt;"&amp;'트랜드 분석_15일'!Q$18)</f>
        <v>0</v>
      </c>
      <c r="R19" s="85">
        <f>COUNTIFS('2023년 신조차 고장관리 세부현황'!$K:$K,"128R",'2023년 신조차 고장관리 세부현황'!$P:$P,"&gt;="&amp;'트랜드 분석_15일'!Q$18,'2023년 신조차 고장관리 세부현황'!$P:$P,"&lt;"&amp;'트랜드 분석_15일'!R$18)</f>
        <v>0</v>
      </c>
      <c r="S19" s="85">
        <f>COUNTIFS('2023년 신조차 고장관리 세부현황'!$K:$K,"128R",'2023년 신조차 고장관리 세부현황'!$P:$P,"&gt;="&amp;'트랜드 분석_15일'!R$18,'2023년 신조차 고장관리 세부현황'!$P:$P,"&lt;"&amp;'트랜드 분석_15일'!S$18)</f>
        <v>0</v>
      </c>
      <c r="T19" s="85">
        <f>COUNTIFS('2023년 신조차 고장관리 세부현황'!$K:$K,"128R",'2023년 신조차 고장관리 세부현황'!$P:$P,"&gt;="&amp;'트랜드 분석_15일'!S$18,'2023년 신조차 고장관리 세부현황'!$P:$P,"&lt;"&amp;'트랜드 분석_15일'!T$18)</f>
        <v>0</v>
      </c>
      <c r="U19" s="85">
        <f>COUNTIFS('2023년 신조차 고장관리 세부현황'!$K:$K,"128R",'2023년 신조차 고장관리 세부현황'!$P:$P,"&gt;="&amp;'트랜드 분석_15일'!T$18,'2023년 신조차 고장관리 세부현황'!$P:$P,"&lt;"&amp;'트랜드 분석_15일'!U$18)</f>
        <v>0</v>
      </c>
      <c r="V19" s="85">
        <f>COUNTIFS('2023년 신조차 고장관리 세부현황'!$K:$K,"128R",'2023년 신조차 고장관리 세부현황'!$P:$P,"&gt;="&amp;'트랜드 분석_15일'!U$18,'2023년 신조차 고장관리 세부현황'!$P:$P,"&lt;"&amp;'트랜드 분석_15일'!V$18)</f>
        <v>0</v>
      </c>
      <c r="W19" s="85">
        <f>COUNTIFS('2023년 신조차 고장관리 세부현황'!$K:$K,"128R",'2023년 신조차 고장관리 세부현황'!$P:$P,"&gt;="&amp;'트랜드 분석_15일'!V$18,'2023년 신조차 고장관리 세부현황'!$P:$P,"&lt;"&amp;'트랜드 분석_15일'!W$18)</f>
        <v>0</v>
      </c>
      <c r="X19" s="85">
        <f>COUNTIFS('2023년 신조차 고장관리 세부현황'!$K:$K,"128R",'2023년 신조차 고장관리 세부현황'!$P:$P,"&gt;="&amp;'트랜드 분석_15일'!W$18,'2023년 신조차 고장관리 세부현황'!$P:$P,"&lt;"&amp;'트랜드 분석_15일'!X$18)</f>
        <v>0</v>
      </c>
      <c r="Y19" s="85">
        <f>COUNTIFS('2023년 신조차 고장관리 세부현황'!$K:$K,"128R",'2023년 신조차 고장관리 세부현황'!$P:$P,"&gt;="&amp;'트랜드 분석_15일'!X$18,'2023년 신조차 고장관리 세부현황'!$P:$P,"&lt;"&amp;'트랜드 분석_15일'!Y$18)</f>
        <v>0</v>
      </c>
      <c r="Z19" s="85">
        <f>COUNTIFS('2023년 신조차 고장관리 세부현황'!$K:$K,"128R",'2023년 신조차 고장관리 세부현황'!$P:$P,"&gt;="&amp;'트랜드 분석_15일'!Y$18,'2023년 신조차 고장관리 세부현황'!$P:$P,"&lt;"&amp;'트랜드 분석_15일'!Z$18)</f>
        <v>0</v>
      </c>
      <c r="AA19" s="85">
        <f>COUNTIFS('2023년 신조차 고장관리 세부현황'!$K:$K,"128R",'2023년 신조차 고장관리 세부현황'!$P:$P,"&gt;="&amp;'트랜드 분석_15일'!Z$18,'2023년 신조차 고장관리 세부현황'!$P:$P,"&lt;"&amp;'트랜드 분석_15일'!AA$18)</f>
        <v>0</v>
      </c>
      <c r="AB19" s="85">
        <f>COUNTIFS('2023년 신조차 고장관리 세부현황'!$K:$K,"128R",'2023년 신조차 고장관리 세부현황'!$P:$P,"&gt;="&amp;'트랜드 분석_15일'!AA$18,'2023년 신조차 고장관리 세부현황'!$P:$P,"&lt;"&amp;'트랜드 분석_15일'!AB$18)</f>
        <v>0</v>
      </c>
      <c r="AC19" s="85">
        <f>COUNTIFS('2023년 신조차 고장관리 세부현황'!$K:$K,"128R",'2023년 신조차 고장관리 세부현황'!$P:$P,"&gt;="&amp;'트랜드 분석_15일'!AB$18,'2023년 신조차 고장관리 세부현황'!$P:$P,"&lt;"&amp;'트랜드 분석_15일'!AC$18)</f>
        <v>0</v>
      </c>
      <c r="AD19" s="85">
        <f>COUNTIFS('2023년 신조차 고장관리 세부현황'!$K:$K,"128R",'2023년 신조차 고장관리 세부현황'!$P:$P,"&gt;="&amp;'트랜드 분석_15일'!AC$18,'2023년 신조차 고장관리 세부현황'!$P:$P,"&lt;"&amp;'트랜드 분석_15일'!AD$18)</f>
        <v>0</v>
      </c>
      <c r="AE19" s="85">
        <f>COUNTIFS('2023년 신조차 고장관리 세부현황'!$K:$K,"128R",'2023년 신조차 고장관리 세부현황'!$P:$P,"&gt;="&amp;'트랜드 분석_15일'!AD$18,'2023년 신조차 고장관리 세부현황'!$P:$P,"&lt;"&amp;'트랜드 분석_15일'!AE$18)</f>
        <v>0</v>
      </c>
      <c r="AF19" s="85">
        <f>COUNTIFS('2023년 신조차 고장관리 세부현황'!$K:$K,"128R",'2023년 신조차 고장관리 세부현황'!$P:$P,"&gt;="&amp;'트랜드 분석_15일'!AE$18,'2023년 신조차 고장관리 세부현황'!$P:$P,"&lt;"&amp;'트랜드 분석_15일'!AF$18)</f>
        <v>0</v>
      </c>
      <c r="AG19" s="85">
        <f>COUNTIFS('2023년 신조차 고장관리 세부현황'!$K:$K,"128R",'2023년 신조차 고장관리 세부현황'!$P:$P,"&gt;="&amp;'트랜드 분석_15일'!AF$18,'2023년 신조차 고장관리 세부현황'!$P:$P,"&lt;"&amp;'트랜드 분석_15일'!AG$18)</f>
        <v>0</v>
      </c>
      <c r="AH19" s="85">
        <f>COUNTIFS('2023년 신조차 고장관리 세부현황'!$K:$K,"128R",'2023년 신조차 고장관리 세부현황'!$P:$P,"&gt;="&amp;'트랜드 분석_15일'!AG$18,'2023년 신조차 고장관리 세부현황'!$P:$P,"&lt;"&amp;'트랜드 분석_15일'!AH$18)</f>
        <v>0</v>
      </c>
      <c r="AI19" s="85">
        <f>COUNTIFS('2023년 신조차 고장관리 세부현황'!$K:$K,"128R",'2023년 신조차 고장관리 세부현황'!$P:$P,"&gt;="&amp;'트랜드 분석_15일'!AH$18,'2023년 신조차 고장관리 세부현황'!$P:$P,"&lt;"&amp;'트랜드 분석_15일'!AI$18)</f>
        <v>0</v>
      </c>
      <c r="AJ19" s="85">
        <f>COUNTIFS('2023년 신조차 고장관리 세부현황'!$K:$K,"128R",'2023년 신조차 고장관리 세부현황'!$P:$P,"&gt;="&amp;'트랜드 분석_15일'!AI$18,'2023년 신조차 고장관리 세부현황'!$P:$P,"&lt;"&amp;'트랜드 분석_15일'!AJ$18)</f>
        <v>0</v>
      </c>
      <c r="AK19" s="85">
        <f>COUNTIFS('2023년 신조차 고장관리 세부현황'!$K:$K,"128R",'2023년 신조차 고장관리 세부현황'!$P:$P,"&gt;="&amp;'트랜드 분석_15일'!AJ$18,'2023년 신조차 고장관리 세부현황'!$P:$P,"&lt;"&amp;'트랜드 분석_15일'!AK$18)</f>
        <v>0</v>
      </c>
      <c r="AL19" s="85">
        <f>COUNTIFS('2023년 신조차 고장관리 세부현황'!$K:$K,"128R",'2023년 신조차 고장관리 세부현황'!$P:$P,"&gt;="&amp;'트랜드 분석_15일'!AK$18,'2023년 신조차 고장관리 세부현황'!$P:$P,"&lt;"&amp;'트랜드 분석_15일'!AL$18)</f>
        <v>0</v>
      </c>
      <c r="AM19" s="85">
        <f>COUNTIFS('2023년 신조차 고장관리 세부현황'!$K:$K,"128R",'2023년 신조차 고장관리 세부현황'!$P:$P,"&gt;="&amp;'트랜드 분석_15일'!AL$18,'2023년 신조차 고장관리 세부현황'!$P:$P,"&lt;"&amp;'트랜드 분석_15일'!AM$18)</f>
        <v>0</v>
      </c>
      <c r="AN19" s="85">
        <f>COUNTIFS('2023년 신조차 고장관리 세부현황'!$K:$K,"128R",'2023년 신조차 고장관리 세부현황'!$P:$P,"&gt;="&amp;'트랜드 분석_15일'!AM$18,'2023년 신조차 고장관리 세부현황'!$P:$P,"&lt;"&amp;'트랜드 분석_15일'!AN$18)</f>
        <v>0</v>
      </c>
      <c r="AO19" s="85">
        <f>COUNTIFS('2023년 신조차 고장관리 세부현황'!$K:$K,"128R",'2023년 신조차 고장관리 세부현황'!$P:$P,"&gt;="&amp;'트랜드 분석_15일'!AN$18,'2023년 신조차 고장관리 세부현황'!$P:$P,"&lt;"&amp;'트랜드 분석_15일'!AO$18)</f>
        <v>0</v>
      </c>
      <c r="AP19" s="85">
        <f>COUNTIFS('2023년 신조차 고장관리 세부현황'!$K:$K,"128R",'2023년 신조차 고장관리 세부현황'!$P:$P,"&gt;="&amp;'트랜드 분석_15일'!AO$18,'2023년 신조차 고장관리 세부현황'!$P:$P,"&lt;"&amp;'트랜드 분석_15일'!AP$18)</f>
        <v>0</v>
      </c>
      <c r="AQ19" s="85">
        <f>COUNTIFS('2023년 신조차 고장관리 세부현황'!$K:$K,"128R",'2023년 신조차 고장관리 세부현황'!$P:$P,"&gt;="&amp;'트랜드 분석_15일'!AP$18,'2023년 신조차 고장관리 세부현황'!$P:$P,"&lt;"&amp;'트랜드 분석_15일'!AQ$18)</f>
        <v>0</v>
      </c>
      <c r="AR19" s="85">
        <f>COUNTIFS('2023년 신조차 고장관리 세부현황'!$K:$K,"128R",'2023년 신조차 고장관리 세부현황'!$P:$P,"&gt;="&amp;'트랜드 분석_15일'!AQ$18,'2023년 신조차 고장관리 세부현황'!$P:$P,"&lt;"&amp;'트랜드 분석_15일'!AR$18)</f>
        <v>0</v>
      </c>
      <c r="AS19" s="85">
        <f>COUNTIFS('2023년 신조차 고장관리 세부현황'!$K:$K,"128R",'2023년 신조차 고장관리 세부현황'!$P:$P,"&gt;="&amp;'트랜드 분석_15일'!AR$18,'2023년 신조차 고장관리 세부현황'!$P:$P,"&lt;"&amp;'트랜드 분석_15일'!AS$18)</f>
        <v>0</v>
      </c>
      <c r="AT19" s="85">
        <f>COUNTIFS('2023년 신조차 고장관리 세부현황'!$K:$K,"128R",'2023년 신조차 고장관리 세부현황'!$P:$P,"&gt;="&amp;'트랜드 분석_15일'!AS$18,'2023년 신조차 고장관리 세부현황'!$P:$P,"&lt;"&amp;'트랜드 분석_15일'!AT$18)</f>
        <v>0</v>
      </c>
      <c r="AU19" s="85">
        <f>COUNTIFS('2023년 신조차 고장관리 세부현황'!$K:$K,"128R",'2023년 신조차 고장관리 세부현황'!$P:$P,"&gt;="&amp;'트랜드 분석_15일'!AT$18,'2023년 신조차 고장관리 세부현황'!$P:$P,"&lt;"&amp;'트랜드 분석_15일'!AU$18)</f>
        <v>0</v>
      </c>
      <c r="AV19" s="85">
        <f>COUNTIFS('2023년 신조차 고장관리 세부현황'!$K:$K,"128R",'2023년 신조차 고장관리 세부현황'!$P:$P,"&gt;="&amp;'트랜드 분석_15일'!AU$18,'2023년 신조차 고장관리 세부현황'!$P:$P,"&lt;"&amp;'트랜드 분석_15일'!AV$18)</f>
        <v>0</v>
      </c>
      <c r="AW19" s="85">
        <f>COUNTIFS('2023년 신조차 고장관리 세부현황'!$K:$K,"128R",'2023년 신조차 고장관리 세부현황'!$P:$P,"&gt;="&amp;'트랜드 분석_15일'!AV$18,'2023년 신조차 고장관리 세부현황'!$P:$P,"&lt;"&amp;'트랜드 분석_15일'!AW$18)</f>
        <v>0</v>
      </c>
      <c r="AX19" s="85">
        <f>COUNTIFS('2023년 신조차 고장관리 세부현황'!$K:$K,"128R",'2023년 신조차 고장관리 세부현황'!$P:$P,"&gt;="&amp;'트랜드 분석_15일'!AW$18,'2023년 신조차 고장관리 세부현황'!$P:$P,"&lt;"&amp;'트랜드 분석_15일'!AX$18)</f>
        <v>0</v>
      </c>
      <c r="AY19" s="85">
        <f>COUNTIFS('2023년 신조차 고장관리 세부현황'!$K:$K,"128R",'2023년 신조차 고장관리 세부현황'!$P:$P,"&gt;="&amp;'트랜드 분석_15일'!AX$18,'2023년 신조차 고장관리 세부현황'!$P:$P,"&lt;"&amp;'트랜드 분석_15일'!AY$18)</f>
        <v>0</v>
      </c>
      <c r="AZ19" s="85">
        <f>COUNTIFS('2023년 신조차 고장관리 세부현황'!$K:$K,"128R",'2023년 신조차 고장관리 세부현황'!$P:$P,"&gt;="&amp;'트랜드 분석_15일'!AY$18,'2023년 신조차 고장관리 세부현황'!$P:$P,"&lt;"&amp;'트랜드 분석_15일'!AZ$18)</f>
        <v>0</v>
      </c>
      <c r="BA19" s="85">
        <f>COUNTIFS('2023년 신조차 고장관리 세부현황'!$K:$K,"128R",'2023년 신조차 고장관리 세부현황'!$P:$P,"&gt;="&amp;'트랜드 분석_15일'!AZ$18,'2023년 신조차 고장관리 세부현황'!$P:$P,"&lt;"&amp;'트랜드 분석_15일'!BA$18)</f>
        <v>0</v>
      </c>
      <c r="BB19" s="85">
        <f>COUNTIFS('2023년 신조차 고장관리 세부현황'!$K:$K,"128R",'2023년 신조차 고장관리 세부현황'!$P:$P,"&gt;="&amp;'트랜드 분석_15일'!BA$18,'2023년 신조차 고장관리 세부현황'!$P:$P,"&lt;"&amp;'트랜드 분석_15일'!BB$18)</f>
        <v>0</v>
      </c>
      <c r="BC19" s="85">
        <f>COUNTIFS('2023년 신조차 고장관리 세부현황'!$K:$K,"128R",'2023년 신조차 고장관리 세부현황'!$P:$P,"&gt;="&amp;'트랜드 분석_15일'!BB$18,'2023년 신조차 고장관리 세부현황'!$P:$P,"&lt;"&amp;'트랜드 분석_15일'!BC$18)</f>
        <v>0</v>
      </c>
      <c r="BD19" s="85">
        <f>COUNTIFS('2023년 신조차 고장관리 세부현황'!$K:$K,"128R",'2023년 신조차 고장관리 세부현황'!$P:$P,"&gt;="&amp;'트랜드 분석_15일'!BC$18,'2023년 신조차 고장관리 세부현황'!$P:$P,"&lt;"&amp;'트랜드 분석_15일'!BD$18)</f>
        <v>0</v>
      </c>
      <c r="BE19" s="85">
        <f>COUNTIFS('2023년 신조차 고장관리 세부현황'!$K:$K,"128R",'2023년 신조차 고장관리 세부현황'!$P:$P,"&gt;="&amp;'트랜드 분석_15일'!BD$18,'2023년 신조차 고장관리 세부현황'!$P:$P,"&lt;"&amp;'트랜드 분석_15일'!BE$18)</f>
        <v>0</v>
      </c>
      <c r="BF19" s="85">
        <f>COUNTIFS('2023년 신조차 고장관리 세부현황'!$K:$K,"128R",'2023년 신조차 고장관리 세부현황'!$P:$P,"&gt;="&amp;'트랜드 분석_15일'!BE$18,'2023년 신조차 고장관리 세부현황'!$P:$P,"&lt;"&amp;'트랜드 분석_15일'!BF$18)</f>
        <v>0</v>
      </c>
      <c r="BG19" s="85">
        <f>COUNTIFS('2023년 신조차 고장관리 세부현황'!$K:$K,"128R",'2023년 신조차 고장관리 세부현황'!$P:$P,"&gt;="&amp;'트랜드 분석_15일'!BF$18,'2023년 신조차 고장관리 세부현황'!$P:$P,"&lt;"&amp;'트랜드 분석_15일'!BG$18)</f>
        <v>0</v>
      </c>
      <c r="BH19" s="85">
        <f>COUNTIFS('2023년 신조차 고장관리 세부현황'!$K:$K,"128R",'2023년 신조차 고장관리 세부현황'!$P:$P,"&gt;="&amp;'트랜드 분석_15일'!BG$18,'2023년 신조차 고장관리 세부현황'!$P:$P,"&lt;"&amp;'트랜드 분석_15일'!BH$18)</f>
        <v>0</v>
      </c>
      <c r="BI19" s="85">
        <f>COUNTIFS('2023년 신조차 고장관리 세부현황'!$K:$K,"128R",'2023년 신조차 고장관리 세부현황'!$P:$P,"&gt;="&amp;'트랜드 분석_15일'!BH$18,'2023년 신조차 고장관리 세부현황'!$P:$P,"&lt;"&amp;'트랜드 분석_15일'!BI$18)</f>
        <v>0</v>
      </c>
      <c r="BJ19" s="85">
        <f>COUNTIFS('2023년 신조차 고장관리 세부현황'!$K:$K,"128R",'2023년 신조차 고장관리 세부현황'!$P:$P,"&gt;="&amp;'트랜드 분석_15일'!BI$18,'2023년 신조차 고장관리 세부현황'!$P:$P,"&lt;"&amp;'트랜드 분석_15일'!BJ$18)</f>
        <v>0</v>
      </c>
      <c r="BK19" s="85">
        <f>COUNTIFS('2023년 신조차 고장관리 세부현황'!$K:$K,"128R",'2023년 신조차 고장관리 세부현황'!$P:$P,"&gt;="&amp;'트랜드 분석_15일'!BJ$18,'2023년 신조차 고장관리 세부현황'!$P:$P,"&lt;"&amp;'트랜드 분석_15일'!BK$18)</f>
        <v>0</v>
      </c>
      <c r="BL19" s="85">
        <f>COUNTIFS('2023년 신조차 고장관리 세부현황'!$K:$K,"128R",'2023년 신조차 고장관리 세부현황'!$P:$P,"&gt;="&amp;'트랜드 분석_15일'!BK$18,'2023년 신조차 고장관리 세부현황'!$P:$P,"&lt;"&amp;'트랜드 분석_15일'!BL$18)</f>
        <v>0</v>
      </c>
      <c r="BM19" s="85">
        <f>COUNTIFS('2023년 신조차 고장관리 세부현황'!$K:$K,"128R",'2023년 신조차 고장관리 세부현황'!$P:$P,"&gt;="&amp;'트랜드 분석_15일'!BL$18,'2023년 신조차 고장관리 세부현황'!$P:$P,"&lt;"&amp;'트랜드 분석_15일'!BM$18)</f>
        <v>0</v>
      </c>
      <c r="BN19" s="85">
        <f>COUNTIFS('2023년 신조차 고장관리 세부현황'!$K:$K,"128R",'2023년 신조차 고장관리 세부현황'!$P:$P,"&gt;="&amp;'트랜드 분석_15일'!BM$18,'2023년 신조차 고장관리 세부현황'!$P:$P,"&lt;"&amp;'트랜드 분석_15일'!BN$18)</f>
        <v>0</v>
      </c>
      <c r="BO19" s="85">
        <f>COUNTIFS('2023년 신조차 고장관리 세부현황'!$K:$K,"128R",'2023년 신조차 고장관리 세부현황'!$P:$P,"&gt;="&amp;'트랜드 분석_15일'!BN$18,'2023년 신조차 고장관리 세부현황'!$P:$P,"&lt;"&amp;'트랜드 분석_15일'!BO$18)</f>
        <v>0</v>
      </c>
      <c r="BP19" s="85">
        <f>COUNTIFS('2023년 신조차 고장관리 세부현황'!$K:$K,"128R",'2023년 신조차 고장관리 세부현황'!$P:$P,"&gt;="&amp;'트랜드 분석_15일'!BO$18,'2023년 신조차 고장관리 세부현황'!$P:$P,"&lt;"&amp;'트랜드 분석_15일'!BP$18)</f>
        <v>0</v>
      </c>
      <c r="BQ19" s="85">
        <f>COUNTIFS('2023년 신조차 고장관리 세부현황'!$K:$K,"128R",'2023년 신조차 고장관리 세부현황'!$P:$P,"&gt;="&amp;'트랜드 분석_15일'!BP$18,'2023년 신조차 고장관리 세부현황'!$P:$P,"&lt;"&amp;'트랜드 분석_15일'!BQ$18)</f>
        <v>0</v>
      </c>
      <c r="BR19" s="85">
        <f>COUNTIFS('2023년 신조차 고장관리 세부현황'!$K:$K,"128R",'2023년 신조차 고장관리 세부현황'!$P:$P,"&gt;="&amp;'트랜드 분석_15일'!BQ$18,'2023년 신조차 고장관리 세부현황'!$P:$P,"&lt;"&amp;'트랜드 분석_15일'!BR$18)</f>
        <v>0</v>
      </c>
      <c r="BS19" s="85">
        <f>COUNTIFS('2023년 신조차 고장관리 세부현황'!$K:$K,"128R",'2023년 신조차 고장관리 세부현황'!$P:$P,"&gt;="&amp;'트랜드 분석_15일'!BR$18,'2023년 신조차 고장관리 세부현황'!$P:$P,"&lt;"&amp;'트랜드 분석_15일'!BS$18)</f>
        <v>0</v>
      </c>
      <c r="BT19" s="85">
        <f>COUNTIFS('2023년 신조차 고장관리 세부현황'!$K:$K,"128R",'2023년 신조차 고장관리 세부현황'!$P:$P,"&gt;="&amp;'트랜드 분석_15일'!BS$18,'2023년 신조차 고장관리 세부현황'!$P:$P,"&lt;"&amp;'트랜드 분석_15일'!BT$18)</f>
        <v>0</v>
      </c>
      <c r="BU19" s="85">
        <f>COUNTIFS('2023년 신조차 고장관리 세부현황'!$K:$K,"128R",'2023년 신조차 고장관리 세부현황'!$P:$P,"&gt;="&amp;'트랜드 분석_15일'!BT$18,'2023년 신조차 고장관리 세부현황'!$P:$P,"&lt;"&amp;'트랜드 분석_15일'!BU$18)</f>
        <v>0</v>
      </c>
      <c r="BV19" s="85">
        <f>COUNTIFS('2023년 신조차 고장관리 세부현황'!$K:$K,"128R",'2023년 신조차 고장관리 세부현황'!$P:$P,"&gt;="&amp;'트랜드 분석_15일'!BU$18,'2023년 신조차 고장관리 세부현황'!$P:$P,"&lt;"&amp;'트랜드 분석_15일'!BV$18)</f>
        <v>0</v>
      </c>
      <c r="BW19" s="85">
        <f>COUNTIFS('2023년 신조차 고장관리 세부현황'!$K:$K,"128R",'2023년 신조차 고장관리 세부현황'!$P:$P,"&gt;="&amp;'트랜드 분석_15일'!BV$18,'2023년 신조차 고장관리 세부현황'!$P:$P,"&lt;"&amp;'트랜드 분석_15일'!BW$18)</f>
        <v>0</v>
      </c>
      <c r="BX19" s="85">
        <f>COUNTIFS('2023년 신조차 고장관리 세부현황'!$K:$K,"128R",'2023년 신조차 고장관리 세부현황'!$P:$P,"&gt;="&amp;'트랜드 분석_15일'!BW$18,'2023년 신조차 고장관리 세부현황'!$P:$P,"&lt;"&amp;'트랜드 분석_15일'!BX$18)</f>
        <v>0</v>
      </c>
      <c r="BY19" s="85">
        <f>COUNTIFS('2023년 신조차 고장관리 세부현황'!$K:$K,"128R",'2023년 신조차 고장관리 세부현황'!$P:$P,"&gt;="&amp;'트랜드 분석_15일'!BX$18,'2023년 신조차 고장관리 세부현황'!$P:$P,"&lt;"&amp;'트랜드 분석_15일'!BY$18)</f>
        <v>0</v>
      </c>
      <c r="BZ19" s="85">
        <f>COUNTIFS('2023년 신조차 고장관리 세부현황'!$K:$K,"128R",'2023년 신조차 고장관리 세부현황'!$P:$P,"&gt;="&amp;'트랜드 분석_15일'!BY$18,'2023년 신조차 고장관리 세부현황'!$P:$P,"&lt;"&amp;'트랜드 분석_15일'!BZ$18)</f>
        <v>0</v>
      </c>
      <c r="CA19" s="85">
        <f>COUNTIFS('2023년 신조차 고장관리 세부현황'!$K:$K,"128R",'2023년 신조차 고장관리 세부현황'!$P:$P,"&gt;="&amp;'트랜드 분석_15일'!BZ$18,'2023년 신조차 고장관리 세부현황'!$P:$P,"&lt;"&amp;'트랜드 분석_15일'!CA$18)</f>
        <v>0</v>
      </c>
      <c r="CB19" s="85">
        <f>COUNTIFS('2023년 신조차 고장관리 세부현황'!$K:$K,"128R",'2023년 신조차 고장관리 세부현황'!$P:$P,"&gt;="&amp;'트랜드 분석_15일'!CA$18,'2023년 신조차 고장관리 세부현황'!$P:$P,"&lt;"&amp;'트랜드 분석_15일'!CB$18)</f>
        <v>0</v>
      </c>
      <c r="CC19" s="85">
        <f>COUNTIFS('2023년 신조차 고장관리 세부현황'!$K:$K,"128R",'2023년 신조차 고장관리 세부현황'!$P:$P,"&gt;="&amp;'트랜드 분석_15일'!CB$18,'2023년 신조차 고장관리 세부현황'!$P:$P,"&lt;"&amp;'트랜드 분석_15일'!CC$18)</f>
        <v>0</v>
      </c>
      <c r="CD19" s="85">
        <f>COUNTIFS('2023년 신조차 고장관리 세부현황'!$K:$K,"128R",'2023년 신조차 고장관리 세부현황'!$P:$P,"&gt;="&amp;'트랜드 분석_15일'!CC$18,'2023년 신조차 고장관리 세부현황'!$P:$P,"&lt;"&amp;'트랜드 분석_15일'!CD$18)</f>
        <v>0</v>
      </c>
      <c r="CE19" s="85">
        <f>COUNTIFS('2023년 신조차 고장관리 세부현황'!$K:$K,"128R",'2023년 신조차 고장관리 세부현황'!$P:$P,"&gt;="&amp;'트랜드 분석_15일'!CD$18,'2023년 신조차 고장관리 세부현황'!$P:$P,"&lt;"&amp;'트랜드 분석_15일'!CE$18)</f>
        <v>0</v>
      </c>
      <c r="CF19" s="85">
        <f>COUNTIFS('2023년 신조차 고장관리 세부현황'!$K:$K,"128R",'2023년 신조차 고장관리 세부현황'!$P:$P,"&gt;="&amp;'트랜드 분석_15일'!CE$18,'2023년 신조차 고장관리 세부현황'!$P:$P,"&lt;"&amp;'트랜드 분석_15일'!CF$18)</f>
        <v>0</v>
      </c>
      <c r="CG19" s="85">
        <f>COUNTIFS('2023년 신조차 고장관리 세부현황'!$K:$K,"128R",'2023년 신조차 고장관리 세부현황'!$P:$P,"&gt;="&amp;'트랜드 분석_15일'!CF$18,'2023년 신조차 고장관리 세부현황'!$P:$P,"&lt;"&amp;'트랜드 분석_15일'!CG$18)</f>
        <v>0</v>
      </c>
      <c r="CH19" s="85">
        <f>COUNTIFS('2023년 신조차 고장관리 세부현황'!$K:$K,"128R",'2023년 신조차 고장관리 세부현황'!$P:$P,"&gt;="&amp;'트랜드 분석_15일'!CG$18,'2023년 신조차 고장관리 세부현황'!$P:$P,"&lt;"&amp;'트랜드 분석_15일'!CH$18)</f>
        <v>1</v>
      </c>
      <c r="CI19" s="85">
        <f>COUNTIFS('2023년 신조차 고장관리 세부현황'!$K:$K,"128R",'2023년 신조차 고장관리 세부현황'!$P:$P,"&gt;="&amp;'트랜드 분석_15일'!CH$18,'2023년 신조차 고장관리 세부현황'!$P:$P,"&lt;"&amp;'트랜드 분석_15일'!CI$18)</f>
        <v>0</v>
      </c>
      <c r="CJ19" s="85">
        <f>COUNTIFS('2023년 신조차 고장관리 세부현황'!$K:$K,"128R",'2023년 신조차 고장관리 세부현황'!$P:$P,"&gt;="&amp;'트랜드 분석_15일'!CI$18,'2023년 신조차 고장관리 세부현황'!$P:$P,"&lt;"&amp;'트랜드 분석_15일'!CJ$18)</f>
        <v>2</v>
      </c>
      <c r="CK19" s="85">
        <f>COUNTIFS('2023년 신조차 고장관리 세부현황'!$K:$K,"128R",'2023년 신조차 고장관리 세부현황'!$P:$P,"&gt;="&amp;'트랜드 분석_15일'!CJ$18,'2023년 신조차 고장관리 세부현황'!$P:$P,"&lt;"&amp;'트랜드 분석_15일'!CK$18)</f>
        <v>0</v>
      </c>
      <c r="CL19" s="85">
        <f>COUNTIFS('2023년 신조차 고장관리 세부현황'!$K:$K,"128R",'2023년 신조차 고장관리 세부현황'!$P:$P,"&gt;="&amp;'트랜드 분석_15일'!CK$18,'2023년 신조차 고장관리 세부현황'!$P:$P,"&lt;"&amp;'트랜드 분석_15일'!CL$18)</f>
        <v>0</v>
      </c>
      <c r="CM19" s="85">
        <f>COUNTIFS('2023년 신조차 고장관리 세부현황'!$K:$K,"128R",'2023년 신조차 고장관리 세부현황'!$P:$P,"&gt;="&amp;'트랜드 분석_15일'!CL$18,'2023년 신조차 고장관리 세부현황'!$P:$P,"&lt;"&amp;'트랜드 분석_15일'!CM$18)</f>
        <v>0</v>
      </c>
      <c r="CN19" s="85">
        <f>COUNTIFS('2023년 신조차 고장관리 세부현황'!$K:$K,"128R",'2023년 신조차 고장관리 세부현황'!$P:$P,"&gt;="&amp;'트랜드 분석_15일'!CM$18,'2023년 신조차 고장관리 세부현황'!$P:$P,"&lt;"&amp;'트랜드 분석_15일'!CN$18)</f>
        <v>0</v>
      </c>
      <c r="CO19" s="85">
        <f>COUNTIFS('2023년 신조차 고장관리 세부현황'!$K:$K,"128R",'2023년 신조차 고장관리 세부현황'!$P:$P,"&gt;="&amp;'트랜드 분석_15일'!CN$18,'2023년 신조차 고장관리 세부현황'!$P:$P,"&lt;"&amp;'트랜드 분석_15일'!CO$18)</f>
        <v>0</v>
      </c>
      <c r="CP19" s="85">
        <f>COUNTIFS('2023년 신조차 고장관리 세부현황'!$K:$K,"128R",'2023년 신조차 고장관리 세부현황'!$P:$P,"&gt;="&amp;'트랜드 분석_15일'!CO$18,'2023년 신조차 고장관리 세부현황'!$P:$P,"&lt;"&amp;'트랜드 분석_15일'!CP$18)</f>
        <v>0</v>
      </c>
      <c r="CQ19" s="85">
        <f>COUNTIFS('2023년 신조차 고장관리 세부현황'!$K:$K,"128R",'2023년 신조차 고장관리 세부현황'!$P:$P,"&gt;="&amp;'트랜드 분석_15일'!CP$18,'2023년 신조차 고장관리 세부현황'!$P:$P,"&lt;"&amp;'트랜드 분석_15일'!CQ$18)</f>
        <v>0</v>
      </c>
      <c r="CR19" s="85">
        <f>COUNTIFS('2023년 신조차 고장관리 세부현황'!$K:$K,"128R",'2023년 신조차 고장관리 세부현황'!$P:$P,"&gt;="&amp;'트랜드 분석_15일'!CQ$18,'2023년 신조차 고장관리 세부현황'!$P:$P,"&lt;"&amp;'트랜드 분석_15일'!CR$18)</f>
        <v>0</v>
      </c>
      <c r="CS19" s="85">
        <f>COUNTIFS('2023년 신조차 고장관리 세부현황'!$K:$K,"128R",'2023년 신조차 고장관리 세부현황'!$P:$P,"&gt;="&amp;'트랜드 분석_15일'!CR$18,'2023년 신조차 고장관리 세부현황'!$P:$P,"&lt;"&amp;'트랜드 분석_15일'!CS$18)</f>
        <v>0</v>
      </c>
      <c r="CT19" s="85">
        <f>COUNTIFS('2023년 신조차 고장관리 세부현황'!$K:$K,"128R",'2023년 신조차 고장관리 세부현황'!$P:$P,"&gt;="&amp;'트랜드 분석_15일'!CS$18,'2023년 신조차 고장관리 세부현황'!$P:$P,"&lt;"&amp;'트랜드 분석_15일'!CT$18)</f>
        <v>0</v>
      </c>
      <c r="CU19" s="85">
        <f>COUNTIFS('2023년 신조차 고장관리 세부현황'!$K:$K,"128R",'2023년 신조차 고장관리 세부현황'!$P:$P,"&gt;="&amp;'트랜드 분석_15일'!CT$18,'2023년 신조차 고장관리 세부현황'!$P:$P,"&lt;"&amp;'트랜드 분석_15일'!CU$18)</f>
        <v>0</v>
      </c>
      <c r="CV19" s="85">
        <f>COUNTIFS('2023년 신조차 고장관리 세부현황'!$K:$K,"128R",'2023년 신조차 고장관리 세부현황'!$P:$P,"&gt;="&amp;'트랜드 분석_15일'!CU$18,'2023년 신조차 고장관리 세부현황'!$P:$P,"&lt;"&amp;'트랜드 분석_15일'!CV$18)</f>
        <v>0</v>
      </c>
      <c r="CW19" s="85">
        <f>COUNTIFS('2023년 신조차 고장관리 세부현황'!$K:$K,"128R",'2023년 신조차 고장관리 세부현황'!$P:$P,"&gt;="&amp;'트랜드 분석_15일'!CV$18,'2023년 신조차 고장관리 세부현황'!$P:$P,"&lt;"&amp;'트랜드 분석_15일'!CW$18)</f>
        <v>0</v>
      </c>
      <c r="CX19" s="195">
        <f>SUM(U19:CV19)</f>
        <v>3</v>
      </c>
    </row>
    <row r="20" spans="1:102" s="167" customFormat="1" x14ac:dyDescent="0.4">
      <c r="A20" s="167">
        <v>17</v>
      </c>
      <c r="B20" s="167">
        <f t="shared" ca="1" si="0"/>
        <v>1015</v>
      </c>
      <c r="C20" s="167">
        <f t="shared" ca="1" si="1"/>
        <v>1746</v>
      </c>
      <c r="D20" s="167">
        <f t="shared" ca="1" si="2"/>
        <v>2111</v>
      </c>
      <c r="F20" s="85" t="s">
        <v>164</v>
      </c>
      <c r="G20" s="85">
        <f>COUNTIFS('2023년 신조차 고장관리 세부현황'!$K:$K,"128R",'2023년 신조차 고장관리 세부현황'!$P:$P,"&gt;="&amp;$G$17,'2023년 신조차 고장관리 세부현황'!$P:$P,"&lt;"&amp;'트랜드 분석_15일'!G$18,'2023년 신조차 고장관리 세부현황'!$S:$S,'트랜드 분석_15일'!$F20)</f>
        <v>0</v>
      </c>
      <c r="H20"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분석_15일'!$F20)</f>
        <v>0</v>
      </c>
      <c r="I20"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분석_15일'!$F20)</f>
        <v>0</v>
      </c>
      <c r="J20"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분석_15일'!$F20)</f>
        <v>0</v>
      </c>
      <c r="K20"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분석_15일'!$F20)</f>
        <v>0</v>
      </c>
      <c r="L20"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분석_15일'!$F20)</f>
        <v>0</v>
      </c>
      <c r="M20"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분석_15일'!$F20)</f>
        <v>0</v>
      </c>
      <c r="N20"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분석_15일'!$F20)</f>
        <v>0</v>
      </c>
      <c r="O20"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분석_15일'!$F20)</f>
        <v>0</v>
      </c>
      <c r="P20"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분석_15일'!$F20)</f>
        <v>0</v>
      </c>
      <c r="Q20"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분석_15일'!$F20)</f>
        <v>0</v>
      </c>
      <c r="R20"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분석_15일'!$F20)</f>
        <v>0</v>
      </c>
      <c r="S20"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분석_15일'!$F20)</f>
        <v>0</v>
      </c>
      <c r="T20"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분석_15일'!$F20)</f>
        <v>0</v>
      </c>
      <c r="U20"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분석_15일'!$F20)</f>
        <v>0</v>
      </c>
      <c r="V20"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분석_15일'!$F20)</f>
        <v>0</v>
      </c>
      <c r="W20"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분석_15일'!$F20)</f>
        <v>0</v>
      </c>
      <c r="X20"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분석_15일'!$F20)</f>
        <v>0</v>
      </c>
      <c r="Y20"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분석_15일'!$F20)</f>
        <v>0</v>
      </c>
      <c r="Z20"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분석_15일'!$F20)</f>
        <v>0</v>
      </c>
      <c r="AA20"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분석_15일'!$F20)</f>
        <v>0</v>
      </c>
      <c r="AB20"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분석_15일'!$F20)</f>
        <v>0</v>
      </c>
      <c r="AC20"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분석_15일'!$F20)</f>
        <v>0</v>
      </c>
      <c r="AD20"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분석_15일'!$F20)</f>
        <v>0</v>
      </c>
      <c r="AE20"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분석_15일'!$F20)</f>
        <v>0</v>
      </c>
      <c r="AF20"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분석_15일'!$F20)</f>
        <v>0</v>
      </c>
      <c r="AG20"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분석_15일'!$F20)</f>
        <v>0</v>
      </c>
      <c r="AH20"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분석_15일'!$F20)</f>
        <v>0</v>
      </c>
      <c r="AI20"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분석_15일'!$F20)</f>
        <v>0</v>
      </c>
      <c r="AJ20"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분석_15일'!$F20)</f>
        <v>0</v>
      </c>
      <c r="AK20"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분석_15일'!$F20)</f>
        <v>0</v>
      </c>
      <c r="AL20"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분석_15일'!$F20)</f>
        <v>0</v>
      </c>
      <c r="AM20"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분석_15일'!$F20)</f>
        <v>0</v>
      </c>
      <c r="AN20"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분석_15일'!$F20)</f>
        <v>0</v>
      </c>
      <c r="AO20"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분석_15일'!$F20)</f>
        <v>0</v>
      </c>
      <c r="AP20"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분석_15일'!$F20)</f>
        <v>0</v>
      </c>
      <c r="AQ20"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분석_15일'!$F20)</f>
        <v>0</v>
      </c>
      <c r="AR20"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분석_15일'!$F20)</f>
        <v>0</v>
      </c>
      <c r="AS20"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분석_15일'!$F20)</f>
        <v>0</v>
      </c>
      <c r="AT20"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분석_15일'!$F20)</f>
        <v>0</v>
      </c>
      <c r="AU20"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분석_15일'!$F20)</f>
        <v>0</v>
      </c>
      <c r="AV20"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분석_15일'!$F20)</f>
        <v>0</v>
      </c>
      <c r="AW20"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분석_15일'!$F20)</f>
        <v>0</v>
      </c>
      <c r="AX20"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분석_15일'!$F20)</f>
        <v>0</v>
      </c>
      <c r="AY20"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분석_15일'!$F20)</f>
        <v>0</v>
      </c>
      <c r="AZ20"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분석_15일'!$F20)</f>
        <v>0</v>
      </c>
      <c r="BA20"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분석_15일'!$F20)</f>
        <v>0</v>
      </c>
      <c r="BB20"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분석_15일'!$F20)</f>
        <v>0</v>
      </c>
      <c r="BC20"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분석_15일'!$F20)</f>
        <v>0</v>
      </c>
      <c r="BD20"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분석_15일'!$F20)</f>
        <v>0</v>
      </c>
      <c r="BE20"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분석_15일'!$F20)</f>
        <v>0</v>
      </c>
      <c r="BF20"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분석_15일'!$F20)</f>
        <v>0</v>
      </c>
      <c r="BG20"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분석_15일'!$F20)</f>
        <v>0</v>
      </c>
      <c r="BH20"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분석_15일'!$F20)</f>
        <v>0</v>
      </c>
      <c r="BI20"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분석_15일'!$F20)</f>
        <v>0</v>
      </c>
      <c r="BJ20"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분석_15일'!$F20)</f>
        <v>0</v>
      </c>
      <c r="BK20"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분석_15일'!$F20)</f>
        <v>0</v>
      </c>
      <c r="BL20"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분석_15일'!$F20)</f>
        <v>0</v>
      </c>
      <c r="BM20"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분석_15일'!$F20)</f>
        <v>0</v>
      </c>
      <c r="BN20"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분석_15일'!$F20)</f>
        <v>0</v>
      </c>
      <c r="BO20"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분석_15일'!$F20)</f>
        <v>0</v>
      </c>
      <c r="BP20"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분석_15일'!$F20)</f>
        <v>0</v>
      </c>
      <c r="BQ20"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분석_15일'!$F20)</f>
        <v>0</v>
      </c>
      <c r="BR20"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분석_15일'!$F20)</f>
        <v>0</v>
      </c>
      <c r="BS20"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분석_15일'!$F20)</f>
        <v>0</v>
      </c>
      <c r="BT20"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분석_15일'!$F20)</f>
        <v>0</v>
      </c>
      <c r="BU20"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분석_15일'!$F20)</f>
        <v>0</v>
      </c>
      <c r="BV20"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분석_15일'!$F20)</f>
        <v>0</v>
      </c>
      <c r="BW20"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분석_15일'!$F20)</f>
        <v>0</v>
      </c>
      <c r="BX20"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분석_15일'!$F20)</f>
        <v>0</v>
      </c>
      <c r="BY20"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분석_15일'!$F20)</f>
        <v>0</v>
      </c>
      <c r="BZ20"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분석_15일'!$F20)</f>
        <v>0</v>
      </c>
      <c r="CA20"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분석_15일'!$F20)</f>
        <v>0</v>
      </c>
      <c r="CB20"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분석_15일'!$F20)</f>
        <v>0</v>
      </c>
      <c r="CC20"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분석_15일'!$F20)</f>
        <v>0</v>
      </c>
      <c r="CD20"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분석_15일'!$F20)</f>
        <v>0</v>
      </c>
      <c r="CE20"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분석_15일'!$F20)</f>
        <v>0</v>
      </c>
      <c r="CF20"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분석_15일'!$F20)</f>
        <v>0</v>
      </c>
      <c r="CG20"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분석_15일'!$F20)</f>
        <v>0</v>
      </c>
      <c r="CH20"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분석_15일'!$F20)</f>
        <v>0</v>
      </c>
      <c r="CI20"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분석_15일'!$F20)</f>
        <v>0</v>
      </c>
      <c r="CJ20"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분석_15일'!$F20)</f>
        <v>0</v>
      </c>
      <c r="CK20"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분석_15일'!$F20)</f>
        <v>0</v>
      </c>
      <c r="CL20"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분석_15일'!$F20)</f>
        <v>0</v>
      </c>
      <c r="CM20"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분석_15일'!$F20)</f>
        <v>0</v>
      </c>
      <c r="CN20"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분석_15일'!$F20)</f>
        <v>0</v>
      </c>
      <c r="CO20"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분석_15일'!$F20)</f>
        <v>0</v>
      </c>
      <c r="CP20"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분석_15일'!$F20)</f>
        <v>0</v>
      </c>
      <c r="CQ20"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분석_15일'!$F20)</f>
        <v>0</v>
      </c>
      <c r="CR20"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분석_15일'!$F20)</f>
        <v>0</v>
      </c>
      <c r="CS20"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분석_15일'!$F20)</f>
        <v>0</v>
      </c>
      <c r="CT20"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분석_15일'!$F20)</f>
        <v>0</v>
      </c>
      <c r="CU20"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분석_15일'!$F20)</f>
        <v>0</v>
      </c>
      <c r="CV20"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분석_15일'!$F20)</f>
        <v>0</v>
      </c>
      <c r="CW20"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분석_15일'!$F20)</f>
        <v>0</v>
      </c>
      <c r="CX20" s="195">
        <f t="shared" ref="CX20:CX23" si="110">SUM(U20:CV20)</f>
        <v>0</v>
      </c>
    </row>
    <row r="21" spans="1:102" s="167" customFormat="1" x14ac:dyDescent="0.4">
      <c r="A21" s="167">
        <v>18</v>
      </c>
      <c r="B21" s="167">
        <f t="shared" ca="1" si="0"/>
        <v>1015</v>
      </c>
      <c r="C21" s="167">
        <f t="shared" ca="1" si="1"/>
        <v>1746</v>
      </c>
      <c r="D21" s="167">
        <f t="shared" ca="1" si="2"/>
        <v>2111</v>
      </c>
      <c r="F21" s="85" t="s">
        <v>223</v>
      </c>
      <c r="G21" s="85">
        <f>COUNTIFS('2023년 신조차 고장관리 세부현황'!$K:$K,"128R",'2023년 신조차 고장관리 세부현황'!$P:$P,"&gt;="&amp;$G$17,'2023년 신조차 고장관리 세부현황'!$P:$P,"&lt;"&amp;'트랜드 분석_15일'!G$18,'2023년 신조차 고장관리 세부현황'!$S:$S,'트랜드 분석_15일'!$F21)</f>
        <v>0</v>
      </c>
      <c r="H21"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분석_15일'!$F21)</f>
        <v>0</v>
      </c>
      <c r="I21"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분석_15일'!$F21)</f>
        <v>0</v>
      </c>
      <c r="J21"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분석_15일'!$F21)</f>
        <v>0</v>
      </c>
      <c r="K21"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분석_15일'!$F21)</f>
        <v>0</v>
      </c>
      <c r="L21"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분석_15일'!$F21)</f>
        <v>0</v>
      </c>
      <c r="M21"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분석_15일'!$F21)</f>
        <v>0</v>
      </c>
      <c r="N21"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분석_15일'!$F21)</f>
        <v>0</v>
      </c>
      <c r="O21"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분석_15일'!$F21)</f>
        <v>0</v>
      </c>
      <c r="P21"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분석_15일'!$F21)</f>
        <v>0</v>
      </c>
      <c r="Q21"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분석_15일'!$F21)</f>
        <v>0</v>
      </c>
      <c r="R21"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분석_15일'!$F21)</f>
        <v>0</v>
      </c>
      <c r="S21"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분석_15일'!$F21)</f>
        <v>0</v>
      </c>
      <c r="T21"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분석_15일'!$F21)</f>
        <v>0</v>
      </c>
      <c r="U21"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분석_15일'!$F21)</f>
        <v>0</v>
      </c>
      <c r="V21"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분석_15일'!$F21)</f>
        <v>0</v>
      </c>
      <c r="W21"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분석_15일'!$F21)</f>
        <v>0</v>
      </c>
      <c r="X21"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분석_15일'!$F21)</f>
        <v>0</v>
      </c>
      <c r="Y21"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분석_15일'!$F21)</f>
        <v>0</v>
      </c>
      <c r="Z21"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분석_15일'!$F21)</f>
        <v>0</v>
      </c>
      <c r="AA21"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분석_15일'!$F21)</f>
        <v>0</v>
      </c>
      <c r="AB21"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분석_15일'!$F21)</f>
        <v>0</v>
      </c>
      <c r="AC21"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분석_15일'!$F21)</f>
        <v>0</v>
      </c>
      <c r="AD21"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분석_15일'!$F21)</f>
        <v>0</v>
      </c>
      <c r="AE21"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분석_15일'!$F21)</f>
        <v>0</v>
      </c>
      <c r="AF21"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분석_15일'!$F21)</f>
        <v>0</v>
      </c>
      <c r="AG21"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분석_15일'!$F21)</f>
        <v>0</v>
      </c>
      <c r="AH21"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분석_15일'!$F21)</f>
        <v>0</v>
      </c>
      <c r="AI21"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분석_15일'!$F21)</f>
        <v>0</v>
      </c>
      <c r="AJ21"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분석_15일'!$F21)</f>
        <v>0</v>
      </c>
      <c r="AK21"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분석_15일'!$F21)</f>
        <v>0</v>
      </c>
      <c r="AL21"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분석_15일'!$F21)</f>
        <v>0</v>
      </c>
      <c r="AM21"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분석_15일'!$F21)</f>
        <v>0</v>
      </c>
      <c r="AN21"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분석_15일'!$F21)</f>
        <v>0</v>
      </c>
      <c r="AO21"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분석_15일'!$F21)</f>
        <v>0</v>
      </c>
      <c r="AP21"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분석_15일'!$F21)</f>
        <v>0</v>
      </c>
      <c r="AQ21"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분석_15일'!$F21)</f>
        <v>0</v>
      </c>
      <c r="AR21"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분석_15일'!$F21)</f>
        <v>0</v>
      </c>
      <c r="AS21"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분석_15일'!$F21)</f>
        <v>0</v>
      </c>
      <c r="AT21"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분석_15일'!$F21)</f>
        <v>0</v>
      </c>
      <c r="AU21"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분석_15일'!$F21)</f>
        <v>0</v>
      </c>
      <c r="AV21"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분석_15일'!$F21)</f>
        <v>0</v>
      </c>
      <c r="AW21"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분석_15일'!$F21)</f>
        <v>0</v>
      </c>
      <c r="AX21"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분석_15일'!$F21)</f>
        <v>0</v>
      </c>
      <c r="AY21"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분석_15일'!$F21)</f>
        <v>0</v>
      </c>
      <c r="AZ21"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분석_15일'!$F21)</f>
        <v>0</v>
      </c>
      <c r="BA21"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분석_15일'!$F21)</f>
        <v>0</v>
      </c>
      <c r="BB21"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분석_15일'!$F21)</f>
        <v>0</v>
      </c>
      <c r="BC21"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분석_15일'!$F21)</f>
        <v>0</v>
      </c>
      <c r="BD21"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분석_15일'!$F21)</f>
        <v>0</v>
      </c>
      <c r="BE21"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분석_15일'!$F21)</f>
        <v>0</v>
      </c>
      <c r="BF21"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분석_15일'!$F21)</f>
        <v>0</v>
      </c>
      <c r="BG21"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분석_15일'!$F21)</f>
        <v>0</v>
      </c>
      <c r="BH21"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분석_15일'!$F21)</f>
        <v>0</v>
      </c>
      <c r="BI21"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분석_15일'!$F21)</f>
        <v>0</v>
      </c>
      <c r="BJ21"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분석_15일'!$F21)</f>
        <v>0</v>
      </c>
      <c r="BK21"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분석_15일'!$F21)</f>
        <v>0</v>
      </c>
      <c r="BL21"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분석_15일'!$F21)</f>
        <v>0</v>
      </c>
      <c r="BM21"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분석_15일'!$F21)</f>
        <v>0</v>
      </c>
      <c r="BN21"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분석_15일'!$F21)</f>
        <v>0</v>
      </c>
      <c r="BO21"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분석_15일'!$F21)</f>
        <v>0</v>
      </c>
      <c r="BP21"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분석_15일'!$F21)</f>
        <v>0</v>
      </c>
      <c r="BQ21"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분석_15일'!$F21)</f>
        <v>0</v>
      </c>
      <c r="BR21"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분석_15일'!$F21)</f>
        <v>0</v>
      </c>
      <c r="BS21"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분석_15일'!$F21)</f>
        <v>0</v>
      </c>
      <c r="BT21"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분석_15일'!$F21)</f>
        <v>0</v>
      </c>
      <c r="BU21"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분석_15일'!$F21)</f>
        <v>0</v>
      </c>
      <c r="BV21"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분석_15일'!$F21)</f>
        <v>0</v>
      </c>
      <c r="BW21"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분석_15일'!$F21)</f>
        <v>0</v>
      </c>
      <c r="BX21"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분석_15일'!$F21)</f>
        <v>0</v>
      </c>
      <c r="BY21"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분석_15일'!$F21)</f>
        <v>0</v>
      </c>
      <c r="BZ21"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분석_15일'!$F21)</f>
        <v>0</v>
      </c>
      <c r="CA21"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분석_15일'!$F21)</f>
        <v>0</v>
      </c>
      <c r="CB21"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분석_15일'!$F21)</f>
        <v>0</v>
      </c>
      <c r="CC21"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분석_15일'!$F21)</f>
        <v>0</v>
      </c>
      <c r="CD21"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분석_15일'!$F21)</f>
        <v>0</v>
      </c>
      <c r="CE21"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분석_15일'!$F21)</f>
        <v>0</v>
      </c>
      <c r="CF21"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분석_15일'!$F21)</f>
        <v>0</v>
      </c>
      <c r="CG21"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분석_15일'!$F21)</f>
        <v>0</v>
      </c>
      <c r="CH21"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분석_15일'!$F21)</f>
        <v>0</v>
      </c>
      <c r="CI21"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분석_15일'!$F21)</f>
        <v>0</v>
      </c>
      <c r="CJ21"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분석_15일'!$F21)</f>
        <v>0</v>
      </c>
      <c r="CK21"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분석_15일'!$F21)</f>
        <v>0</v>
      </c>
      <c r="CL21"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분석_15일'!$F21)</f>
        <v>0</v>
      </c>
      <c r="CM21"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분석_15일'!$F21)</f>
        <v>0</v>
      </c>
      <c r="CN21"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분석_15일'!$F21)</f>
        <v>0</v>
      </c>
      <c r="CO21"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분석_15일'!$F21)</f>
        <v>0</v>
      </c>
      <c r="CP21"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분석_15일'!$F21)</f>
        <v>0</v>
      </c>
      <c r="CQ21"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분석_15일'!$F21)</f>
        <v>0</v>
      </c>
      <c r="CR21"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분석_15일'!$F21)</f>
        <v>0</v>
      </c>
      <c r="CS21"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분석_15일'!$F21)</f>
        <v>0</v>
      </c>
      <c r="CT21"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분석_15일'!$F21)</f>
        <v>0</v>
      </c>
      <c r="CU21"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분석_15일'!$F21)</f>
        <v>0</v>
      </c>
      <c r="CV21"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분석_15일'!$F21)</f>
        <v>0</v>
      </c>
      <c r="CW21"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분석_15일'!$F21)</f>
        <v>0</v>
      </c>
      <c r="CX21" s="195">
        <f t="shared" si="110"/>
        <v>0</v>
      </c>
    </row>
    <row r="22" spans="1:102" s="167" customFormat="1" x14ac:dyDescent="0.4">
      <c r="A22" s="167">
        <v>19</v>
      </c>
      <c r="B22" s="167">
        <f t="shared" ca="1" si="0"/>
        <v>1015</v>
      </c>
      <c r="C22" s="167">
        <f t="shared" ca="1" si="1"/>
        <v>1746</v>
      </c>
      <c r="D22" s="167">
        <f t="shared" ca="1" si="2"/>
        <v>2111</v>
      </c>
      <c r="F22" s="85" t="s">
        <v>243</v>
      </c>
      <c r="G22" s="85">
        <f>G20+G21</f>
        <v>0</v>
      </c>
      <c r="H22" s="85">
        <f t="shared" ref="H22:BS22" si="111">H20+H21</f>
        <v>0</v>
      </c>
      <c r="I22" s="85">
        <f t="shared" si="111"/>
        <v>0</v>
      </c>
      <c r="J22" s="85">
        <f t="shared" si="111"/>
        <v>0</v>
      </c>
      <c r="K22" s="85">
        <f t="shared" si="111"/>
        <v>0</v>
      </c>
      <c r="L22" s="85">
        <f t="shared" si="111"/>
        <v>0</v>
      </c>
      <c r="M22" s="85">
        <f t="shared" si="111"/>
        <v>0</v>
      </c>
      <c r="N22" s="85">
        <f t="shared" si="111"/>
        <v>0</v>
      </c>
      <c r="O22" s="85">
        <f t="shared" si="111"/>
        <v>0</v>
      </c>
      <c r="P22" s="85">
        <f t="shared" si="111"/>
        <v>0</v>
      </c>
      <c r="Q22" s="85">
        <f t="shared" si="111"/>
        <v>0</v>
      </c>
      <c r="R22" s="85">
        <f t="shared" si="111"/>
        <v>0</v>
      </c>
      <c r="S22" s="85">
        <f t="shared" si="111"/>
        <v>0</v>
      </c>
      <c r="T22" s="85">
        <f t="shared" si="111"/>
        <v>0</v>
      </c>
      <c r="U22" s="85">
        <f t="shared" si="111"/>
        <v>0</v>
      </c>
      <c r="V22" s="85">
        <f t="shared" si="111"/>
        <v>0</v>
      </c>
      <c r="W22" s="85">
        <f t="shared" si="111"/>
        <v>0</v>
      </c>
      <c r="X22" s="85">
        <f t="shared" si="111"/>
        <v>0</v>
      </c>
      <c r="Y22" s="85">
        <f t="shared" si="111"/>
        <v>0</v>
      </c>
      <c r="Z22" s="85">
        <f t="shared" si="111"/>
        <v>0</v>
      </c>
      <c r="AA22" s="85">
        <f t="shared" si="111"/>
        <v>0</v>
      </c>
      <c r="AB22" s="85">
        <f t="shared" si="111"/>
        <v>0</v>
      </c>
      <c r="AC22" s="85">
        <f t="shared" si="111"/>
        <v>0</v>
      </c>
      <c r="AD22" s="85">
        <f t="shared" si="111"/>
        <v>0</v>
      </c>
      <c r="AE22" s="85">
        <f t="shared" si="111"/>
        <v>0</v>
      </c>
      <c r="AF22" s="85">
        <f t="shared" si="111"/>
        <v>0</v>
      </c>
      <c r="AG22" s="85">
        <f t="shared" si="111"/>
        <v>0</v>
      </c>
      <c r="AH22" s="85">
        <f t="shared" si="111"/>
        <v>0</v>
      </c>
      <c r="AI22" s="85">
        <f t="shared" si="111"/>
        <v>0</v>
      </c>
      <c r="AJ22" s="85">
        <f t="shared" si="111"/>
        <v>0</v>
      </c>
      <c r="AK22" s="85">
        <f t="shared" si="111"/>
        <v>0</v>
      </c>
      <c r="AL22" s="85">
        <f t="shared" si="111"/>
        <v>0</v>
      </c>
      <c r="AM22" s="85">
        <f t="shared" si="111"/>
        <v>0</v>
      </c>
      <c r="AN22" s="85">
        <f t="shared" si="111"/>
        <v>0</v>
      </c>
      <c r="AO22" s="85">
        <f t="shared" si="111"/>
        <v>0</v>
      </c>
      <c r="AP22" s="85">
        <f t="shared" si="111"/>
        <v>0</v>
      </c>
      <c r="AQ22" s="85">
        <f t="shared" si="111"/>
        <v>0</v>
      </c>
      <c r="AR22" s="85">
        <f t="shared" si="111"/>
        <v>0</v>
      </c>
      <c r="AS22" s="85">
        <f t="shared" si="111"/>
        <v>0</v>
      </c>
      <c r="AT22" s="85">
        <f t="shared" si="111"/>
        <v>0</v>
      </c>
      <c r="AU22" s="85">
        <f t="shared" si="111"/>
        <v>0</v>
      </c>
      <c r="AV22" s="85">
        <f t="shared" si="111"/>
        <v>0</v>
      </c>
      <c r="AW22" s="85">
        <f t="shared" si="111"/>
        <v>0</v>
      </c>
      <c r="AX22" s="85">
        <f t="shared" si="111"/>
        <v>0</v>
      </c>
      <c r="AY22" s="85">
        <f t="shared" si="111"/>
        <v>0</v>
      </c>
      <c r="AZ22" s="85">
        <f t="shared" si="111"/>
        <v>0</v>
      </c>
      <c r="BA22" s="85">
        <f t="shared" si="111"/>
        <v>0</v>
      </c>
      <c r="BB22" s="85">
        <f t="shared" si="111"/>
        <v>0</v>
      </c>
      <c r="BC22" s="85">
        <f t="shared" si="111"/>
        <v>0</v>
      </c>
      <c r="BD22" s="85">
        <f t="shared" si="111"/>
        <v>0</v>
      </c>
      <c r="BE22" s="85">
        <f t="shared" si="111"/>
        <v>0</v>
      </c>
      <c r="BF22" s="85">
        <f t="shared" si="111"/>
        <v>0</v>
      </c>
      <c r="BG22" s="85">
        <f t="shared" si="111"/>
        <v>0</v>
      </c>
      <c r="BH22" s="85">
        <f t="shared" si="111"/>
        <v>0</v>
      </c>
      <c r="BI22" s="85">
        <f t="shared" si="111"/>
        <v>0</v>
      </c>
      <c r="BJ22" s="85">
        <f t="shared" si="111"/>
        <v>0</v>
      </c>
      <c r="BK22" s="85">
        <f t="shared" si="111"/>
        <v>0</v>
      </c>
      <c r="BL22" s="85">
        <f t="shared" si="111"/>
        <v>0</v>
      </c>
      <c r="BM22" s="85">
        <f t="shared" si="111"/>
        <v>0</v>
      </c>
      <c r="BN22" s="85">
        <f t="shared" si="111"/>
        <v>0</v>
      </c>
      <c r="BO22" s="85">
        <f t="shared" si="111"/>
        <v>0</v>
      </c>
      <c r="BP22" s="85">
        <f t="shared" si="111"/>
        <v>0</v>
      </c>
      <c r="BQ22" s="85">
        <f t="shared" si="111"/>
        <v>0</v>
      </c>
      <c r="BR22" s="85">
        <f t="shared" si="111"/>
        <v>0</v>
      </c>
      <c r="BS22" s="85">
        <f t="shared" si="111"/>
        <v>0</v>
      </c>
      <c r="BT22" s="85">
        <f t="shared" ref="BT22:CH22" si="112">BT20+BT21</f>
        <v>0</v>
      </c>
      <c r="BU22" s="85">
        <f t="shared" si="112"/>
        <v>0</v>
      </c>
      <c r="BV22" s="85">
        <f t="shared" si="112"/>
        <v>0</v>
      </c>
      <c r="BW22" s="85">
        <f t="shared" si="112"/>
        <v>0</v>
      </c>
      <c r="BX22" s="85">
        <f t="shared" si="112"/>
        <v>0</v>
      </c>
      <c r="BY22" s="85">
        <f t="shared" si="112"/>
        <v>0</v>
      </c>
      <c r="BZ22" s="85">
        <f t="shared" si="112"/>
        <v>0</v>
      </c>
      <c r="CA22" s="85">
        <f t="shared" si="112"/>
        <v>0</v>
      </c>
      <c r="CB22" s="85">
        <f t="shared" si="112"/>
        <v>0</v>
      </c>
      <c r="CC22" s="85">
        <f t="shared" si="112"/>
        <v>0</v>
      </c>
      <c r="CD22" s="85">
        <f t="shared" si="112"/>
        <v>0</v>
      </c>
      <c r="CE22" s="85">
        <f t="shared" si="112"/>
        <v>0</v>
      </c>
      <c r="CF22" s="85">
        <f t="shared" si="112"/>
        <v>0</v>
      </c>
      <c r="CG22" s="85">
        <f t="shared" si="112"/>
        <v>0</v>
      </c>
      <c r="CH22" s="85">
        <f t="shared" si="112"/>
        <v>0</v>
      </c>
      <c r="CI22" s="85">
        <f t="shared" ref="CI22:CO22" si="113">CI20+CI21</f>
        <v>0</v>
      </c>
      <c r="CJ22" s="85">
        <f t="shared" si="113"/>
        <v>0</v>
      </c>
      <c r="CK22" s="85">
        <f t="shared" si="113"/>
        <v>0</v>
      </c>
      <c r="CL22" s="85">
        <f t="shared" si="113"/>
        <v>0</v>
      </c>
      <c r="CM22" s="85">
        <f t="shared" si="113"/>
        <v>0</v>
      </c>
      <c r="CN22" s="85">
        <f t="shared" si="113"/>
        <v>0</v>
      </c>
      <c r="CO22" s="85">
        <f t="shared" si="113"/>
        <v>0</v>
      </c>
      <c r="CP22" s="85">
        <f t="shared" ref="CP22:CW22" si="114">CP20+CP21</f>
        <v>0</v>
      </c>
      <c r="CQ22" s="85">
        <f t="shared" si="114"/>
        <v>0</v>
      </c>
      <c r="CR22" s="85">
        <f t="shared" si="114"/>
        <v>0</v>
      </c>
      <c r="CS22" s="85">
        <f t="shared" si="114"/>
        <v>0</v>
      </c>
      <c r="CT22" s="85">
        <f t="shared" si="114"/>
        <v>0</v>
      </c>
      <c r="CU22" s="85">
        <f t="shared" si="114"/>
        <v>0</v>
      </c>
      <c r="CV22" s="85">
        <f t="shared" si="114"/>
        <v>0</v>
      </c>
      <c r="CW22" s="85">
        <f t="shared" si="114"/>
        <v>0</v>
      </c>
      <c r="CX22" s="195">
        <f t="shared" si="110"/>
        <v>0</v>
      </c>
    </row>
    <row r="23" spans="1:102" s="167" customFormat="1" x14ac:dyDescent="0.4">
      <c r="A23" s="167">
        <v>20</v>
      </c>
      <c r="B23" s="167">
        <f t="shared" ca="1" si="0"/>
        <v>1015</v>
      </c>
      <c r="C23" s="167">
        <f t="shared" ca="1" si="1"/>
        <v>1746</v>
      </c>
      <c r="D23" s="167">
        <f t="shared" ca="1" si="2"/>
        <v>2111</v>
      </c>
      <c r="F23" s="86" t="s">
        <v>222</v>
      </c>
      <c r="G23" s="85">
        <f>COUNTIFS('2023년 신조차 고장관리 세부현황'!$K:$K,"128R",'2023년 신조차 고장관리 세부현황'!$P:$P,"&gt;="&amp;$G$17,'2023년 신조차 고장관리 세부현황'!$P:$P,"&lt;"&amp;'트랜드 분석_15일'!G$18,'2023년 신조차 고장관리 세부현황'!$S:$S,'트랜드 분석_15일'!$F23)</f>
        <v>0</v>
      </c>
      <c r="H23"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분석_15일'!$F23)</f>
        <v>0</v>
      </c>
      <c r="I23"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분석_15일'!$F23)</f>
        <v>0</v>
      </c>
      <c r="J23"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분석_15일'!$F23)</f>
        <v>0</v>
      </c>
      <c r="K23"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분석_15일'!$F23)</f>
        <v>0</v>
      </c>
      <c r="L23"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분석_15일'!$F23)</f>
        <v>0</v>
      </c>
      <c r="M23"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분석_15일'!$F23)</f>
        <v>0</v>
      </c>
      <c r="N23"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분석_15일'!$F23)</f>
        <v>0</v>
      </c>
      <c r="O23"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분석_15일'!$F23)</f>
        <v>0</v>
      </c>
      <c r="P23"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분석_15일'!$F23)</f>
        <v>0</v>
      </c>
      <c r="Q23"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분석_15일'!$F23)</f>
        <v>0</v>
      </c>
      <c r="R23"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분석_15일'!$F23)</f>
        <v>0</v>
      </c>
      <c r="S23"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분석_15일'!$F23)</f>
        <v>0</v>
      </c>
      <c r="T23"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분석_15일'!$F23)</f>
        <v>0</v>
      </c>
      <c r="U23"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분석_15일'!$F23)</f>
        <v>0</v>
      </c>
      <c r="V23"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분석_15일'!$F23)</f>
        <v>0</v>
      </c>
      <c r="W23"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분석_15일'!$F23)</f>
        <v>0</v>
      </c>
      <c r="X23"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분석_15일'!$F23)</f>
        <v>0</v>
      </c>
      <c r="Y23"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분석_15일'!$F23)</f>
        <v>0</v>
      </c>
      <c r="Z23"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분석_15일'!$F23)</f>
        <v>0</v>
      </c>
      <c r="AA23"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분석_15일'!$F23)</f>
        <v>0</v>
      </c>
      <c r="AB23"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분석_15일'!$F23)</f>
        <v>0</v>
      </c>
      <c r="AC23"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분석_15일'!$F23)</f>
        <v>0</v>
      </c>
      <c r="AD23"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분석_15일'!$F23)</f>
        <v>0</v>
      </c>
      <c r="AE23"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분석_15일'!$F23)</f>
        <v>0</v>
      </c>
      <c r="AF23"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분석_15일'!$F23)</f>
        <v>0</v>
      </c>
      <c r="AG23"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분석_15일'!$F23)</f>
        <v>0</v>
      </c>
      <c r="AH23"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분석_15일'!$F23)</f>
        <v>0</v>
      </c>
      <c r="AI23"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분석_15일'!$F23)</f>
        <v>0</v>
      </c>
      <c r="AJ23"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분석_15일'!$F23)</f>
        <v>0</v>
      </c>
      <c r="AK23"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분석_15일'!$F23)</f>
        <v>0</v>
      </c>
      <c r="AL23"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분석_15일'!$F23)</f>
        <v>0</v>
      </c>
      <c r="AM23"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분석_15일'!$F23)</f>
        <v>0</v>
      </c>
      <c r="AN23"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분석_15일'!$F23)</f>
        <v>0</v>
      </c>
      <c r="AO23"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분석_15일'!$F23)</f>
        <v>0</v>
      </c>
      <c r="AP23"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분석_15일'!$F23)</f>
        <v>0</v>
      </c>
      <c r="AQ23"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분석_15일'!$F23)</f>
        <v>0</v>
      </c>
      <c r="AR23"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분석_15일'!$F23)</f>
        <v>0</v>
      </c>
      <c r="AS23"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분석_15일'!$F23)</f>
        <v>0</v>
      </c>
      <c r="AT23"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분석_15일'!$F23)</f>
        <v>0</v>
      </c>
      <c r="AU23"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분석_15일'!$F23)</f>
        <v>0</v>
      </c>
      <c r="AV23"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분석_15일'!$F23)</f>
        <v>0</v>
      </c>
      <c r="AW23"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분석_15일'!$F23)</f>
        <v>0</v>
      </c>
      <c r="AX23"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분석_15일'!$F23)</f>
        <v>0</v>
      </c>
      <c r="AY23"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분석_15일'!$F23)</f>
        <v>0</v>
      </c>
      <c r="AZ23"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분석_15일'!$F23)</f>
        <v>0</v>
      </c>
      <c r="BA23"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분석_15일'!$F23)</f>
        <v>0</v>
      </c>
      <c r="BB23"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분석_15일'!$F23)</f>
        <v>0</v>
      </c>
      <c r="BC23"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분석_15일'!$F23)</f>
        <v>0</v>
      </c>
      <c r="BD23"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분석_15일'!$F23)</f>
        <v>0</v>
      </c>
      <c r="BE23"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분석_15일'!$F23)</f>
        <v>0</v>
      </c>
      <c r="BF23"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분석_15일'!$F23)</f>
        <v>0</v>
      </c>
      <c r="BG23"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분석_15일'!$F23)</f>
        <v>0</v>
      </c>
      <c r="BH23"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분석_15일'!$F23)</f>
        <v>0</v>
      </c>
      <c r="BI23"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분석_15일'!$F23)</f>
        <v>0</v>
      </c>
      <c r="BJ23"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분석_15일'!$F23)</f>
        <v>0</v>
      </c>
      <c r="BK23"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분석_15일'!$F23)</f>
        <v>0</v>
      </c>
      <c r="BL23"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분석_15일'!$F23)</f>
        <v>0</v>
      </c>
      <c r="BM23"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분석_15일'!$F23)</f>
        <v>0</v>
      </c>
      <c r="BN23"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분석_15일'!$F23)</f>
        <v>0</v>
      </c>
      <c r="BO23"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분석_15일'!$F23)</f>
        <v>0</v>
      </c>
      <c r="BP23"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분석_15일'!$F23)</f>
        <v>0</v>
      </c>
      <c r="BQ23"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분석_15일'!$F23)</f>
        <v>0</v>
      </c>
      <c r="BR23"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분석_15일'!$F23)</f>
        <v>0</v>
      </c>
      <c r="BS23"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분석_15일'!$F23)</f>
        <v>0</v>
      </c>
      <c r="BT23"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분석_15일'!$F23)</f>
        <v>0</v>
      </c>
      <c r="BU23"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분석_15일'!$F23)</f>
        <v>0</v>
      </c>
      <c r="BV23"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분석_15일'!$F23)</f>
        <v>0</v>
      </c>
      <c r="BW23"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분석_15일'!$F23)</f>
        <v>0</v>
      </c>
      <c r="BX23"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분석_15일'!$F23)</f>
        <v>0</v>
      </c>
      <c r="BY23"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분석_15일'!$F23)</f>
        <v>0</v>
      </c>
      <c r="BZ23"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분석_15일'!$F23)</f>
        <v>0</v>
      </c>
      <c r="CA23"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분석_15일'!$F23)</f>
        <v>0</v>
      </c>
      <c r="CB23"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분석_15일'!$F23)</f>
        <v>0</v>
      </c>
      <c r="CC23"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분석_15일'!$F23)</f>
        <v>0</v>
      </c>
      <c r="CD23"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분석_15일'!$F23)</f>
        <v>0</v>
      </c>
      <c r="CE23"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분석_15일'!$F23)</f>
        <v>0</v>
      </c>
      <c r="CF23"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분석_15일'!$F23)</f>
        <v>0</v>
      </c>
      <c r="CG23"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분석_15일'!$F23)</f>
        <v>0</v>
      </c>
      <c r="CH23"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분석_15일'!$F23)</f>
        <v>0</v>
      </c>
      <c r="CI23"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분석_15일'!$F23)</f>
        <v>0</v>
      </c>
      <c r="CJ23"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분석_15일'!$F23)</f>
        <v>0</v>
      </c>
      <c r="CK23"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분석_15일'!$F23)</f>
        <v>0</v>
      </c>
      <c r="CL23"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분석_15일'!$F23)</f>
        <v>0</v>
      </c>
      <c r="CM23"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분석_15일'!$F23)</f>
        <v>0</v>
      </c>
      <c r="CN23"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분석_15일'!$F23)</f>
        <v>0</v>
      </c>
      <c r="CO23"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분석_15일'!$F23)</f>
        <v>0</v>
      </c>
      <c r="CP23"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분석_15일'!$F23)</f>
        <v>0</v>
      </c>
      <c r="CQ23"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분석_15일'!$F23)</f>
        <v>0</v>
      </c>
      <c r="CR23"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분석_15일'!$F23)</f>
        <v>0</v>
      </c>
      <c r="CS23"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분석_15일'!$F23)</f>
        <v>0</v>
      </c>
      <c r="CT23"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분석_15일'!$F23)</f>
        <v>0</v>
      </c>
      <c r="CU23"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분석_15일'!$F23)</f>
        <v>0</v>
      </c>
      <c r="CV23"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분석_15일'!$F23)</f>
        <v>0</v>
      </c>
      <c r="CW23"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분석_15일'!$F23)</f>
        <v>0</v>
      </c>
      <c r="CX23" s="195">
        <f t="shared" si="110"/>
        <v>0</v>
      </c>
    </row>
    <row r="24" spans="1:102" s="167" customFormat="1" x14ac:dyDescent="0.4">
      <c r="A24" s="167">
        <v>21</v>
      </c>
      <c r="B24" s="167">
        <f t="shared" ca="1" si="0"/>
        <v>1015</v>
      </c>
      <c r="C24" s="167">
        <f t="shared" ca="1" si="1"/>
        <v>1746</v>
      </c>
      <c r="D24" s="167">
        <f t="shared" ca="1" si="2"/>
        <v>2111</v>
      </c>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CX24" s="195"/>
    </row>
    <row r="25" spans="1:102" s="167" customFormat="1" x14ac:dyDescent="0.4">
      <c r="A25" s="167">
        <v>22</v>
      </c>
      <c r="B25" s="167">
        <f t="shared" ca="1" si="0"/>
        <v>1015</v>
      </c>
      <c r="C25" s="167">
        <f t="shared" ca="1" si="1"/>
        <v>1746</v>
      </c>
      <c r="D25" s="167">
        <f t="shared" ca="1" si="2"/>
        <v>2111</v>
      </c>
      <c r="F25" t="s">
        <v>245</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CX25" s="195"/>
    </row>
    <row r="26" spans="1:102" s="167" customFormat="1" x14ac:dyDescent="0.4">
      <c r="A26" s="167">
        <v>29</v>
      </c>
      <c r="B26" s="167">
        <f t="shared" ca="1" si="0"/>
        <v>1015</v>
      </c>
      <c r="C26" s="167">
        <f t="shared" ca="1" si="1"/>
        <v>1746</v>
      </c>
      <c r="D26" s="167">
        <f t="shared" ca="1" si="2"/>
        <v>2111</v>
      </c>
      <c r="F26" s="85" t="s">
        <v>242</v>
      </c>
      <c r="G26" s="85">
        <v>1</v>
      </c>
      <c r="H26" s="85">
        <v>2</v>
      </c>
      <c r="I26" s="85">
        <v>3</v>
      </c>
      <c r="J26" s="85">
        <v>4</v>
      </c>
      <c r="K26" s="85">
        <v>5</v>
      </c>
      <c r="L26" s="85">
        <v>6</v>
      </c>
      <c r="M26" s="85">
        <v>7</v>
      </c>
      <c r="N26" s="85">
        <v>8</v>
      </c>
      <c r="O26" s="85">
        <v>9</v>
      </c>
      <c r="P26" s="85">
        <v>10</v>
      </c>
      <c r="Q26" s="85">
        <v>11</v>
      </c>
      <c r="R26" s="85">
        <v>12</v>
      </c>
      <c r="S26" s="85">
        <v>13</v>
      </c>
      <c r="T26" s="85">
        <v>14</v>
      </c>
      <c r="U26" s="85">
        <v>15</v>
      </c>
      <c r="V26" s="85">
        <v>16</v>
      </c>
      <c r="W26" s="85">
        <v>17</v>
      </c>
      <c r="X26" s="85">
        <v>18</v>
      </c>
      <c r="Y26" s="85">
        <v>19</v>
      </c>
      <c r="Z26" s="85">
        <v>20</v>
      </c>
      <c r="AA26" s="85">
        <v>21</v>
      </c>
      <c r="AB26" s="85">
        <v>22</v>
      </c>
      <c r="AC26" s="85">
        <v>23</v>
      </c>
      <c r="AD26" s="85">
        <v>24</v>
      </c>
      <c r="AE26" s="85">
        <v>25</v>
      </c>
      <c r="AF26" s="85">
        <v>26</v>
      </c>
      <c r="AG26" s="85">
        <v>27</v>
      </c>
      <c r="AH26" s="85">
        <v>28</v>
      </c>
      <c r="AI26" s="85">
        <v>29</v>
      </c>
      <c r="AJ26" s="85">
        <v>30</v>
      </c>
      <c r="AK26" s="85">
        <v>31</v>
      </c>
      <c r="AL26" s="85">
        <v>32</v>
      </c>
      <c r="AM26" s="85">
        <v>33</v>
      </c>
      <c r="AN26" s="85">
        <v>34</v>
      </c>
      <c r="AO26" s="85">
        <v>35</v>
      </c>
      <c r="AP26" s="85">
        <v>36</v>
      </c>
      <c r="AQ26" s="85">
        <v>37</v>
      </c>
      <c r="AR26" s="85">
        <v>38</v>
      </c>
      <c r="AS26" s="85">
        <v>39</v>
      </c>
      <c r="AT26" s="85">
        <v>40</v>
      </c>
      <c r="AU26" s="85">
        <v>41</v>
      </c>
      <c r="AV26" s="85">
        <v>42</v>
      </c>
      <c r="AW26" s="85">
        <v>43</v>
      </c>
      <c r="AX26" s="85">
        <v>44</v>
      </c>
      <c r="AY26" s="85">
        <v>45</v>
      </c>
      <c r="AZ26" s="85">
        <v>46</v>
      </c>
      <c r="BA26" s="85">
        <v>47</v>
      </c>
      <c r="BB26" s="85">
        <v>48</v>
      </c>
      <c r="BC26" s="85">
        <v>49</v>
      </c>
      <c r="BD26" s="85">
        <v>50</v>
      </c>
      <c r="BE26" s="85">
        <v>51</v>
      </c>
      <c r="BF26" s="85">
        <v>52</v>
      </c>
      <c r="BG26" s="85">
        <v>53</v>
      </c>
      <c r="BH26" s="85">
        <v>54</v>
      </c>
      <c r="BI26" s="85">
        <v>55</v>
      </c>
      <c r="BJ26" s="85">
        <v>56</v>
      </c>
      <c r="BK26" s="85">
        <v>57</v>
      </c>
      <c r="BL26" s="85">
        <v>58</v>
      </c>
      <c r="BM26" s="85">
        <v>59</v>
      </c>
      <c r="BN26" s="85">
        <v>60</v>
      </c>
      <c r="BO26" s="85">
        <v>61</v>
      </c>
      <c r="BP26" s="85">
        <v>62</v>
      </c>
      <c r="BQ26" s="85">
        <v>63</v>
      </c>
      <c r="BR26" s="85">
        <v>64</v>
      </c>
      <c r="BS26" s="85">
        <v>65</v>
      </c>
      <c r="BT26" s="85">
        <v>66</v>
      </c>
      <c r="BU26" s="85">
        <v>67</v>
      </c>
      <c r="BV26" s="85">
        <v>68</v>
      </c>
      <c r="BW26" s="85">
        <v>69</v>
      </c>
      <c r="BX26" s="85">
        <v>70</v>
      </c>
      <c r="BY26" s="85">
        <v>71</v>
      </c>
      <c r="BZ26" s="85">
        <v>72</v>
      </c>
      <c r="CA26" s="85">
        <v>73</v>
      </c>
      <c r="CB26" s="85">
        <v>74</v>
      </c>
      <c r="CC26" s="85">
        <v>75</v>
      </c>
      <c r="CD26" s="85">
        <v>76</v>
      </c>
      <c r="CE26" s="85">
        <v>77</v>
      </c>
      <c r="CF26" s="85">
        <v>78</v>
      </c>
      <c r="CG26" s="85">
        <v>79</v>
      </c>
      <c r="CH26" s="85">
        <v>80</v>
      </c>
      <c r="CI26" s="85">
        <v>81</v>
      </c>
      <c r="CJ26" s="85">
        <v>82</v>
      </c>
      <c r="CK26" s="85">
        <v>83</v>
      </c>
      <c r="CL26" s="85">
        <v>84</v>
      </c>
      <c r="CM26" s="85">
        <v>85</v>
      </c>
      <c r="CN26" s="85">
        <v>86</v>
      </c>
      <c r="CO26" s="85">
        <v>87</v>
      </c>
      <c r="CP26" s="85">
        <v>88</v>
      </c>
      <c r="CQ26" s="85">
        <v>89</v>
      </c>
      <c r="CR26" s="85">
        <v>90</v>
      </c>
      <c r="CS26" s="85">
        <v>91</v>
      </c>
      <c r="CT26" s="85">
        <v>92</v>
      </c>
      <c r="CU26" s="85">
        <v>93</v>
      </c>
      <c r="CV26" s="85">
        <v>94</v>
      </c>
      <c r="CW26" s="85">
        <v>95</v>
      </c>
      <c r="CX26" s="195"/>
    </row>
    <row r="27" spans="1:102" s="167" customFormat="1" x14ac:dyDescent="0.4">
      <c r="A27" s="167">
        <v>30</v>
      </c>
      <c r="B27" s="167">
        <f t="shared" ca="1" si="0"/>
        <v>1015</v>
      </c>
      <c r="C27" s="167">
        <f t="shared" ca="1" si="1"/>
        <v>1746</v>
      </c>
      <c r="D27" s="167">
        <f t="shared" ca="1" si="2"/>
        <v>2111</v>
      </c>
      <c r="F27" s="85" t="s">
        <v>239</v>
      </c>
      <c r="G27" s="139">
        <f>15*G26</f>
        <v>15</v>
      </c>
      <c r="H27" s="139">
        <f t="shared" ref="H27:BS27" si="115">15*H26</f>
        <v>30</v>
      </c>
      <c r="I27" s="139">
        <f t="shared" si="115"/>
        <v>45</v>
      </c>
      <c r="J27" s="139">
        <f t="shared" si="115"/>
        <v>60</v>
      </c>
      <c r="K27" s="139">
        <f t="shared" si="115"/>
        <v>75</v>
      </c>
      <c r="L27" s="139">
        <f t="shared" si="115"/>
        <v>90</v>
      </c>
      <c r="M27" s="139">
        <f t="shared" si="115"/>
        <v>105</v>
      </c>
      <c r="N27" s="139">
        <f t="shared" si="115"/>
        <v>120</v>
      </c>
      <c r="O27" s="139">
        <f t="shared" si="115"/>
        <v>135</v>
      </c>
      <c r="P27" s="139">
        <f t="shared" si="115"/>
        <v>150</v>
      </c>
      <c r="Q27" s="139">
        <f t="shared" si="115"/>
        <v>165</v>
      </c>
      <c r="R27" s="139">
        <f t="shared" si="115"/>
        <v>180</v>
      </c>
      <c r="S27" s="139">
        <f t="shared" si="115"/>
        <v>195</v>
      </c>
      <c r="T27" s="139">
        <f t="shared" si="115"/>
        <v>210</v>
      </c>
      <c r="U27" s="139">
        <f t="shared" si="115"/>
        <v>225</v>
      </c>
      <c r="V27" s="139">
        <f t="shared" si="115"/>
        <v>240</v>
      </c>
      <c r="W27" s="139">
        <f t="shared" si="115"/>
        <v>255</v>
      </c>
      <c r="X27" s="139">
        <f t="shared" si="115"/>
        <v>270</v>
      </c>
      <c r="Y27" s="139">
        <f t="shared" si="115"/>
        <v>285</v>
      </c>
      <c r="Z27" s="139">
        <f t="shared" si="115"/>
        <v>300</v>
      </c>
      <c r="AA27" s="139">
        <f t="shared" si="115"/>
        <v>315</v>
      </c>
      <c r="AB27" s="139">
        <f t="shared" si="115"/>
        <v>330</v>
      </c>
      <c r="AC27" s="139">
        <f t="shared" si="115"/>
        <v>345</v>
      </c>
      <c r="AD27" s="139">
        <f t="shared" si="115"/>
        <v>360</v>
      </c>
      <c r="AE27" s="139">
        <f t="shared" si="115"/>
        <v>375</v>
      </c>
      <c r="AF27" s="139">
        <f t="shared" si="115"/>
        <v>390</v>
      </c>
      <c r="AG27" s="139">
        <f t="shared" si="115"/>
        <v>405</v>
      </c>
      <c r="AH27" s="139">
        <f t="shared" si="115"/>
        <v>420</v>
      </c>
      <c r="AI27" s="139">
        <f t="shared" si="115"/>
        <v>435</v>
      </c>
      <c r="AJ27" s="139">
        <f t="shared" si="115"/>
        <v>450</v>
      </c>
      <c r="AK27" s="139">
        <f t="shared" si="115"/>
        <v>465</v>
      </c>
      <c r="AL27" s="139">
        <f t="shared" si="115"/>
        <v>480</v>
      </c>
      <c r="AM27" s="139">
        <f t="shared" si="115"/>
        <v>495</v>
      </c>
      <c r="AN27" s="139">
        <f t="shared" si="115"/>
        <v>510</v>
      </c>
      <c r="AO27" s="139">
        <f t="shared" si="115"/>
        <v>525</v>
      </c>
      <c r="AP27" s="139">
        <f t="shared" si="115"/>
        <v>540</v>
      </c>
      <c r="AQ27" s="139">
        <f t="shared" si="115"/>
        <v>555</v>
      </c>
      <c r="AR27" s="139">
        <f t="shared" si="115"/>
        <v>570</v>
      </c>
      <c r="AS27" s="139">
        <f t="shared" si="115"/>
        <v>585</v>
      </c>
      <c r="AT27" s="139">
        <f t="shared" si="115"/>
        <v>600</v>
      </c>
      <c r="AU27" s="139">
        <f t="shared" si="115"/>
        <v>615</v>
      </c>
      <c r="AV27" s="139">
        <f t="shared" si="115"/>
        <v>630</v>
      </c>
      <c r="AW27" s="139">
        <f t="shared" si="115"/>
        <v>645</v>
      </c>
      <c r="AX27" s="139">
        <f t="shared" si="115"/>
        <v>660</v>
      </c>
      <c r="AY27" s="139">
        <f t="shared" si="115"/>
        <v>675</v>
      </c>
      <c r="AZ27" s="139">
        <f t="shared" si="115"/>
        <v>690</v>
      </c>
      <c r="BA27" s="139">
        <f t="shared" si="115"/>
        <v>705</v>
      </c>
      <c r="BB27" s="139">
        <f t="shared" si="115"/>
        <v>720</v>
      </c>
      <c r="BC27" s="139">
        <f t="shared" si="115"/>
        <v>735</v>
      </c>
      <c r="BD27" s="139">
        <f t="shared" si="115"/>
        <v>750</v>
      </c>
      <c r="BE27" s="139">
        <f t="shared" si="115"/>
        <v>765</v>
      </c>
      <c r="BF27" s="139">
        <f t="shared" si="115"/>
        <v>780</v>
      </c>
      <c r="BG27" s="139">
        <f t="shared" si="115"/>
        <v>795</v>
      </c>
      <c r="BH27" s="139">
        <f t="shared" si="115"/>
        <v>810</v>
      </c>
      <c r="BI27" s="139">
        <f t="shared" si="115"/>
        <v>825</v>
      </c>
      <c r="BJ27" s="139">
        <f t="shared" si="115"/>
        <v>840</v>
      </c>
      <c r="BK27" s="139">
        <f t="shared" si="115"/>
        <v>855</v>
      </c>
      <c r="BL27" s="139">
        <f t="shared" si="115"/>
        <v>870</v>
      </c>
      <c r="BM27" s="139">
        <f t="shared" si="115"/>
        <v>885</v>
      </c>
      <c r="BN27" s="139">
        <f t="shared" si="115"/>
        <v>900</v>
      </c>
      <c r="BO27" s="139">
        <f t="shared" si="115"/>
        <v>915</v>
      </c>
      <c r="BP27" s="139">
        <f t="shared" si="115"/>
        <v>930</v>
      </c>
      <c r="BQ27" s="139">
        <f t="shared" si="115"/>
        <v>945</v>
      </c>
      <c r="BR27" s="139">
        <f t="shared" si="115"/>
        <v>960</v>
      </c>
      <c r="BS27" s="139">
        <f t="shared" si="115"/>
        <v>975</v>
      </c>
      <c r="BT27" s="139">
        <f t="shared" ref="BT27:CH27" si="116">15*BT26</f>
        <v>990</v>
      </c>
      <c r="BU27" s="139">
        <f t="shared" si="116"/>
        <v>1005</v>
      </c>
      <c r="BV27" s="139">
        <f t="shared" si="116"/>
        <v>1020</v>
      </c>
      <c r="BW27" s="139">
        <f t="shared" si="116"/>
        <v>1035</v>
      </c>
      <c r="BX27" s="139">
        <f t="shared" si="116"/>
        <v>1050</v>
      </c>
      <c r="BY27" s="139">
        <f t="shared" si="116"/>
        <v>1065</v>
      </c>
      <c r="BZ27" s="139">
        <f t="shared" si="116"/>
        <v>1080</v>
      </c>
      <c r="CA27" s="139">
        <f t="shared" si="116"/>
        <v>1095</v>
      </c>
      <c r="CB27" s="139">
        <f t="shared" si="116"/>
        <v>1110</v>
      </c>
      <c r="CC27" s="139">
        <f t="shared" si="116"/>
        <v>1125</v>
      </c>
      <c r="CD27" s="139">
        <f t="shared" si="116"/>
        <v>1140</v>
      </c>
      <c r="CE27" s="139">
        <f t="shared" si="116"/>
        <v>1155</v>
      </c>
      <c r="CF27" s="139">
        <f t="shared" si="116"/>
        <v>1170</v>
      </c>
      <c r="CG27" s="139">
        <f t="shared" si="116"/>
        <v>1185</v>
      </c>
      <c r="CH27" s="139">
        <f t="shared" si="116"/>
        <v>1200</v>
      </c>
      <c r="CI27" s="139">
        <f t="shared" ref="CI27:CO27" si="117">15*CI26</f>
        <v>1215</v>
      </c>
      <c r="CJ27" s="139">
        <f t="shared" si="117"/>
        <v>1230</v>
      </c>
      <c r="CK27" s="139">
        <f t="shared" si="117"/>
        <v>1245</v>
      </c>
      <c r="CL27" s="139">
        <f t="shared" si="117"/>
        <v>1260</v>
      </c>
      <c r="CM27" s="139">
        <f t="shared" si="117"/>
        <v>1275</v>
      </c>
      <c r="CN27" s="139">
        <f t="shared" si="117"/>
        <v>1290</v>
      </c>
      <c r="CO27" s="139">
        <f t="shared" si="117"/>
        <v>1305</v>
      </c>
      <c r="CP27" s="139">
        <f t="shared" ref="CP27:CW27" si="118">15*CP26</f>
        <v>1320</v>
      </c>
      <c r="CQ27" s="139">
        <f t="shared" si="118"/>
        <v>1335</v>
      </c>
      <c r="CR27" s="139">
        <f t="shared" si="118"/>
        <v>1350</v>
      </c>
      <c r="CS27" s="139">
        <f t="shared" si="118"/>
        <v>1365</v>
      </c>
      <c r="CT27" s="139">
        <f t="shared" si="118"/>
        <v>1380</v>
      </c>
      <c r="CU27" s="139">
        <f t="shared" si="118"/>
        <v>1395</v>
      </c>
      <c r="CV27" s="139">
        <f t="shared" si="118"/>
        <v>1410</v>
      </c>
      <c r="CW27" s="139">
        <f t="shared" si="118"/>
        <v>1425</v>
      </c>
      <c r="CX27" s="195"/>
    </row>
    <row r="28" spans="1:102" s="167" customFormat="1" x14ac:dyDescent="0.4">
      <c r="A28" s="167">
        <v>31</v>
      </c>
      <c r="B28" s="167">
        <f t="shared" ca="1" si="0"/>
        <v>1015</v>
      </c>
      <c r="C28" s="167">
        <f t="shared" ca="1" si="1"/>
        <v>1746</v>
      </c>
      <c r="D28" s="167">
        <f t="shared" ca="1" si="2"/>
        <v>2111</v>
      </c>
      <c r="F28" s="85" t="s">
        <v>154</v>
      </c>
      <c r="G28" s="85">
        <f>COUNTIFS('2023년 신조차 고장관리 세부현황'!$K:$K,"448R",'2023년 신조차 고장관리 세부현황'!$P:$P,"&gt;="&amp;G26,'2023년 신조차 고장관리 세부현황'!$P:$P,"&lt;"&amp;'트랜드 분석_15일'!G27)</f>
        <v>0</v>
      </c>
      <c r="H28" s="85">
        <f>COUNTIFS('2023년 신조차 고장관리 세부현황'!$K:$K,"448R",'2023년 신조차 고장관리 세부현황'!$P:$P,"&gt;="&amp;'트랜드 분석_15일'!G$27,'2023년 신조차 고장관리 세부현황'!$P:$P,"&lt;"&amp;'트랜드 분석_15일'!H$27)</f>
        <v>0</v>
      </c>
      <c r="I28" s="85">
        <f>COUNTIFS('2023년 신조차 고장관리 세부현황'!$K:$K,"448R",'2023년 신조차 고장관리 세부현황'!$P:$P,"&gt;="&amp;'트랜드 분석_15일'!H$27,'2023년 신조차 고장관리 세부현황'!$P:$P,"&lt;"&amp;'트랜드 분석_15일'!I$27)</f>
        <v>0</v>
      </c>
      <c r="J28" s="85">
        <f>COUNTIFS('2023년 신조차 고장관리 세부현황'!$K:$K,"448R",'2023년 신조차 고장관리 세부현황'!$P:$P,"&gt;="&amp;'트랜드 분석_15일'!I$27,'2023년 신조차 고장관리 세부현황'!$P:$P,"&lt;"&amp;'트랜드 분석_15일'!J$27)</f>
        <v>0</v>
      </c>
      <c r="K28" s="85">
        <f>COUNTIFS('2023년 신조차 고장관리 세부현황'!$K:$K,"448R",'2023년 신조차 고장관리 세부현황'!$P:$P,"&gt;="&amp;'트랜드 분석_15일'!J$27,'2023년 신조차 고장관리 세부현황'!$P:$P,"&lt;"&amp;'트랜드 분석_15일'!K$27)</f>
        <v>0</v>
      </c>
      <c r="L28" s="85">
        <f>COUNTIFS('2023년 신조차 고장관리 세부현황'!$K:$K,"448R",'2023년 신조차 고장관리 세부현황'!$P:$P,"&gt;="&amp;'트랜드 분석_15일'!K$27,'2023년 신조차 고장관리 세부현황'!$P:$P,"&lt;"&amp;'트랜드 분석_15일'!L$27)</f>
        <v>0</v>
      </c>
      <c r="M28" s="85">
        <f>COUNTIFS('2023년 신조차 고장관리 세부현황'!$K:$K,"448R",'2023년 신조차 고장관리 세부현황'!$P:$P,"&gt;="&amp;'트랜드 분석_15일'!L$27,'2023년 신조차 고장관리 세부현황'!$P:$P,"&lt;"&amp;'트랜드 분석_15일'!M$27)</f>
        <v>0</v>
      </c>
      <c r="N28" s="85">
        <f>COUNTIFS('2023년 신조차 고장관리 세부현황'!$K:$K,"448R",'2023년 신조차 고장관리 세부현황'!$P:$P,"&gt;="&amp;'트랜드 분석_15일'!M$27,'2023년 신조차 고장관리 세부현황'!$P:$P,"&lt;"&amp;'트랜드 분석_15일'!N$27)</f>
        <v>0</v>
      </c>
      <c r="O28" s="85">
        <f>COUNTIFS('2023년 신조차 고장관리 세부현황'!$K:$K,"448R",'2023년 신조차 고장관리 세부현황'!$P:$P,"&gt;="&amp;'트랜드 분석_15일'!N$27,'2023년 신조차 고장관리 세부현황'!$P:$P,"&lt;"&amp;'트랜드 분석_15일'!O$27)</f>
        <v>0</v>
      </c>
      <c r="P28" s="85">
        <f>COUNTIFS('2023년 신조차 고장관리 세부현황'!$K:$K,"448R",'2023년 신조차 고장관리 세부현황'!$P:$P,"&gt;="&amp;'트랜드 분석_15일'!O$27,'2023년 신조차 고장관리 세부현황'!$P:$P,"&lt;"&amp;'트랜드 분석_15일'!P$27)</f>
        <v>3</v>
      </c>
      <c r="Q28" s="85">
        <f>COUNTIFS('2023년 신조차 고장관리 세부현황'!$K:$K,"448R",'2023년 신조차 고장관리 세부현황'!$P:$P,"&gt;="&amp;'트랜드 분석_15일'!P$27,'2023년 신조차 고장관리 세부현황'!$P:$P,"&lt;"&amp;'트랜드 분석_15일'!Q$27)</f>
        <v>1</v>
      </c>
      <c r="R28" s="85">
        <f>COUNTIFS('2023년 신조차 고장관리 세부현황'!$K:$K,"448R",'2023년 신조차 고장관리 세부현황'!$P:$P,"&gt;="&amp;'트랜드 분석_15일'!Q$27,'2023년 신조차 고장관리 세부현황'!$P:$P,"&lt;"&amp;'트랜드 분석_15일'!R$27)</f>
        <v>2</v>
      </c>
      <c r="S28" s="85">
        <f>COUNTIFS('2023년 신조차 고장관리 세부현황'!$K:$K,"448R",'2023년 신조차 고장관리 세부현황'!$P:$P,"&gt;="&amp;'트랜드 분석_15일'!R$27,'2023년 신조차 고장관리 세부현황'!$P:$P,"&lt;"&amp;'트랜드 분석_15일'!S$27)</f>
        <v>3</v>
      </c>
      <c r="T28" s="85">
        <f>COUNTIFS('2023년 신조차 고장관리 세부현황'!$K:$K,"448R",'2023년 신조차 고장관리 세부현황'!$P:$P,"&gt;="&amp;'트랜드 분석_15일'!S$27,'2023년 신조차 고장관리 세부현황'!$P:$P,"&lt;"&amp;'트랜드 분석_15일'!T$27)</f>
        <v>2</v>
      </c>
      <c r="U28" s="85">
        <f>COUNTIFS('2023년 신조차 고장관리 세부현황'!$K:$K,"448R",'2023년 신조차 고장관리 세부현황'!$P:$P,"&gt;="&amp;'트랜드 분석_15일'!T$27,'2023년 신조차 고장관리 세부현황'!$P:$P,"&lt;"&amp;'트랜드 분석_15일'!U$27)</f>
        <v>0</v>
      </c>
      <c r="V28" s="85">
        <f>COUNTIFS('2023년 신조차 고장관리 세부현황'!$K:$K,"448R",'2023년 신조차 고장관리 세부현황'!$P:$P,"&gt;="&amp;'트랜드 분석_15일'!U$27,'2023년 신조차 고장관리 세부현황'!$P:$P,"&lt;"&amp;'트랜드 분석_15일'!V$27)</f>
        <v>0</v>
      </c>
      <c r="W28" s="85">
        <f>COUNTIFS('2023년 신조차 고장관리 세부현황'!$K:$K,"448R",'2023년 신조차 고장관리 세부현황'!$P:$P,"&gt;="&amp;'트랜드 분석_15일'!V$27,'2023년 신조차 고장관리 세부현황'!$P:$P,"&lt;"&amp;'트랜드 분석_15일'!W$27)</f>
        <v>2</v>
      </c>
      <c r="X28" s="85">
        <f>COUNTIFS('2023년 신조차 고장관리 세부현황'!$K:$K,"448R",'2023년 신조차 고장관리 세부현황'!$P:$P,"&gt;="&amp;'트랜드 분석_15일'!W$27,'2023년 신조차 고장관리 세부현황'!$P:$P,"&lt;"&amp;'트랜드 분석_15일'!X$27)</f>
        <v>1</v>
      </c>
      <c r="Y28" s="85">
        <f>COUNTIFS('2023년 신조차 고장관리 세부현황'!$K:$K,"448R",'2023년 신조차 고장관리 세부현황'!$P:$P,"&gt;="&amp;'트랜드 분석_15일'!X$27,'2023년 신조차 고장관리 세부현황'!$P:$P,"&lt;"&amp;'트랜드 분석_15일'!Y$27)</f>
        <v>2</v>
      </c>
      <c r="Z28" s="85">
        <f>COUNTIFS('2023년 신조차 고장관리 세부현황'!$K:$K,"448R",'2023년 신조차 고장관리 세부현황'!$P:$P,"&gt;="&amp;'트랜드 분석_15일'!Y$27,'2023년 신조차 고장관리 세부현황'!$P:$P,"&lt;"&amp;'트랜드 분석_15일'!Z$27)</f>
        <v>6</v>
      </c>
      <c r="AA28" s="85">
        <f>COUNTIFS('2023년 신조차 고장관리 세부현황'!$K:$K,"448R",'2023년 신조차 고장관리 세부현황'!$P:$P,"&gt;="&amp;'트랜드 분석_15일'!Z$27,'2023년 신조차 고장관리 세부현황'!$P:$P,"&lt;"&amp;'트랜드 분석_15일'!AA$27)</f>
        <v>2</v>
      </c>
      <c r="AB28" s="85">
        <f>COUNTIFS('2023년 신조차 고장관리 세부현황'!$K:$K,"448R",'2023년 신조차 고장관리 세부현황'!$P:$P,"&gt;="&amp;'트랜드 분석_15일'!AA$27,'2023년 신조차 고장관리 세부현황'!$P:$P,"&lt;"&amp;'트랜드 분석_15일'!AB$27)</f>
        <v>2</v>
      </c>
      <c r="AC28" s="85">
        <f>COUNTIFS('2023년 신조차 고장관리 세부현황'!$K:$K,"448R",'2023년 신조차 고장관리 세부현황'!$P:$P,"&gt;="&amp;'트랜드 분석_15일'!AB$27,'2023년 신조차 고장관리 세부현황'!$P:$P,"&lt;"&amp;'트랜드 분석_15일'!AC$27)</f>
        <v>1</v>
      </c>
      <c r="AD28" s="85">
        <f>COUNTIFS('2023년 신조차 고장관리 세부현황'!$K:$K,"448R",'2023년 신조차 고장관리 세부현황'!$P:$P,"&gt;="&amp;'트랜드 분석_15일'!AC$27,'2023년 신조차 고장관리 세부현황'!$P:$P,"&lt;"&amp;'트랜드 분석_15일'!AD$27)</f>
        <v>1</v>
      </c>
      <c r="AE28" s="85">
        <f>COUNTIFS('2023년 신조차 고장관리 세부현황'!$K:$K,"448R",'2023년 신조차 고장관리 세부현황'!$P:$P,"&gt;="&amp;'트랜드 분석_15일'!AD$27,'2023년 신조차 고장관리 세부현황'!$P:$P,"&lt;"&amp;'트랜드 분석_15일'!AE$27)</f>
        <v>1</v>
      </c>
      <c r="AF28" s="85">
        <f>COUNTIFS('2023년 신조차 고장관리 세부현황'!$K:$K,"448R",'2023년 신조차 고장관리 세부현황'!$P:$P,"&gt;="&amp;'트랜드 분석_15일'!AE$27,'2023년 신조차 고장관리 세부현황'!$P:$P,"&lt;"&amp;'트랜드 분석_15일'!AF$27)</f>
        <v>3</v>
      </c>
      <c r="AG28" s="85">
        <f>COUNTIFS('2023년 신조차 고장관리 세부현황'!$K:$K,"448R",'2023년 신조차 고장관리 세부현황'!$P:$P,"&gt;="&amp;'트랜드 분석_15일'!AF$27,'2023년 신조차 고장관리 세부현황'!$P:$P,"&lt;"&amp;'트랜드 분석_15일'!AG$27)</f>
        <v>1</v>
      </c>
      <c r="AH28" s="85">
        <f>COUNTIFS('2023년 신조차 고장관리 세부현황'!$K:$K,"448R",'2023년 신조차 고장관리 세부현황'!$P:$P,"&gt;="&amp;'트랜드 분석_15일'!AG$27,'2023년 신조차 고장관리 세부현황'!$P:$P,"&lt;"&amp;'트랜드 분석_15일'!AH$27)</f>
        <v>0</v>
      </c>
      <c r="AI28" s="85">
        <f>COUNTIFS('2023년 신조차 고장관리 세부현황'!$K:$K,"448R",'2023년 신조차 고장관리 세부현황'!$P:$P,"&gt;="&amp;'트랜드 분석_15일'!AH$27,'2023년 신조차 고장관리 세부현황'!$P:$P,"&lt;"&amp;'트랜드 분석_15일'!AI$27)</f>
        <v>0</v>
      </c>
      <c r="AJ28" s="85">
        <f>COUNTIFS('2023년 신조차 고장관리 세부현황'!$K:$K,"448R",'2023년 신조차 고장관리 세부현황'!$P:$P,"&gt;="&amp;'트랜드 분석_15일'!AI$27,'2023년 신조차 고장관리 세부현황'!$P:$P,"&lt;"&amp;'트랜드 분석_15일'!AJ$27)</f>
        <v>0</v>
      </c>
      <c r="AK28" s="85">
        <f>COUNTIFS('2023년 신조차 고장관리 세부현황'!$K:$K,"448R",'2023년 신조차 고장관리 세부현황'!$P:$P,"&gt;="&amp;'트랜드 분석_15일'!AJ$27,'2023년 신조차 고장관리 세부현황'!$P:$P,"&lt;"&amp;'트랜드 분석_15일'!AK$27)</f>
        <v>1</v>
      </c>
      <c r="AL28" s="85">
        <f>COUNTIFS('2023년 신조차 고장관리 세부현황'!$K:$K,"448R",'2023년 신조차 고장관리 세부현황'!$P:$P,"&gt;="&amp;'트랜드 분석_15일'!AK$27,'2023년 신조차 고장관리 세부현황'!$P:$P,"&lt;"&amp;'트랜드 분석_15일'!AL$27)</f>
        <v>3</v>
      </c>
      <c r="AM28" s="85">
        <f>COUNTIFS('2023년 신조차 고장관리 세부현황'!$K:$K,"448R",'2023년 신조차 고장관리 세부현황'!$P:$P,"&gt;="&amp;'트랜드 분석_15일'!AL$27,'2023년 신조차 고장관리 세부현황'!$P:$P,"&lt;"&amp;'트랜드 분석_15일'!AM$27)</f>
        <v>0</v>
      </c>
      <c r="AN28" s="85">
        <f>COUNTIFS('2023년 신조차 고장관리 세부현황'!$K:$K,"448R",'2023년 신조차 고장관리 세부현황'!$P:$P,"&gt;="&amp;'트랜드 분석_15일'!AM$27,'2023년 신조차 고장관리 세부현황'!$P:$P,"&lt;"&amp;'트랜드 분석_15일'!AN$27)</f>
        <v>0</v>
      </c>
      <c r="AO28" s="85">
        <f>COUNTIFS('2023년 신조차 고장관리 세부현황'!$K:$K,"448R",'2023년 신조차 고장관리 세부현황'!$P:$P,"&gt;="&amp;'트랜드 분석_15일'!AN$27,'2023년 신조차 고장관리 세부현황'!$P:$P,"&lt;"&amp;'트랜드 분석_15일'!AO$27)</f>
        <v>1</v>
      </c>
      <c r="AP28" s="85">
        <f>COUNTIFS('2023년 신조차 고장관리 세부현황'!$K:$K,"448R",'2023년 신조차 고장관리 세부현황'!$P:$P,"&gt;="&amp;'트랜드 분석_15일'!AO$27,'2023년 신조차 고장관리 세부현황'!$P:$P,"&lt;"&amp;'트랜드 분석_15일'!AP$27)</f>
        <v>0</v>
      </c>
      <c r="AQ28" s="85">
        <f>COUNTIFS('2023년 신조차 고장관리 세부현황'!$K:$K,"448R",'2023년 신조차 고장관리 세부현황'!$P:$P,"&gt;="&amp;'트랜드 분석_15일'!AP$27,'2023년 신조차 고장관리 세부현황'!$P:$P,"&lt;"&amp;'트랜드 분석_15일'!AQ$27)</f>
        <v>1</v>
      </c>
      <c r="AR28" s="85">
        <f>COUNTIFS('2023년 신조차 고장관리 세부현황'!$K:$K,"448R",'2023년 신조차 고장관리 세부현황'!$P:$P,"&gt;="&amp;'트랜드 분석_15일'!AQ$27,'2023년 신조차 고장관리 세부현황'!$P:$P,"&lt;"&amp;'트랜드 분석_15일'!AR$27)</f>
        <v>0</v>
      </c>
      <c r="AS28" s="85">
        <f>COUNTIFS('2023년 신조차 고장관리 세부현황'!$K:$K,"448R",'2023년 신조차 고장관리 세부현황'!$P:$P,"&gt;="&amp;'트랜드 분석_15일'!AR$27,'2023년 신조차 고장관리 세부현황'!$P:$P,"&lt;"&amp;'트랜드 분석_15일'!AS$27)</f>
        <v>0</v>
      </c>
      <c r="AT28" s="85">
        <f>COUNTIFS('2023년 신조차 고장관리 세부현황'!$K:$K,"448R",'2023년 신조차 고장관리 세부현황'!$P:$P,"&gt;="&amp;'트랜드 분석_15일'!AS$27,'2023년 신조차 고장관리 세부현황'!$P:$P,"&lt;"&amp;'트랜드 분석_15일'!AT$27)</f>
        <v>0</v>
      </c>
      <c r="AU28" s="85">
        <f>COUNTIFS('2023년 신조차 고장관리 세부현황'!$K:$K,"448R",'2023년 신조차 고장관리 세부현황'!$P:$P,"&gt;="&amp;'트랜드 분석_15일'!AT$27,'2023년 신조차 고장관리 세부현황'!$P:$P,"&lt;"&amp;'트랜드 분석_15일'!AU$27)</f>
        <v>0</v>
      </c>
      <c r="AV28" s="85">
        <f>COUNTIFS('2023년 신조차 고장관리 세부현황'!$K:$K,"448R",'2023년 신조차 고장관리 세부현황'!$P:$P,"&gt;="&amp;'트랜드 분석_15일'!AU$27,'2023년 신조차 고장관리 세부현황'!$P:$P,"&lt;"&amp;'트랜드 분석_15일'!AV$27)</f>
        <v>0</v>
      </c>
      <c r="AW28" s="85">
        <f>COUNTIFS('2023년 신조차 고장관리 세부현황'!$K:$K,"448R",'2023년 신조차 고장관리 세부현황'!$P:$P,"&gt;="&amp;'트랜드 분석_15일'!AV$27,'2023년 신조차 고장관리 세부현황'!$P:$P,"&lt;"&amp;'트랜드 분석_15일'!AW$27)</f>
        <v>0</v>
      </c>
      <c r="AX28" s="85">
        <f>COUNTIFS('2023년 신조차 고장관리 세부현황'!$K:$K,"448R",'2023년 신조차 고장관리 세부현황'!$P:$P,"&gt;="&amp;'트랜드 분석_15일'!AW$27,'2023년 신조차 고장관리 세부현황'!$P:$P,"&lt;"&amp;'트랜드 분석_15일'!AX$27)</f>
        <v>0</v>
      </c>
      <c r="AY28" s="85">
        <f>COUNTIFS('2023년 신조차 고장관리 세부현황'!$K:$K,"448R",'2023년 신조차 고장관리 세부현황'!$P:$P,"&gt;="&amp;'트랜드 분석_15일'!AX$27,'2023년 신조차 고장관리 세부현황'!$P:$P,"&lt;"&amp;'트랜드 분석_15일'!AY$27)</f>
        <v>0</v>
      </c>
      <c r="AZ28" s="85">
        <f>COUNTIFS('2023년 신조차 고장관리 세부현황'!$K:$K,"448R",'2023년 신조차 고장관리 세부현황'!$P:$P,"&gt;="&amp;'트랜드 분석_15일'!AY$27,'2023년 신조차 고장관리 세부현황'!$P:$P,"&lt;"&amp;'트랜드 분석_15일'!AZ$27)</f>
        <v>0</v>
      </c>
      <c r="BA28" s="85">
        <f>COUNTIFS('2023년 신조차 고장관리 세부현황'!$K:$K,"448R",'2023년 신조차 고장관리 세부현황'!$P:$P,"&gt;="&amp;'트랜드 분석_15일'!AZ$27,'2023년 신조차 고장관리 세부현황'!$P:$P,"&lt;"&amp;'트랜드 분석_15일'!BA$27)</f>
        <v>0</v>
      </c>
      <c r="BB28" s="85">
        <f>COUNTIFS('2023년 신조차 고장관리 세부현황'!$K:$K,"448R",'2023년 신조차 고장관리 세부현황'!$P:$P,"&gt;="&amp;'트랜드 분석_15일'!BA$27,'2023년 신조차 고장관리 세부현황'!$P:$P,"&lt;"&amp;'트랜드 분석_15일'!BB$27)</f>
        <v>0</v>
      </c>
      <c r="BC28" s="85">
        <f>COUNTIFS('2023년 신조차 고장관리 세부현황'!$K:$K,"448R",'2023년 신조차 고장관리 세부현황'!$P:$P,"&gt;="&amp;'트랜드 분석_15일'!BB$27,'2023년 신조차 고장관리 세부현황'!$P:$P,"&lt;"&amp;'트랜드 분석_15일'!BC$27)</f>
        <v>0</v>
      </c>
      <c r="BD28" s="85">
        <f>COUNTIFS('2023년 신조차 고장관리 세부현황'!$K:$K,"448R",'2023년 신조차 고장관리 세부현황'!$P:$P,"&gt;="&amp;'트랜드 분석_15일'!BC$27,'2023년 신조차 고장관리 세부현황'!$P:$P,"&lt;"&amp;'트랜드 분석_15일'!BD$27)</f>
        <v>0</v>
      </c>
      <c r="BE28" s="85">
        <f>COUNTIFS('2023년 신조차 고장관리 세부현황'!$K:$K,"448R",'2023년 신조차 고장관리 세부현황'!$P:$P,"&gt;="&amp;'트랜드 분석_15일'!BD$27,'2023년 신조차 고장관리 세부현황'!$P:$P,"&lt;"&amp;'트랜드 분석_15일'!BE$27)</f>
        <v>0</v>
      </c>
      <c r="BF28" s="85">
        <f>COUNTIFS('2023년 신조차 고장관리 세부현황'!$K:$K,"448R",'2023년 신조차 고장관리 세부현황'!$P:$P,"&gt;="&amp;'트랜드 분석_15일'!BE$27,'2023년 신조차 고장관리 세부현황'!$P:$P,"&lt;"&amp;'트랜드 분석_15일'!BF$27)</f>
        <v>0</v>
      </c>
      <c r="BG28" s="85">
        <f>COUNTIFS('2023년 신조차 고장관리 세부현황'!$K:$K,"448R",'2023년 신조차 고장관리 세부현황'!$P:$P,"&gt;="&amp;'트랜드 분석_15일'!BF$27,'2023년 신조차 고장관리 세부현황'!$P:$P,"&lt;"&amp;'트랜드 분석_15일'!BG$27)</f>
        <v>0</v>
      </c>
      <c r="BH28" s="85">
        <f>COUNTIFS('2023년 신조차 고장관리 세부현황'!$K:$K,"448R",'2023년 신조차 고장관리 세부현황'!$P:$P,"&gt;="&amp;'트랜드 분석_15일'!BG$27,'2023년 신조차 고장관리 세부현황'!$P:$P,"&lt;"&amp;'트랜드 분석_15일'!BH$27)</f>
        <v>0</v>
      </c>
      <c r="BI28" s="85">
        <f>COUNTIFS('2023년 신조차 고장관리 세부현황'!$K:$K,"448R",'2023년 신조차 고장관리 세부현황'!$P:$P,"&gt;="&amp;'트랜드 분석_15일'!BH$27,'2023년 신조차 고장관리 세부현황'!$P:$P,"&lt;"&amp;'트랜드 분석_15일'!BI$27)</f>
        <v>0</v>
      </c>
      <c r="BJ28" s="85">
        <f>COUNTIFS('2023년 신조차 고장관리 세부현황'!$K:$K,"448R",'2023년 신조차 고장관리 세부현황'!$P:$P,"&gt;="&amp;'트랜드 분석_15일'!BI$27,'2023년 신조차 고장관리 세부현황'!$P:$P,"&lt;"&amp;'트랜드 분석_15일'!BJ$27)</f>
        <v>0</v>
      </c>
      <c r="BK28" s="85">
        <f>COUNTIFS('2023년 신조차 고장관리 세부현황'!$K:$K,"448R",'2023년 신조차 고장관리 세부현황'!$P:$P,"&gt;="&amp;'트랜드 분석_15일'!BJ$27,'2023년 신조차 고장관리 세부현황'!$P:$P,"&lt;"&amp;'트랜드 분석_15일'!BK$27)</f>
        <v>0</v>
      </c>
      <c r="BL28" s="85">
        <f>COUNTIFS('2023년 신조차 고장관리 세부현황'!$K:$K,"448R",'2023년 신조차 고장관리 세부현황'!$P:$P,"&gt;="&amp;'트랜드 분석_15일'!BK$27,'2023년 신조차 고장관리 세부현황'!$P:$P,"&lt;"&amp;'트랜드 분석_15일'!BL$27)</f>
        <v>0</v>
      </c>
      <c r="BM28" s="85">
        <f>COUNTIFS('2023년 신조차 고장관리 세부현황'!$K:$K,"448R",'2023년 신조차 고장관리 세부현황'!$P:$P,"&gt;="&amp;'트랜드 분석_15일'!BL$27,'2023년 신조차 고장관리 세부현황'!$P:$P,"&lt;"&amp;'트랜드 분석_15일'!BM$27)</f>
        <v>0</v>
      </c>
      <c r="BN28" s="85">
        <f>COUNTIFS('2023년 신조차 고장관리 세부현황'!$K:$K,"448R",'2023년 신조차 고장관리 세부현황'!$P:$P,"&gt;="&amp;'트랜드 분석_15일'!BM$27,'2023년 신조차 고장관리 세부현황'!$P:$P,"&lt;"&amp;'트랜드 분석_15일'!BN$27)</f>
        <v>0</v>
      </c>
      <c r="BO28" s="85">
        <f>COUNTIFS('2023년 신조차 고장관리 세부현황'!$K:$K,"448R",'2023년 신조차 고장관리 세부현황'!$P:$P,"&gt;="&amp;'트랜드 분석_15일'!BN$27,'2023년 신조차 고장관리 세부현황'!$P:$P,"&lt;"&amp;'트랜드 분석_15일'!BO$27)</f>
        <v>0</v>
      </c>
      <c r="BP28" s="85">
        <f>COUNTIFS('2023년 신조차 고장관리 세부현황'!$K:$K,"448R",'2023년 신조차 고장관리 세부현황'!$P:$P,"&gt;="&amp;'트랜드 분석_15일'!BO$27,'2023년 신조차 고장관리 세부현황'!$P:$P,"&lt;"&amp;'트랜드 분석_15일'!BP$27)</f>
        <v>0</v>
      </c>
      <c r="BQ28" s="85">
        <f>COUNTIFS('2023년 신조차 고장관리 세부현황'!$K:$K,"448R",'2023년 신조차 고장관리 세부현황'!$P:$P,"&gt;="&amp;'트랜드 분석_15일'!BP$27,'2023년 신조차 고장관리 세부현황'!$P:$P,"&lt;"&amp;'트랜드 분석_15일'!BQ$27)</f>
        <v>0</v>
      </c>
      <c r="BR28" s="85">
        <f>COUNTIFS('2023년 신조차 고장관리 세부현황'!$K:$K,"448R",'2023년 신조차 고장관리 세부현황'!$P:$P,"&gt;="&amp;'트랜드 분석_15일'!BQ$27,'2023년 신조차 고장관리 세부현황'!$P:$P,"&lt;"&amp;'트랜드 분석_15일'!BR$27)</f>
        <v>0</v>
      </c>
      <c r="BS28" s="85">
        <f>COUNTIFS('2023년 신조차 고장관리 세부현황'!$K:$K,"448R",'2023년 신조차 고장관리 세부현황'!$P:$P,"&gt;="&amp;'트랜드 분석_15일'!BR$27,'2023년 신조차 고장관리 세부현황'!$P:$P,"&lt;"&amp;'트랜드 분석_15일'!BS$27)</f>
        <v>0</v>
      </c>
      <c r="BT28" s="85">
        <f>COUNTIFS('2023년 신조차 고장관리 세부현황'!$K:$K,"448R",'2023년 신조차 고장관리 세부현황'!$P:$P,"&gt;="&amp;'트랜드 분석_15일'!BS$27,'2023년 신조차 고장관리 세부현황'!$P:$P,"&lt;"&amp;'트랜드 분석_15일'!BT$27)</f>
        <v>0</v>
      </c>
      <c r="BU28" s="85">
        <f>COUNTIFS('2023년 신조차 고장관리 세부현황'!$K:$K,"448R",'2023년 신조차 고장관리 세부현황'!$P:$P,"&gt;="&amp;'트랜드 분석_15일'!BT$27,'2023년 신조차 고장관리 세부현황'!$P:$P,"&lt;"&amp;'트랜드 분석_15일'!BU$27)</f>
        <v>0</v>
      </c>
      <c r="BV28" s="85">
        <f>COUNTIFS('2023년 신조차 고장관리 세부현황'!$K:$K,"448R",'2023년 신조차 고장관리 세부현황'!$P:$P,"&gt;="&amp;'트랜드 분석_15일'!BU$27,'2023년 신조차 고장관리 세부현황'!$P:$P,"&lt;"&amp;'트랜드 분석_15일'!BV$27)</f>
        <v>0</v>
      </c>
      <c r="BW28" s="85">
        <f>COUNTIFS('2023년 신조차 고장관리 세부현황'!$K:$K,"448R",'2023년 신조차 고장관리 세부현황'!$P:$P,"&gt;="&amp;'트랜드 분석_15일'!BV$27,'2023년 신조차 고장관리 세부현황'!$P:$P,"&lt;"&amp;'트랜드 분석_15일'!BW$27)</f>
        <v>0</v>
      </c>
      <c r="BX28" s="85">
        <f>COUNTIFS('2023년 신조차 고장관리 세부현황'!$K:$K,"448R",'2023년 신조차 고장관리 세부현황'!$P:$P,"&gt;="&amp;'트랜드 분석_15일'!BW$27,'2023년 신조차 고장관리 세부현황'!$P:$P,"&lt;"&amp;'트랜드 분석_15일'!BX$27)</f>
        <v>0</v>
      </c>
      <c r="BY28" s="85">
        <f>COUNTIFS('2023년 신조차 고장관리 세부현황'!$K:$K,"448R",'2023년 신조차 고장관리 세부현황'!$P:$P,"&gt;="&amp;'트랜드 분석_15일'!BX$27,'2023년 신조차 고장관리 세부현황'!$P:$P,"&lt;"&amp;'트랜드 분석_15일'!BY$27)</f>
        <v>0</v>
      </c>
      <c r="BZ28" s="85">
        <f>COUNTIFS('2023년 신조차 고장관리 세부현황'!$K:$K,"448R",'2023년 신조차 고장관리 세부현황'!$P:$P,"&gt;="&amp;'트랜드 분석_15일'!BY$27,'2023년 신조차 고장관리 세부현황'!$P:$P,"&lt;"&amp;'트랜드 분석_15일'!BZ$27)</f>
        <v>0</v>
      </c>
      <c r="CA28" s="85">
        <f>COUNTIFS('2023년 신조차 고장관리 세부현황'!$K:$K,"448R",'2023년 신조차 고장관리 세부현황'!$P:$P,"&gt;="&amp;'트랜드 분석_15일'!BZ$27,'2023년 신조차 고장관리 세부현황'!$P:$P,"&lt;"&amp;'트랜드 분석_15일'!CA$27)</f>
        <v>0</v>
      </c>
      <c r="CB28" s="85">
        <f>COUNTIFS('2023년 신조차 고장관리 세부현황'!$K:$K,"448R",'2023년 신조차 고장관리 세부현황'!$P:$P,"&gt;="&amp;'트랜드 분석_15일'!CA$27,'2023년 신조차 고장관리 세부현황'!$P:$P,"&lt;"&amp;'트랜드 분석_15일'!CB$27)</f>
        <v>0</v>
      </c>
      <c r="CC28" s="85">
        <f>COUNTIFS('2023년 신조차 고장관리 세부현황'!$K:$K,"448R",'2023년 신조차 고장관리 세부현황'!$P:$P,"&gt;="&amp;'트랜드 분석_15일'!CB$27,'2023년 신조차 고장관리 세부현황'!$P:$P,"&lt;"&amp;'트랜드 분석_15일'!CC$27)</f>
        <v>0</v>
      </c>
      <c r="CD28" s="85">
        <f>COUNTIFS('2023년 신조차 고장관리 세부현황'!$K:$K,"448R",'2023년 신조차 고장관리 세부현황'!$P:$P,"&gt;="&amp;'트랜드 분석_15일'!CC$27,'2023년 신조차 고장관리 세부현황'!$P:$P,"&lt;"&amp;'트랜드 분석_15일'!CD$27)</f>
        <v>0</v>
      </c>
      <c r="CE28" s="85">
        <f>COUNTIFS('2023년 신조차 고장관리 세부현황'!$K:$K,"448R",'2023년 신조차 고장관리 세부현황'!$P:$P,"&gt;="&amp;'트랜드 분석_15일'!CD$27,'2023년 신조차 고장관리 세부현황'!$P:$P,"&lt;"&amp;'트랜드 분석_15일'!CE$27)</f>
        <v>0</v>
      </c>
      <c r="CF28" s="85">
        <f>COUNTIFS('2023년 신조차 고장관리 세부현황'!$K:$K,"448R",'2023년 신조차 고장관리 세부현황'!$P:$P,"&gt;="&amp;'트랜드 분석_15일'!CE$27,'2023년 신조차 고장관리 세부현황'!$P:$P,"&lt;"&amp;'트랜드 분석_15일'!CF$27)</f>
        <v>0</v>
      </c>
      <c r="CG28" s="85">
        <f>COUNTIFS('2023년 신조차 고장관리 세부현황'!$K:$K,"448R",'2023년 신조차 고장관리 세부현황'!$P:$P,"&gt;="&amp;'트랜드 분석_15일'!CF$27,'2023년 신조차 고장관리 세부현황'!$P:$P,"&lt;"&amp;'트랜드 분석_15일'!CG$27)</f>
        <v>0</v>
      </c>
      <c r="CH28" s="85">
        <f>COUNTIFS('2023년 신조차 고장관리 세부현황'!$K:$K,"448R",'2023년 신조차 고장관리 세부현황'!$P:$P,"&gt;="&amp;'트랜드 분석_15일'!CG$27,'2023년 신조차 고장관리 세부현황'!$P:$P,"&lt;"&amp;'트랜드 분석_15일'!CH$27)</f>
        <v>0</v>
      </c>
      <c r="CI28" s="85">
        <f>COUNTIFS('2023년 신조차 고장관리 세부현황'!$K:$K,"448R",'2023년 신조차 고장관리 세부현황'!$P:$P,"&gt;="&amp;'트랜드 분석_15일'!CH$27,'2023년 신조차 고장관리 세부현황'!$P:$P,"&lt;"&amp;'트랜드 분석_15일'!CI$27)</f>
        <v>0</v>
      </c>
      <c r="CJ28" s="85">
        <f>COUNTIFS('2023년 신조차 고장관리 세부현황'!$K:$K,"448R",'2023년 신조차 고장관리 세부현황'!$P:$P,"&gt;="&amp;'트랜드 분석_15일'!CI$27,'2023년 신조차 고장관리 세부현황'!$P:$P,"&lt;"&amp;'트랜드 분석_15일'!CJ$27)</f>
        <v>0</v>
      </c>
      <c r="CK28" s="85">
        <f>COUNTIFS('2023년 신조차 고장관리 세부현황'!$K:$K,"448R",'2023년 신조차 고장관리 세부현황'!$P:$P,"&gt;="&amp;'트랜드 분석_15일'!CJ$27,'2023년 신조차 고장관리 세부현황'!$P:$P,"&lt;"&amp;'트랜드 분석_15일'!CK$27)</f>
        <v>0</v>
      </c>
      <c r="CL28" s="85">
        <f>COUNTIFS('2023년 신조차 고장관리 세부현황'!$K:$K,"448R",'2023년 신조차 고장관리 세부현황'!$P:$P,"&gt;="&amp;'트랜드 분석_15일'!CK$27,'2023년 신조차 고장관리 세부현황'!$P:$P,"&lt;"&amp;'트랜드 분석_15일'!CL$27)</f>
        <v>0</v>
      </c>
      <c r="CM28" s="85">
        <f>COUNTIFS('2023년 신조차 고장관리 세부현황'!$K:$K,"448R",'2023년 신조차 고장관리 세부현황'!$P:$P,"&gt;="&amp;'트랜드 분석_15일'!CL$27,'2023년 신조차 고장관리 세부현황'!$P:$P,"&lt;"&amp;'트랜드 분석_15일'!CM$27)</f>
        <v>0</v>
      </c>
      <c r="CN28" s="85">
        <f>COUNTIFS('2023년 신조차 고장관리 세부현황'!$K:$K,"448R",'2023년 신조차 고장관리 세부현황'!$P:$P,"&gt;="&amp;'트랜드 분석_15일'!CM$27,'2023년 신조차 고장관리 세부현황'!$P:$P,"&lt;"&amp;'트랜드 분석_15일'!CN$27)</f>
        <v>0</v>
      </c>
      <c r="CO28" s="85">
        <f>COUNTIFS('2023년 신조차 고장관리 세부현황'!$K:$K,"448R",'2023년 신조차 고장관리 세부현황'!$P:$P,"&gt;="&amp;'트랜드 분석_15일'!CN$27,'2023년 신조차 고장관리 세부현황'!$P:$P,"&lt;"&amp;'트랜드 분석_15일'!CO$27)</f>
        <v>0</v>
      </c>
      <c r="CP28" s="85">
        <f>COUNTIFS('2023년 신조차 고장관리 세부현황'!$K:$K,"448R",'2023년 신조차 고장관리 세부현황'!$P:$P,"&gt;="&amp;'트랜드 분석_15일'!CO$27,'2023년 신조차 고장관리 세부현황'!$P:$P,"&lt;"&amp;'트랜드 분석_15일'!CP$27)</f>
        <v>0</v>
      </c>
      <c r="CQ28" s="85">
        <f>COUNTIFS('2023년 신조차 고장관리 세부현황'!$K:$K,"448R",'2023년 신조차 고장관리 세부현황'!$P:$P,"&gt;="&amp;'트랜드 분석_15일'!CP$27,'2023년 신조차 고장관리 세부현황'!$P:$P,"&lt;"&amp;'트랜드 분석_15일'!CQ$27)</f>
        <v>0</v>
      </c>
      <c r="CR28" s="85">
        <f>COUNTIFS('2023년 신조차 고장관리 세부현황'!$K:$K,"448R",'2023년 신조차 고장관리 세부현황'!$P:$P,"&gt;="&amp;'트랜드 분석_15일'!CQ$27,'2023년 신조차 고장관리 세부현황'!$P:$P,"&lt;"&amp;'트랜드 분석_15일'!CR$27)</f>
        <v>0</v>
      </c>
      <c r="CS28" s="85">
        <f>COUNTIFS('2023년 신조차 고장관리 세부현황'!$K:$K,"448R",'2023년 신조차 고장관리 세부현황'!$P:$P,"&gt;="&amp;'트랜드 분석_15일'!CR$27,'2023년 신조차 고장관리 세부현황'!$P:$P,"&lt;"&amp;'트랜드 분석_15일'!CS$27)</f>
        <v>0</v>
      </c>
      <c r="CT28" s="85">
        <f>COUNTIFS('2023년 신조차 고장관리 세부현황'!$K:$K,"448R",'2023년 신조차 고장관리 세부현황'!$P:$P,"&gt;="&amp;'트랜드 분석_15일'!CS$27,'2023년 신조차 고장관리 세부현황'!$P:$P,"&lt;"&amp;'트랜드 분석_15일'!CT$27)</f>
        <v>0</v>
      </c>
      <c r="CU28" s="85">
        <f>COUNTIFS('2023년 신조차 고장관리 세부현황'!$K:$K,"448R",'2023년 신조차 고장관리 세부현황'!$P:$P,"&gt;="&amp;'트랜드 분석_15일'!CT$27,'2023년 신조차 고장관리 세부현황'!$P:$P,"&lt;"&amp;'트랜드 분석_15일'!CU$27)</f>
        <v>0</v>
      </c>
      <c r="CV28" s="85">
        <f>COUNTIFS('2023년 신조차 고장관리 세부현황'!$K:$K,"448R",'2023년 신조차 고장관리 세부현황'!$P:$P,"&gt;="&amp;'트랜드 분석_15일'!CU$27,'2023년 신조차 고장관리 세부현황'!$P:$P,"&lt;"&amp;'트랜드 분석_15일'!CV$27)</f>
        <v>0</v>
      </c>
      <c r="CW28" s="85">
        <f>COUNTIFS('2023년 신조차 고장관리 세부현황'!$K:$K,"448R",'2023년 신조차 고장관리 세부현황'!$P:$P,"&gt;="&amp;'트랜드 분석_15일'!CV$27,'2023년 신조차 고장관리 세부현황'!$P:$P,"&lt;"&amp;'트랜드 분석_15일'!CW$27)</f>
        <v>0</v>
      </c>
      <c r="CX28" s="195">
        <f>SUM(U28:CV28)</f>
        <v>28</v>
      </c>
    </row>
    <row r="29" spans="1:102" s="167" customFormat="1" x14ac:dyDescent="0.4">
      <c r="A29" s="167">
        <v>32</v>
      </c>
      <c r="B29" s="167">
        <f t="shared" ca="1" si="0"/>
        <v>1015</v>
      </c>
      <c r="C29" s="167">
        <f t="shared" ca="1" si="1"/>
        <v>1746</v>
      </c>
      <c r="D29" s="167">
        <f t="shared" ca="1" si="2"/>
        <v>2111</v>
      </c>
      <c r="F29" s="85" t="s">
        <v>164</v>
      </c>
      <c r="G29" s="85">
        <f>COUNTIFS('2023년 신조차 고장관리 세부현황'!$K:$K,"448R",'2023년 신조차 고장관리 세부현황'!$P:$P,"&gt;="&amp;$G$26,'2023년 신조차 고장관리 세부현황'!$P:$P,"&lt;"&amp;'트랜드 분석_15일'!G$27,'2023년 신조차 고장관리 세부현황'!$S:$S,'트랜드 분석_15일'!$F29)</f>
        <v>0</v>
      </c>
      <c r="H29"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분석_15일'!$F29)</f>
        <v>0</v>
      </c>
      <c r="I29"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분석_15일'!$F29)</f>
        <v>0</v>
      </c>
      <c r="J29"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분석_15일'!$F29)</f>
        <v>0</v>
      </c>
      <c r="K29"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분석_15일'!$F29)</f>
        <v>0</v>
      </c>
      <c r="L29"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분석_15일'!$F29)</f>
        <v>0</v>
      </c>
      <c r="M29"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분석_15일'!$F29)</f>
        <v>0</v>
      </c>
      <c r="N29"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분석_15일'!$F29)</f>
        <v>0</v>
      </c>
      <c r="O29"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분석_15일'!$F29)</f>
        <v>0</v>
      </c>
      <c r="P29"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분석_15일'!$F29)</f>
        <v>0</v>
      </c>
      <c r="Q29"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분석_15일'!$F29)</f>
        <v>0</v>
      </c>
      <c r="R29"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분석_15일'!$F29)</f>
        <v>0</v>
      </c>
      <c r="S29"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분석_15일'!$F29)</f>
        <v>0</v>
      </c>
      <c r="T29"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분석_15일'!$F29)</f>
        <v>0</v>
      </c>
      <c r="U29"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분석_15일'!$F29)</f>
        <v>0</v>
      </c>
      <c r="V29"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분석_15일'!$F29)</f>
        <v>0</v>
      </c>
      <c r="W29"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분석_15일'!$F29)</f>
        <v>0</v>
      </c>
      <c r="X29"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분석_15일'!$F29)</f>
        <v>0</v>
      </c>
      <c r="Y29"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분석_15일'!$F29)</f>
        <v>0</v>
      </c>
      <c r="Z29"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분석_15일'!$F29)</f>
        <v>0</v>
      </c>
      <c r="AA29"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분석_15일'!$F29)</f>
        <v>0</v>
      </c>
      <c r="AB29"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분석_15일'!$F29)</f>
        <v>0</v>
      </c>
      <c r="AC29"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분석_15일'!$F29)</f>
        <v>0</v>
      </c>
      <c r="AD29"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분석_15일'!$F29)</f>
        <v>0</v>
      </c>
      <c r="AE29"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분석_15일'!$F29)</f>
        <v>0</v>
      </c>
      <c r="AF29"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분석_15일'!$F29)</f>
        <v>0</v>
      </c>
      <c r="AG29"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분석_15일'!$F29)</f>
        <v>0</v>
      </c>
      <c r="AH29"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분석_15일'!$F29)</f>
        <v>0</v>
      </c>
      <c r="AI29"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분석_15일'!$F29)</f>
        <v>0</v>
      </c>
      <c r="AJ29"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분석_15일'!$F29)</f>
        <v>0</v>
      </c>
      <c r="AK29"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분석_15일'!$F29)</f>
        <v>0</v>
      </c>
      <c r="AL29"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분석_15일'!$F29)</f>
        <v>0</v>
      </c>
      <c r="AM29"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분석_15일'!$F29)</f>
        <v>0</v>
      </c>
      <c r="AN29"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분석_15일'!$F29)</f>
        <v>0</v>
      </c>
      <c r="AO29"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분석_15일'!$F29)</f>
        <v>0</v>
      </c>
      <c r="AP29"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분석_15일'!$F29)</f>
        <v>0</v>
      </c>
      <c r="AQ29"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분석_15일'!$F29)</f>
        <v>0</v>
      </c>
      <c r="AR29"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분석_15일'!$F29)</f>
        <v>0</v>
      </c>
      <c r="AS29"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분석_15일'!$F29)</f>
        <v>0</v>
      </c>
      <c r="AT29"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분석_15일'!$F29)</f>
        <v>0</v>
      </c>
      <c r="AU29"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분석_15일'!$F29)</f>
        <v>0</v>
      </c>
      <c r="AV29"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분석_15일'!$F29)</f>
        <v>0</v>
      </c>
      <c r="AW29"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분석_15일'!$F29)</f>
        <v>0</v>
      </c>
      <c r="AX29"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분석_15일'!$F29)</f>
        <v>0</v>
      </c>
      <c r="AY29"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분석_15일'!$F29)</f>
        <v>0</v>
      </c>
      <c r="AZ29"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분석_15일'!$F29)</f>
        <v>0</v>
      </c>
      <c r="BA29"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분석_15일'!$F29)</f>
        <v>0</v>
      </c>
      <c r="BB29"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분석_15일'!$F29)</f>
        <v>0</v>
      </c>
      <c r="BC29"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분석_15일'!$F29)</f>
        <v>0</v>
      </c>
      <c r="BD29"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분석_15일'!$F29)</f>
        <v>0</v>
      </c>
      <c r="BE29"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분석_15일'!$F29)</f>
        <v>0</v>
      </c>
      <c r="BF29"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분석_15일'!$F29)</f>
        <v>0</v>
      </c>
      <c r="BG29"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분석_15일'!$F29)</f>
        <v>0</v>
      </c>
      <c r="BH29"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분석_15일'!$F29)</f>
        <v>0</v>
      </c>
      <c r="BI29"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분석_15일'!$F29)</f>
        <v>0</v>
      </c>
      <c r="BJ29"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분석_15일'!$F29)</f>
        <v>0</v>
      </c>
      <c r="BK29"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분석_15일'!$F29)</f>
        <v>0</v>
      </c>
      <c r="BL29"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분석_15일'!$F29)</f>
        <v>0</v>
      </c>
      <c r="BM29"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분석_15일'!$F29)</f>
        <v>0</v>
      </c>
      <c r="BN29"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분석_15일'!$F29)</f>
        <v>0</v>
      </c>
      <c r="BO29"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분석_15일'!$F29)</f>
        <v>0</v>
      </c>
      <c r="BP29"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분석_15일'!$F29)</f>
        <v>0</v>
      </c>
      <c r="BQ29"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분석_15일'!$F29)</f>
        <v>0</v>
      </c>
      <c r="BR29"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분석_15일'!$F29)</f>
        <v>0</v>
      </c>
      <c r="BS29"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분석_15일'!$F29)</f>
        <v>0</v>
      </c>
      <c r="BT29"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분석_15일'!$F29)</f>
        <v>0</v>
      </c>
      <c r="BU29"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분석_15일'!$F29)</f>
        <v>0</v>
      </c>
      <c r="BV29"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분석_15일'!$F29)</f>
        <v>0</v>
      </c>
      <c r="BW29"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분석_15일'!$F29)</f>
        <v>0</v>
      </c>
      <c r="BX29"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분석_15일'!$F29)</f>
        <v>0</v>
      </c>
      <c r="BY29"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분석_15일'!$F29)</f>
        <v>0</v>
      </c>
      <c r="BZ29"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분석_15일'!$F29)</f>
        <v>0</v>
      </c>
      <c r="CA29"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분석_15일'!$F29)</f>
        <v>0</v>
      </c>
      <c r="CB29"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분석_15일'!$F29)</f>
        <v>0</v>
      </c>
      <c r="CC29"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분석_15일'!$F29)</f>
        <v>0</v>
      </c>
      <c r="CD29"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분석_15일'!$F29)</f>
        <v>0</v>
      </c>
      <c r="CE29"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분석_15일'!$F29)</f>
        <v>0</v>
      </c>
      <c r="CF29"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분석_15일'!$F29)</f>
        <v>0</v>
      </c>
      <c r="CG29"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분석_15일'!$F29)</f>
        <v>0</v>
      </c>
      <c r="CH29"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분석_15일'!$F29)</f>
        <v>0</v>
      </c>
      <c r="CI29"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분석_15일'!$F29)</f>
        <v>0</v>
      </c>
      <c r="CJ29"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분석_15일'!$F29)</f>
        <v>0</v>
      </c>
      <c r="CK29"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분석_15일'!$F29)</f>
        <v>0</v>
      </c>
      <c r="CL29"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분석_15일'!$F29)</f>
        <v>0</v>
      </c>
      <c r="CM29"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분석_15일'!$F29)</f>
        <v>0</v>
      </c>
      <c r="CN29"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분석_15일'!$F29)</f>
        <v>0</v>
      </c>
      <c r="CO29"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분석_15일'!$F29)</f>
        <v>0</v>
      </c>
      <c r="CP29"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분석_15일'!$F29)</f>
        <v>0</v>
      </c>
      <c r="CQ29"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분석_15일'!$F29)</f>
        <v>0</v>
      </c>
      <c r="CR29"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분석_15일'!$F29)</f>
        <v>0</v>
      </c>
      <c r="CS29"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분석_15일'!$F29)</f>
        <v>0</v>
      </c>
      <c r="CT29"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분석_15일'!$F29)</f>
        <v>0</v>
      </c>
      <c r="CU29"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분석_15일'!$F29)</f>
        <v>0</v>
      </c>
      <c r="CV29"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분석_15일'!$F29)</f>
        <v>0</v>
      </c>
      <c r="CW29"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분석_15일'!$F29)</f>
        <v>0</v>
      </c>
      <c r="CX29" s="195">
        <f t="shared" ref="CX29:CX32" si="119">SUM(U29:CV29)</f>
        <v>0</v>
      </c>
    </row>
    <row r="30" spans="1:102" s="167" customFormat="1" x14ac:dyDescent="0.4">
      <c r="A30" s="167">
        <v>33</v>
      </c>
      <c r="B30" s="167">
        <f t="shared" ca="1" si="0"/>
        <v>1015</v>
      </c>
      <c r="C30" s="167">
        <f t="shared" ca="1" si="1"/>
        <v>1746</v>
      </c>
      <c r="D30" s="167">
        <f t="shared" ca="1" si="2"/>
        <v>2111</v>
      </c>
      <c r="F30" s="85" t="s">
        <v>223</v>
      </c>
      <c r="G30" s="85">
        <f>COUNTIFS('2023년 신조차 고장관리 세부현황'!$K:$K,"448R",'2023년 신조차 고장관리 세부현황'!$P:$P,"&gt;="&amp;$G$26,'2023년 신조차 고장관리 세부현황'!$P:$P,"&lt;"&amp;'트랜드 분석_15일'!G$27,'2023년 신조차 고장관리 세부현황'!$S:$S,'트랜드 분석_15일'!$F30)</f>
        <v>0</v>
      </c>
      <c r="H30"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분석_15일'!$F30)</f>
        <v>0</v>
      </c>
      <c r="I30"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분석_15일'!$F30)</f>
        <v>0</v>
      </c>
      <c r="J30"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분석_15일'!$F30)</f>
        <v>0</v>
      </c>
      <c r="K30"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분석_15일'!$F30)</f>
        <v>0</v>
      </c>
      <c r="L30"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분석_15일'!$F30)</f>
        <v>0</v>
      </c>
      <c r="M30"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분석_15일'!$F30)</f>
        <v>0</v>
      </c>
      <c r="N30"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분석_15일'!$F30)</f>
        <v>0</v>
      </c>
      <c r="O30"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분석_15일'!$F30)</f>
        <v>0</v>
      </c>
      <c r="P30"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분석_15일'!$F30)</f>
        <v>1</v>
      </c>
      <c r="Q30"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분석_15일'!$F30)</f>
        <v>0</v>
      </c>
      <c r="R30"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분석_15일'!$F30)</f>
        <v>2</v>
      </c>
      <c r="S30"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분석_15일'!$F30)</f>
        <v>2</v>
      </c>
      <c r="T30"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분석_15일'!$F30)</f>
        <v>0</v>
      </c>
      <c r="U30"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분석_15일'!$F30)</f>
        <v>0</v>
      </c>
      <c r="V30"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분석_15일'!$F30)</f>
        <v>0</v>
      </c>
      <c r="W30"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분석_15일'!$F30)</f>
        <v>2</v>
      </c>
      <c r="X30"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분석_15일'!$F30)</f>
        <v>0</v>
      </c>
      <c r="Y30"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분석_15일'!$F30)</f>
        <v>2</v>
      </c>
      <c r="Z30"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분석_15일'!$F30)</f>
        <v>3</v>
      </c>
      <c r="AA30"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분석_15일'!$F30)</f>
        <v>0</v>
      </c>
      <c r="AB30"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분석_15일'!$F30)</f>
        <v>2</v>
      </c>
      <c r="AC30"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분석_15일'!$F30)</f>
        <v>1</v>
      </c>
      <c r="AD30"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분석_15일'!$F30)</f>
        <v>0</v>
      </c>
      <c r="AE30"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분석_15일'!$F30)</f>
        <v>1</v>
      </c>
      <c r="AF30"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분석_15일'!$F30)</f>
        <v>2</v>
      </c>
      <c r="AG30"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분석_15일'!$F30)</f>
        <v>0</v>
      </c>
      <c r="AH30"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분석_15일'!$F30)</f>
        <v>0</v>
      </c>
      <c r="AI30"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분석_15일'!$F30)</f>
        <v>0</v>
      </c>
      <c r="AJ30"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분석_15일'!$F30)</f>
        <v>0</v>
      </c>
      <c r="AK30"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분석_15일'!$F30)</f>
        <v>0</v>
      </c>
      <c r="AL30"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분석_15일'!$F30)</f>
        <v>0</v>
      </c>
      <c r="AM30"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분석_15일'!$F30)</f>
        <v>0</v>
      </c>
      <c r="AN30"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분석_15일'!$F30)</f>
        <v>0</v>
      </c>
      <c r="AO30"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분석_15일'!$F30)</f>
        <v>0</v>
      </c>
      <c r="AP30"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분석_15일'!$F30)</f>
        <v>0</v>
      </c>
      <c r="AQ30"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분석_15일'!$F30)</f>
        <v>0</v>
      </c>
      <c r="AR30"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분석_15일'!$F30)</f>
        <v>0</v>
      </c>
      <c r="AS30"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분석_15일'!$F30)</f>
        <v>0</v>
      </c>
      <c r="AT30"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분석_15일'!$F30)</f>
        <v>0</v>
      </c>
      <c r="AU30"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분석_15일'!$F30)</f>
        <v>0</v>
      </c>
      <c r="AV30"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분석_15일'!$F30)</f>
        <v>0</v>
      </c>
      <c r="AW30"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분석_15일'!$F30)</f>
        <v>0</v>
      </c>
      <c r="AX30"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분석_15일'!$F30)</f>
        <v>0</v>
      </c>
      <c r="AY30"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분석_15일'!$F30)</f>
        <v>0</v>
      </c>
      <c r="AZ30"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분석_15일'!$F30)</f>
        <v>0</v>
      </c>
      <c r="BA30"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분석_15일'!$F30)</f>
        <v>0</v>
      </c>
      <c r="BB30"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분석_15일'!$F30)</f>
        <v>0</v>
      </c>
      <c r="BC30"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분석_15일'!$F30)</f>
        <v>0</v>
      </c>
      <c r="BD30"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분석_15일'!$F30)</f>
        <v>0</v>
      </c>
      <c r="BE30"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분석_15일'!$F30)</f>
        <v>0</v>
      </c>
      <c r="BF30"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분석_15일'!$F30)</f>
        <v>0</v>
      </c>
      <c r="BG30"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분석_15일'!$F30)</f>
        <v>0</v>
      </c>
      <c r="BH30"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분석_15일'!$F30)</f>
        <v>0</v>
      </c>
      <c r="BI30"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분석_15일'!$F30)</f>
        <v>0</v>
      </c>
      <c r="BJ30"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분석_15일'!$F30)</f>
        <v>0</v>
      </c>
      <c r="BK30"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분석_15일'!$F30)</f>
        <v>0</v>
      </c>
      <c r="BL30"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분석_15일'!$F30)</f>
        <v>0</v>
      </c>
      <c r="BM30"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분석_15일'!$F30)</f>
        <v>0</v>
      </c>
      <c r="BN30"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분석_15일'!$F30)</f>
        <v>0</v>
      </c>
      <c r="BO30"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분석_15일'!$F30)</f>
        <v>0</v>
      </c>
      <c r="BP30"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분석_15일'!$F30)</f>
        <v>0</v>
      </c>
      <c r="BQ30"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분석_15일'!$F30)</f>
        <v>0</v>
      </c>
      <c r="BR30"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분석_15일'!$F30)</f>
        <v>0</v>
      </c>
      <c r="BS30"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분석_15일'!$F30)</f>
        <v>0</v>
      </c>
      <c r="BT30"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분석_15일'!$F30)</f>
        <v>0</v>
      </c>
      <c r="BU30"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분석_15일'!$F30)</f>
        <v>0</v>
      </c>
      <c r="BV30"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분석_15일'!$F30)</f>
        <v>0</v>
      </c>
      <c r="BW30"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분석_15일'!$F30)</f>
        <v>0</v>
      </c>
      <c r="BX30"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분석_15일'!$F30)</f>
        <v>0</v>
      </c>
      <c r="BY30"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분석_15일'!$F30)</f>
        <v>0</v>
      </c>
      <c r="BZ30"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분석_15일'!$F30)</f>
        <v>0</v>
      </c>
      <c r="CA30"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분석_15일'!$F30)</f>
        <v>0</v>
      </c>
      <c r="CB30"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분석_15일'!$F30)</f>
        <v>0</v>
      </c>
      <c r="CC30"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분석_15일'!$F30)</f>
        <v>0</v>
      </c>
      <c r="CD30"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분석_15일'!$F30)</f>
        <v>0</v>
      </c>
      <c r="CE30"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분석_15일'!$F30)</f>
        <v>0</v>
      </c>
      <c r="CF30"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분석_15일'!$F30)</f>
        <v>0</v>
      </c>
      <c r="CG30"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분석_15일'!$F30)</f>
        <v>0</v>
      </c>
      <c r="CH30"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분석_15일'!$F30)</f>
        <v>0</v>
      </c>
      <c r="CI30"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분석_15일'!$F30)</f>
        <v>0</v>
      </c>
      <c r="CJ30"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분석_15일'!$F30)</f>
        <v>0</v>
      </c>
      <c r="CK30"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분석_15일'!$F30)</f>
        <v>0</v>
      </c>
      <c r="CL30"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분석_15일'!$F30)</f>
        <v>0</v>
      </c>
      <c r="CM30"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분석_15일'!$F30)</f>
        <v>0</v>
      </c>
      <c r="CN30"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분석_15일'!$F30)</f>
        <v>0</v>
      </c>
      <c r="CO30"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분석_15일'!$F30)</f>
        <v>0</v>
      </c>
      <c r="CP30"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분석_15일'!$F30)</f>
        <v>0</v>
      </c>
      <c r="CQ30"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분석_15일'!$F30)</f>
        <v>0</v>
      </c>
      <c r="CR30"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분석_15일'!$F30)</f>
        <v>0</v>
      </c>
      <c r="CS30"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분석_15일'!$F30)</f>
        <v>0</v>
      </c>
      <c r="CT30"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분석_15일'!$F30)</f>
        <v>0</v>
      </c>
      <c r="CU30"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분석_15일'!$F30)</f>
        <v>0</v>
      </c>
      <c r="CV30"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분석_15일'!$F30)</f>
        <v>0</v>
      </c>
      <c r="CW30"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분석_15일'!$F30)</f>
        <v>0</v>
      </c>
      <c r="CX30" s="195">
        <f t="shared" si="119"/>
        <v>13</v>
      </c>
    </row>
    <row r="31" spans="1:102" s="167" customFormat="1" x14ac:dyDescent="0.4">
      <c r="A31" s="167">
        <v>34</v>
      </c>
      <c r="B31" s="167">
        <f t="shared" ca="1" si="0"/>
        <v>1015</v>
      </c>
      <c r="C31" s="167">
        <f t="shared" ca="1" si="1"/>
        <v>1746</v>
      </c>
      <c r="D31" s="167">
        <f t="shared" ca="1" si="2"/>
        <v>2111</v>
      </c>
      <c r="F31" s="85" t="s">
        <v>243</v>
      </c>
      <c r="G31" s="85">
        <f>G29+G30</f>
        <v>0</v>
      </c>
      <c r="H31" s="85">
        <f t="shared" ref="H31:BS31" si="120">H29+H30</f>
        <v>0</v>
      </c>
      <c r="I31" s="85">
        <f t="shared" si="120"/>
        <v>0</v>
      </c>
      <c r="J31" s="85">
        <f t="shared" si="120"/>
        <v>0</v>
      </c>
      <c r="K31" s="85">
        <f t="shared" si="120"/>
        <v>0</v>
      </c>
      <c r="L31" s="85">
        <f t="shared" si="120"/>
        <v>0</v>
      </c>
      <c r="M31" s="85">
        <f t="shared" si="120"/>
        <v>0</v>
      </c>
      <c r="N31" s="85">
        <f t="shared" si="120"/>
        <v>0</v>
      </c>
      <c r="O31" s="85">
        <f t="shared" si="120"/>
        <v>0</v>
      </c>
      <c r="P31" s="85">
        <f t="shared" si="120"/>
        <v>1</v>
      </c>
      <c r="Q31" s="85">
        <f t="shared" si="120"/>
        <v>0</v>
      </c>
      <c r="R31" s="85">
        <f t="shared" si="120"/>
        <v>2</v>
      </c>
      <c r="S31" s="85">
        <f t="shared" si="120"/>
        <v>2</v>
      </c>
      <c r="T31" s="85">
        <f t="shared" si="120"/>
        <v>0</v>
      </c>
      <c r="U31" s="85">
        <f t="shared" si="120"/>
        <v>0</v>
      </c>
      <c r="V31" s="85">
        <f t="shared" si="120"/>
        <v>0</v>
      </c>
      <c r="W31" s="85">
        <f t="shared" si="120"/>
        <v>2</v>
      </c>
      <c r="X31" s="85">
        <f t="shared" si="120"/>
        <v>0</v>
      </c>
      <c r="Y31" s="85">
        <f t="shared" si="120"/>
        <v>2</v>
      </c>
      <c r="Z31" s="85">
        <f t="shared" si="120"/>
        <v>3</v>
      </c>
      <c r="AA31" s="85">
        <f t="shared" si="120"/>
        <v>0</v>
      </c>
      <c r="AB31" s="85">
        <f t="shared" si="120"/>
        <v>2</v>
      </c>
      <c r="AC31" s="85">
        <f t="shared" si="120"/>
        <v>1</v>
      </c>
      <c r="AD31" s="85">
        <f t="shared" si="120"/>
        <v>0</v>
      </c>
      <c r="AE31" s="85">
        <f t="shared" si="120"/>
        <v>1</v>
      </c>
      <c r="AF31" s="85">
        <f t="shared" si="120"/>
        <v>2</v>
      </c>
      <c r="AG31" s="85">
        <f t="shared" si="120"/>
        <v>0</v>
      </c>
      <c r="AH31" s="85">
        <f t="shared" si="120"/>
        <v>0</v>
      </c>
      <c r="AI31" s="85">
        <f t="shared" si="120"/>
        <v>0</v>
      </c>
      <c r="AJ31" s="85">
        <f t="shared" si="120"/>
        <v>0</v>
      </c>
      <c r="AK31" s="85">
        <f t="shared" si="120"/>
        <v>0</v>
      </c>
      <c r="AL31" s="85">
        <f t="shared" si="120"/>
        <v>0</v>
      </c>
      <c r="AM31" s="85">
        <f t="shared" si="120"/>
        <v>0</v>
      </c>
      <c r="AN31" s="85">
        <f t="shared" si="120"/>
        <v>0</v>
      </c>
      <c r="AO31" s="85">
        <f t="shared" si="120"/>
        <v>0</v>
      </c>
      <c r="AP31" s="85">
        <f t="shared" si="120"/>
        <v>0</v>
      </c>
      <c r="AQ31" s="85">
        <f t="shared" si="120"/>
        <v>0</v>
      </c>
      <c r="AR31" s="85">
        <f t="shared" si="120"/>
        <v>0</v>
      </c>
      <c r="AS31" s="85">
        <f t="shared" si="120"/>
        <v>0</v>
      </c>
      <c r="AT31" s="85">
        <f t="shared" si="120"/>
        <v>0</v>
      </c>
      <c r="AU31" s="85">
        <f t="shared" si="120"/>
        <v>0</v>
      </c>
      <c r="AV31" s="85">
        <f t="shared" si="120"/>
        <v>0</v>
      </c>
      <c r="AW31" s="85">
        <f t="shared" si="120"/>
        <v>0</v>
      </c>
      <c r="AX31" s="85">
        <f t="shared" si="120"/>
        <v>0</v>
      </c>
      <c r="AY31" s="85">
        <f t="shared" si="120"/>
        <v>0</v>
      </c>
      <c r="AZ31" s="85">
        <f t="shared" si="120"/>
        <v>0</v>
      </c>
      <c r="BA31" s="85">
        <f t="shared" si="120"/>
        <v>0</v>
      </c>
      <c r="BB31" s="85">
        <f t="shared" si="120"/>
        <v>0</v>
      </c>
      <c r="BC31" s="85">
        <f t="shared" si="120"/>
        <v>0</v>
      </c>
      <c r="BD31" s="85">
        <f t="shared" si="120"/>
        <v>0</v>
      </c>
      <c r="BE31" s="85">
        <f t="shared" si="120"/>
        <v>0</v>
      </c>
      <c r="BF31" s="85">
        <f t="shared" si="120"/>
        <v>0</v>
      </c>
      <c r="BG31" s="85">
        <f t="shared" si="120"/>
        <v>0</v>
      </c>
      <c r="BH31" s="85">
        <f t="shared" si="120"/>
        <v>0</v>
      </c>
      <c r="BI31" s="85">
        <f t="shared" si="120"/>
        <v>0</v>
      </c>
      <c r="BJ31" s="85">
        <f t="shared" si="120"/>
        <v>0</v>
      </c>
      <c r="BK31" s="85">
        <f t="shared" si="120"/>
        <v>0</v>
      </c>
      <c r="BL31" s="85">
        <f t="shared" si="120"/>
        <v>0</v>
      </c>
      <c r="BM31" s="85">
        <f t="shared" si="120"/>
        <v>0</v>
      </c>
      <c r="BN31" s="85">
        <f t="shared" si="120"/>
        <v>0</v>
      </c>
      <c r="BO31" s="85">
        <f t="shared" si="120"/>
        <v>0</v>
      </c>
      <c r="BP31" s="85">
        <f t="shared" si="120"/>
        <v>0</v>
      </c>
      <c r="BQ31" s="85">
        <f t="shared" si="120"/>
        <v>0</v>
      </c>
      <c r="BR31" s="85">
        <f t="shared" si="120"/>
        <v>0</v>
      </c>
      <c r="BS31" s="85">
        <f t="shared" si="120"/>
        <v>0</v>
      </c>
      <c r="BT31" s="85">
        <f t="shared" ref="BT31:CH31" si="121">BT29+BT30</f>
        <v>0</v>
      </c>
      <c r="BU31" s="85">
        <f t="shared" si="121"/>
        <v>0</v>
      </c>
      <c r="BV31" s="85">
        <f t="shared" si="121"/>
        <v>0</v>
      </c>
      <c r="BW31" s="85">
        <f t="shared" si="121"/>
        <v>0</v>
      </c>
      <c r="BX31" s="85">
        <f t="shared" si="121"/>
        <v>0</v>
      </c>
      <c r="BY31" s="85">
        <f t="shared" si="121"/>
        <v>0</v>
      </c>
      <c r="BZ31" s="85">
        <f t="shared" si="121"/>
        <v>0</v>
      </c>
      <c r="CA31" s="85">
        <f t="shared" si="121"/>
        <v>0</v>
      </c>
      <c r="CB31" s="85">
        <f t="shared" si="121"/>
        <v>0</v>
      </c>
      <c r="CC31" s="85">
        <f t="shared" si="121"/>
        <v>0</v>
      </c>
      <c r="CD31" s="85">
        <f t="shared" si="121"/>
        <v>0</v>
      </c>
      <c r="CE31" s="85">
        <f t="shared" si="121"/>
        <v>0</v>
      </c>
      <c r="CF31" s="85">
        <f t="shared" si="121"/>
        <v>0</v>
      </c>
      <c r="CG31" s="85">
        <f t="shared" si="121"/>
        <v>0</v>
      </c>
      <c r="CH31" s="85">
        <f t="shared" si="121"/>
        <v>0</v>
      </c>
      <c r="CI31" s="85">
        <f t="shared" ref="CI31:CO31" si="122">CI29+CI30</f>
        <v>0</v>
      </c>
      <c r="CJ31" s="85">
        <f t="shared" si="122"/>
        <v>0</v>
      </c>
      <c r="CK31" s="85">
        <f t="shared" si="122"/>
        <v>0</v>
      </c>
      <c r="CL31" s="85">
        <f t="shared" si="122"/>
        <v>0</v>
      </c>
      <c r="CM31" s="85">
        <f t="shared" si="122"/>
        <v>0</v>
      </c>
      <c r="CN31" s="85">
        <f t="shared" si="122"/>
        <v>0</v>
      </c>
      <c r="CO31" s="85">
        <f t="shared" si="122"/>
        <v>0</v>
      </c>
      <c r="CP31" s="85">
        <f t="shared" ref="CP31:CW31" si="123">CP29+CP30</f>
        <v>0</v>
      </c>
      <c r="CQ31" s="85">
        <f t="shared" si="123"/>
        <v>0</v>
      </c>
      <c r="CR31" s="85">
        <f t="shared" si="123"/>
        <v>0</v>
      </c>
      <c r="CS31" s="85">
        <f t="shared" si="123"/>
        <v>0</v>
      </c>
      <c r="CT31" s="85">
        <f t="shared" si="123"/>
        <v>0</v>
      </c>
      <c r="CU31" s="85">
        <f t="shared" si="123"/>
        <v>0</v>
      </c>
      <c r="CV31" s="85">
        <f t="shared" si="123"/>
        <v>0</v>
      </c>
      <c r="CW31" s="85">
        <f t="shared" si="123"/>
        <v>0</v>
      </c>
      <c r="CX31" s="195">
        <f t="shared" si="119"/>
        <v>13</v>
      </c>
    </row>
    <row r="32" spans="1:102" s="167" customFormat="1" x14ac:dyDescent="0.4">
      <c r="A32" s="167">
        <v>35</v>
      </c>
      <c r="B32" s="167">
        <f t="shared" ca="1" si="0"/>
        <v>1015</v>
      </c>
      <c r="C32" s="167">
        <f t="shared" ca="1" si="1"/>
        <v>1746</v>
      </c>
      <c r="D32" s="167">
        <f t="shared" ca="1" si="2"/>
        <v>2111</v>
      </c>
      <c r="F32" s="86" t="s">
        <v>222</v>
      </c>
      <c r="G32" s="85">
        <f>COUNTIFS('2023년 신조차 고장관리 세부현황'!$K:$K,"448R",'2023년 신조차 고장관리 세부현황'!$P:$P,"&gt;="&amp;$G$26,'2023년 신조차 고장관리 세부현황'!$P:$P,"&lt;"&amp;'트랜드 분석_15일'!G$27,'2023년 신조차 고장관리 세부현황'!$S:$S,'트랜드 분석_15일'!$F32)</f>
        <v>0</v>
      </c>
      <c r="H32"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분석_15일'!$F32)</f>
        <v>0</v>
      </c>
      <c r="I32"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분석_15일'!$F32)</f>
        <v>0</v>
      </c>
      <c r="J32"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분석_15일'!$F32)</f>
        <v>0</v>
      </c>
      <c r="K32"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분석_15일'!$F32)</f>
        <v>0</v>
      </c>
      <c r="L32"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분석_15일'!$F32)</f>
        <v>0</v>
      </c>
      <c r="M32"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분석_15일'!$F32)</f>
        <v>0</v>
      </c>
      <c r="N32"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분석_15일'!$F32)</f>
        <v>0</v>
      </c>
      <c r="O32"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분석_15일'!$F32)</f>
        <v>0</v>
      </c>
      <c r="P32"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분석_15일'!$F32)</f>
        <v>0</v>
      </c>
      <c r="Q32"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분석_15일'!$F32)</f>
        <v>0</v>
      </c>
      <c r="R32"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분석_15일'!$F32)</f>
        <v>0</v>
      </c>
      <c r="S32"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분석_15일'!$F32)</f>
        <v>0</v>
      </c>
      <c r="T32"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분석_15일'!$F32)</f>
        <v>0</v>
      </c>
      <c r="U32"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분석_15일'!$F32)</f>
        <v>0</v>
      </c>
      <c r="V32"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분석_15일'!$F32)</f>
        <v>0</v>
      </c>
      <c r="W32"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분석_15일'!$F32)</f>
        <v>0</v>
      </c>
      <c r="X32"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분석_15일'!$F32)</f>
        <v>0</v>
      </c>
      <c r="Y32"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분석_15일'!$F32)</f>
        <v>0</v>
      </c>
      <c r="Z32"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분석_15일'!$F32)</f>
        <v>0</v>
      </c>
      <c r="AA32"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분석_15일'!$F32)</f>
        <v>0</v>
      </c>
      <c r="AB32"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분석_15일'!$F32)</f>
        <v>0</v>
      </c>
      <c r="AC32"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분석_15일'!$F32)</f>
        <v>0</v>
      </c>
      <c r="AD32"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분석_15일'!$F32)</f>
        <v>0</v>
      </c>
      <c r="AE32"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분석_15일'!$F32)</f>
        <v>0</v>
      </c>
      <c r="AF32"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분석_15일'!$F32)</f>
        <v>0</v>
      </c>
      <c r="AG32"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분석_15일'!$F32)</f>
        <v>0</v>
      </c>
      <c r="AH32"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분석_15일'!$F32)</f>
        <v>0</v>
      </c>
      <c r="AI32"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분석_15일'!$F32)</f>
        <v>0</v>
      </c>
      <c r="AJ32"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분석_15일'!$F32)</f>
        <v>0</v>
      </c>
      <c r="AK32"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분석_15일'!$F32)</f>
        <v>0</v>
      </c>
      <c r="AL32"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분석_15일'!$F32)</f>
        <v>0</v>
      </c>
      <c r="AM32"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분석_15일'!$F32)</f>
        <v>0</v>
      </c>
      <c r="AN32"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분석_15일'!$F32)</f>
        <v>0</v>
      </c>
      <c r="AO32"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분석_15일'!$F32)</f>
        <v>0</v>
      </c>
      <c r="AP32"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분석_15일'!$F32)</f>
        <v>0</v>
      </c>
      <c r="AQ32"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분석_15일'!$F32)</f>
        <v>0</v>
      </c>
      <c r="AR32"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분석_15일'!$F32)</f>
        <v>0</v>
      </c>
      <c r="AS32"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분석_15일'!$F32)</f>
        <v>0</v>
      </c>
      <c r="AT32"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분석_15일'!$F32)</f>
        <v>0</v>
      </c>
      <c r="AU32"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분석_15일'!$F32)</f>
        <v>0</v>
      </c>
      <c r="AV32"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분석_15일'!$F32)</f>
        <v>0</v>
      </c>
      <c r="AW32"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분석_15일'!$F32)</f>
        <v>0</v>
      </c>
      <c r="AX32"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분석_15일'!$F32)</f>
        <v>0</v>
      </c>
      <c r="AY32"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분석_15일'!$F32)</f>
        <v>0</v>
      </c>
      <c r="AZ32"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분석_15일'!$F32)</f>
        <v>0</v>
      </c>
      <c r="BA32"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분석_15일'!$F32)</f>
        <v>0</v>
      </c>
      <c r="BB32"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분석_15일'!$F32)</f>
        <v>0</v>
      </c>
      <c r="BC32"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분석_15일'!$F32)</f>
        <v>0</v>
      </c>
      <c r="BD32"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분석_15일'!$F32)</f>
        <v>0</v>
      </c>
      <c r="BE32"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분석_15일'!$F32)</f>
        <v>0</v>
      </c>
      <c r="BF32"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분석_15일'!$F32)</f>
        <v>0</v>
      </c>
      <c r="BG32"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분석_15일'!$F32)</f>
        <v>0</v>
      </c>
      <c r="BH32"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분석_15일'!$F32)</f>
        <v>0</v>
      </c>
      <c r="BI32"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분석_15일'!$F32)</f>
        <v>0</v>
      </c>
      <c r="BJ32"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분석_15일'!$F32)</f>
        <v>0</v>
      </c>
      <c r="BK32"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분석_15일'!$F32)</f>
        <v>0</v>
      </c>
      <c r="BL32"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분석_15일'!$F32)</f>
        <v>0</v>
      </c>
      <c r="BM32"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분석_15일'!$F32)</f>
        <v>0</v>
      </c>
      <c r="BN32"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분석_15일'!$F32)</f>
        <v>0</v>
      </c>
      <c r="BO32"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분석_15일'!$F32)</f>
        <v>0</v>
      </c>
      <c r="BP32"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분석_15일'!$F32)</f>
        <v>0</v>
      </c>
      <c r="BQ32"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분석_15일'!$F32)</f>
        <v>0</v>
      </c>
      <c r="BR32"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분석_15일'!$F32)</f>
        <v>0</v>
      </c>
      <c r="BS32"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분석_15일'!$F32)</f>
        <v>0</v>
      </c>
      <c r="BT32"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분석_15일'!$F32)</f>
        <v>0</v>
      </c>
      <c r="BU32"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분석_15일'!$F32)</f>
        <v>0</v>
      </c>
      <c r="BV32"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분석_15일'!$F32)</f>
        <v>0</v>
      </c>
      <c r="BW32"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분석_15일'!$F32)</f>
        <v>0</v>
      </c>
      <c r="BX32"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분석_15일'!$F32)</f>
        <v>0</v>
      </c>
      <c r="BY32"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분석_15일'!$F32)</f>
        <v>0</v>
      </c>
      <c r="BZ32"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분석_15일'!$F32)</f>
        <v>0</v>
      </c>
      <c r="CA32"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분석_15일'!$F32)</f>
        <v>0</v>
      </c>
      <c r="CB32"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분석_15일'!$F32)</f>
        <v>0</v>
      </c>
      <c r="CC32"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분석_15일'!$F32)</f>
        <v>0</v>
      </c>
      <c r="CD32"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분석_15일'!$F32)</f>
        <v>0</v>
      </c>
      <c r="CE32"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분석_15일'!$F32)</f>
        <v>0</v>
      </c>
      <c r="CF32"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분석_15일'!$F32)</f>
        <v>0</v>
      </c>
      <c r="CG32"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분석_15일'!$F32)</f>
        <v>0</v>
      </c>
      <c r="CH32"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분석_15일'!$F32)</f>
        <v>0</v>
      </c>
      <c r="CI32"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분석_15일'!$F32)</f>
        <v>0</v>
      </c>
      <c r="CJ32"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분석_15일'!$F32)</f>
        <v>0</v>
      </c>
      <c r="CK32"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분석_15일'!$F32)</f>
        <v>0</v>
      </c>
      <c r="CL32"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분석_15일'!$F32)</f>
        <v>0</v>
      </c>
      <c r="CM32"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분석_15일'!$F32)</f>
        <v>0</v>
      </c>
      <c r="CN32"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분석_15일'!$F32)</f>
        <v>0</v>
      </c>
      <c r="CO32"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분석_15일'!$F32)</f>
        <v>0</v>
      </c>
      <c r="CP32"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분석_15일'!$F32)</f>
        <v>0</v>
      </c>
      <c r="CQ32"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분석_15일'!$F32)</f>
        <v>0</v>
      </c>
      <c r="CR32"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분석_15일'!$F32)</f>
        <v>0</v>
      </c>
      <c r="CS32"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분석_15일'!$F32)</f>
        <v>0</v>
      </c>
      <c r="CT32"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분석_15일'!$F32)</f>
        <v>0</v>
      </c>
      <c r="CU32"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분석_15일'!$F32)</f>
        <v>0</v>
      </c>
      <c r="CV32"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분석_15일'!$F32)</f>
        <v>0</v>
      </c>
      <c r="CW32"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분석_15일'!$F32)</f>
        <v>0</v>
      </c>
      <c r="CX32" s="195">
        <f t="shared" si="119"/>
        <v>0</v>
      </c>
    </row>
    <row r="33" spans="1:65" s="167" customFormat="1" x14ac:dyDescent="0.4">
      <c r="A33" s="167">
        <v>36</v>
      </c>
      <c r="B33" s="167">
        <f t="shared" ca="1" si="0"/>
        <v>1015</v>
      </c>
      <c r="C33" s="167">
        <f t="shared" ca="1" si="1"/>
        <v>1746</v>
      </c>
      <c r="D33" s="167">
        <f t="shared" ca="1" si="2"/>
        <v>2111</v>
      </c>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row>
    <row r="34" spans="1:65" s="167" customFormat="1" x14ac:dyDescent="0.4">
      <c r="A34" s="167">
        <v>37</v>
      </c>
      <c r="B34" s="167">
        <f t="shared" ca="1" si="0"/>
        <v>1015</v>
      </c>
      <c r="C34" s="167">
        <f t="shared" ca="1" si="1"/>
        <v>1746</v>
      </c>
      <c r="D34" s="167">
        <f t="shared" ca="1" si="2"/>
        <v>2111</v>
      </c>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row>
    <row r="35" spans="1:65" s="167" customFormat="1" x14ac:dyDescent="0.4">
      <c r="A35" s="167">
        <v>38</v>
      </c>
      <c r="B35" s="167">
        <f t="shared" ca="1" si="0"/>
        <v>1015</v>
      </c>
      <c r="C35" s="167">
        <f t="shared" ca="1" si="1"/>
        <v>1746</v>
      </c>
      <c r="D35" s="167">
        <f t="shared" ca="1" si="2"/>
        <v>2111</v>
      </c>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row>
    <row r="36" spans="1:65" s="167" customFormat="1" x14ac:dyDescent="0.4">
      <c r="A36" s="167">
        <v>39</v>
      </c>
      <c r="B36" s="167">
        <f t="shared" ca="1" si="0"/>
        <v>1015</v>
      </c>
      <c r="C36" s="167">
        <f t="shared" ca="1" si="1"/>
        <v>1746</v>
      </c>
      <c r="D36" s="167">
        <f t="shared" ca="1" si="2"/>
        <v>2111</v>
      </c>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row>
    <row r="37" spans="1:65" s="167" customFormat="1" x14ac:dyDescent="0.4">
      <c r="A37" s="167">
        <v>40</v>
      </c>
      <c r="B37" s="167">
        <f t="shared" ca="1" si="0"/>
        <v>1015</v>
      </c>
      <c r="C37" s="167">
        <f t="shared" ca="1" si="1"/>
        <v>1746</v>
      </c>
      <c r="D37" s="167">
        <f t="shared" ca="1" si="2"/>
        <v>2111</v>
      </c>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row>
    <row r="38" spans="1:65" s="167" customFormat="1" x14ac:dyDescent="0.4">
      <c r="A38" s="167">
        <v>41</v>
      </c>
      <c r="B38" s="167">
        <f t="shared" ca="1" si="0"/>
        <v>1015</v>
      </c>
      <c r="C38" s="167">
        <f t="shared" ca="1" si="1"/>
        <v>1746</v>
      </c>
      <c r="D38" s="167">
        <f t="shared" ca="1" si="2"/>
        <v>2111</v>
      </c>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row>
    <row r="39" spans="1:65" s="167" customFormat="1" x14ac:dyDescent="0.4">
      <c r="A39" s="167">
        <v>42</v>
      </c>
      <c r="B39" s="167">
        <f t="shared" ca="1" si="0"/>
        <v>1015</v>
      </c>
      <c r="C39" s="167">
        <f t="shared" ca="1" si="1"/>
        <v>1746</v>
      </c>
      <c r="D39" s="167">
        <f t="shared" ca="1" si="2"/>
        <v>2111</v>
      </c>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row>
    <row r="40" spans="1:65" s="167" customFormat="1" x14ac:dyDescent="0.4">
      <c r="A40" s="167">
        <v>43</v>
      </c>
      <c r="B40" s="167">
        <f t="shared" ca="1" si="0"/>
        <v>1015</v>
      </c>
      <c r="C40" s="167">
        <f t="shared" ca="1" si="1"/>
        <v>1746</v>
      </c>
      <c r="D40" s="167">
        <f t="shared" ca="1" si="2"/>
        <v>2111</v>
      </c>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row>
    <row r="41" spans="1:65" s="167" customFormat="1" x14ac:dyDescent="0.4">
      <c r="A41" s="167">
        <v>44</v>
      </c>
      <c r="B41" s="167">
        <f t="shared" ca="1" si="0"/>
        <v>1015</v>
      </c>
      <c r="C41" s="167">
        <f t="shared" ca="1" si="1"/>
        <v>1746</v>
      </c>
      <c r="D41" s="167">
        <f t="shared" ca="1" si="2"/>
        <v>2111</v>
      </c>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row>
    <row r="42" spans="1:65" s="167" customFormat="1" x14ac:dyDescent="0.4">
      <c r="A42" s="167">
        <v>45</v>
      </c>
      <c r="B42" s="167">
        <f t="shared" ca="1" si="0"/>
        <v>1015</v>
      </c>
      <c r="C42" s="167">
        <f t="shared" ca="1" si="1"/>
        <v>1746</v>
      </c>
      <c r="D42" s="167">
        <f t="shared" ca="1" si="2"/>
        <v>2111</v>
      </c>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row>
    <row r="43" spans="1:65" s="167" customFormat="1" x14ac:dyDescent="0.4">
      <c r="A43" s="167">
        <v>46</v>
      </c>
      <c r="B43" s="167">
        <f t="shared" ca="1" si="0"/>
        <v>1015</v>
      </c>
      <c r="C43" s="167">
        <f t="shared" ca="1" si="1"/>
        <v>1746</v>
      </c>
      <c r="D43" s="167">
        <f t="shared" ca="1" si="2"/>
        <v>2111</v>
      </c>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row>
    <row r="44" spans="1:65" s="167" customFormat="1" x14ac:dyDescent="0.4">
      <c r="A44" s="167">
        <v>47</v>
      </c>
      <c r="B44" s="167">
        <f t="shared" ca="1" si="0"/>
        <v>1015</v>
      </c>
      <c r="C44" s="167">
        <f t="shared" ca="1" si="1"/>
        <v>1746</v>
      </c>
      <c r="D44" s="167">
        <f t="shared" ca="1" si="2"/>
        <v>2111</v>
      </c>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row>
    <row r="45" spans="1:65" s="167" customFormat="1" x14ac:dyDescent="0.4">
      <c r="A45" s="167">
        <v>48</v>
      </c>
      <c r="B45" s="167">
        <f t="shared" ca="1" si="0"/>
        <v>1015</v>
      </c>
      <c r="C45" s="167">
        <f t="shared" ca="1" si="1"/>
        <v>1746</v>
      </c>
      <c r="D45" s="167">
        <f t="shared" ca="1" si="2"/>
        <v>2111</v>
      </c>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row>
    <row r="46" spans="1:65" s="167" customFormat="1" x14ac:dyDescent="0.4">
      <c r="A46" s="167">
        <v>49</v>
      </c>
      <c r="B46" s="167">
        <f t="shared" ca="1" si="0"/>
        <v>1015</v>
      </c>
      <c r="C46" s="167">
        <f t="shared" ca="1" si="1"/>
        <v>1746</v>
      </c>
      <c r="D46" s="167">
        <f t="shared" ca="1" si="2"/>
        <v>2111</v>
      </c>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row>
    <row r="47" spans="1:65" s="167" customFormat="1" x14ac:dyDescent="0.4">
      <c r="A47" s="167">
        <v>50</v>
      </c>
      <c r="B47" s="167">
        <f t="shared" ca="1" si="0"/>
        <v>1015</v>
      </c>
      <c r="C47" s="167">
        <f t="shared" ca="1" si="1"/>
        <v>1746</v>
      </c>
      <c r="D47" s="167">
        <f t="shared" ca="1" si="2"/>
        <v>2111</v>
      </c>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row>
    <row r="96" spans="6:6" x14ac:dyDescent="0.4">
      <c r="F96" t="s">
        <v>252</v>
      </c>
    </row>
    <row r="97" spans="6:102" x14ac:dyDescent="0.4">
      <c r="F97" s="85" t="s">
        <v>242</v>
      </c>
      <c r="G97" s="85">
        <v>1</v>
      </c>
      <c r="H97" s="85">
        <v>2</v>
      </c>
      <c r="I97" s="85">
        <v>3</v>
      </c>
      <c r="J97" s="85">
        <v>4</v>
      </c>
      <c r="K97" s="85">
        <v>5</v>
      </c>
      <c r="L97" s="85">
        <v>6</v>
      </c>
      <c r="M97" s="85">
        <v>7</v>
      </c>
      <c r="N97" s="85">
        <v>8</v>
      </c>
      <c r="O97" s="85">
        <v>9</v>
      </c>
      <c r="P97" s="85">
        <v>10</v>
      </c>
      <c r="Q97" s="85">
        <v>11</v>
      </c>
      <c r="R97" s="85">
        <v>12</v>
      </c>
      <c r="S97" s="85">
        <v>13</v>
      </c>
      <c r="T97" s="85">
        <v>14</v>
      </c>
      <c r="U97" s="85">
        <v>15</v>
      </c>
      <c r="V97" s="85">
        <v>16</v>
      </c>
      <c r="W97" s="85">
        <v>17</v>
      </c>
      <c r="X97" s="85">
        <v>18</v>
      </c>
      <c r="Y97" s="85">
        <v>19</v>
      </c>
      <c r="Z97" s="85">
        <v>20</v>
      </c>
      <c r="AA97" s="85">
        <v>21</v>
      </c>
      <c r="AB97" s="85">
        <v>22</v>
      </c>
      <c r="AC97" s="85">
        <v>23</v>
      </c>
      <c r="AD97" s="85">
        <v>24</v>
      </c>
      <c r="AE97" s="85">
        <v>25</v>
      </c>
      <c r="AF97" s="85">
        <v>26</v>
      </c>
      <c r="AG97" s="85">
        <v>27</v>
      </c>
      <c r="AH97" s="85">
        <v>28</v>
      </c>
      <c r="AI97" s="85">
        <v>29</v>
      </c>
      <c r="AJ97" s="85">
        <v>30</v>
      </c>
      <c r="AK97" s="85">
        <v>31</v>
      </c>
      <c r="AL97" s="85">
        <v>32</v>
      </c>
      <c r="AM97" s="85">
        <v>33</v>
      </c>
      <c r="AN97" s="85">
        <v>34</v>
      </c>
      <c r="AO97" s="85">
        <v>35</v>
      </c>
      <c r="AP97" s="85">
        <v>36</v>
      </c>
      <c r="AQ97" s="85">
        <v>37</v>
      </c>
      <c r="AR97" s="85">
        <v>38</v>
      </c>
      <c r="AS97" s="85">
        <v>39</v>
      </c>
      <c r="AT97" s="85">
        <v>40</v>
      </c>
      <c r="AU97" s="85">
        <v>41</v>
      </c>
      <c r="AV97" s="85">
        <v>42</v>
      </c>
      <c r="AW97" s="85">
        <v>43</v>
      </c>
      <c r="AX97" s="85">
        <v>44</v>
      </c>
      <c r="AY97" s="85">
        <v>45</v>
      </c>
      <c r="AZ97" s="85">
        <v>46</v>
      </c>
      <c r="BA97" s="85">
        <v>47</v>
      </c>
      <c r="BB97" s="85">
        <v>48</v>
      </c>
      <c r="BC97" s="85">
        <v>49</v>
      </c>
      <c r="BD97" s="85">
        <v>50</v>
      </c>
      <c r="BE97" s="85">
        <v>51</v>
      </c>
      <c r="BF97" s="85">
        <v>52</v>
      </c>
      <c r="BG97" s="85">
        <v>53</v>
      </c>
      <c r="BH97" s="85">
        <v>54</v>
      </c>
      <c r="BI97" s="85">
        <v>55</v>
      </c>
      <c r="BJ97" s="85">
        <v>56</v>
      </c>
      <c r="BK97" s="85">
        <v>57</v>
      </c>
      <c r="BL97" s="85">
        <v>58</v>
      </c>
      <c r="BM97" s="85">
        <v>59</v>
      </c>
      <c r="BN97" s="85">
        <v>60</v>
      </c>
      <c r="BO97" s="85">
        <v>61</v>
      </c>
      <c r="BP97" s="85">
        <v>62</v>
      </c>
      <c r="BQ97" s="85">
        <v>63</v>
      </c>
      <c r="BR97" s="85">
        <v>64</v>
      </c>
      <c r="BS97" s="85">
        <v>65</v>
      </c>
      <c r="BT97" s="85">
        <v>66</v>
      </c>
      <c r="BU97" s="85">
        <v>67</v>
      </c>
      <c r="BV97" s="85">
        <v>68</v>
      </c>
      <c r="BW97" s="85">
        <v>69</v>
      </c>
      <c r="BX97" s="85">
        <v>70</v>
      </c>
      <c r="BY97" s="85">
        <v>71</v>
      </c>
      <c r="BZ97" s="85">
        <v>72</v>
      </c>
      <c r="CA97" s="85">
        <v>73</v>
      </c>
      <c r="CB97" s="85">
        <v>74</v>
      </c>
      <c r="CC97" s="85">
        <v>75</v>
      </c>
      <c r="CD97" s="85">
        <v>76</v>
      </c>
      <c r="CE97" s="85">
        <v>77</v>
      </c>
      <c r="CF97" s="85">
        <v>78</v>
      </c>
      <c r="CG97" s="85">
        <v>79</v>
      </c>
      <c r="CH97" s="85">
        <v>80</v>
      </c>
      <c r="CI97" s="85">
        <v>81</v>
      </c>
      <c r="CJ97" s="85">
        <v>82</v>
      </c>
      <c r="CK97" s="85">
        <v>83</v>
      </c>
      <c r="CL97" s="85">
        <v>84</v>
      </c>
      <c r="CM97" s="85">
        <v>85</v>
      </c>
      <c r="CN97" s="85">
        <v>86</v>
      </c>
      <c r="CO97" s="85">
        <v>87</v>
      </c>
      <c r="CP97" s="85">
        <v>88</v>
      </c>
      <c r="CQ97" s="85">
        <v>89</v>
      </c>
      <c r="CR97" s="85">
        <v>90</v>
      </c>
      <c r="CS97" s="85">
        <v>91</v>
      </c>
      <c r="CT97" s="85">
        <v>92</v>
      </c>
      <c r="CU97" s="85">
        <v>93</v>
      </c>
      <c r="CV97" s="85">
        <v>94</v>
      </c>
      <c r="CW97" s="85">
        <v>95</v>
      </c>
    </row>
    <row r="98" spans="6:102" x14ac:dyDescent="0.4">
      <c r="F98" s="85" t="s">
        <v>239</v>
      </c>
      <c r="G98" s="139">
        <f>15*G97</f>
        <v>15</v>
      </c>
      <c r="H98" s="139">
        <f t="shared" ref="H98" si="124">15*H97</f>
        <v>30</v>
      </c>
      <c r="I98" s="139">
        <f t="shared" ref="I98" si="125">15*I97</f>
        <v>45</v>
      </c>
      <c r="J98" s="139">
        <f t="shared" ref="J98" si="126">15*J97</f>
        <v>60</v>
      </c>
      <c r="K98" s="139">
        <f t="shared" ref="K98" si="127">15*K97</f>
        <v>75</v>
      </c>
      <c r="L98" s="139">
        <f t="shared" ref="L98" si="128">15*L97</f>
        <v>90</v>
      </c>
      <c r="M98" s="139">
        <f t="shared" ref="M98" si="129">15*M97</f>
        <v>105</v>
      </c>
      <c r="N98" s="139">
        <f t="shared" ref="N98" si="130">15*N97</f>
        <v>120</v>
      </c>
      <c r="O98" s="139">
        <f t="shared" ref="O98" si="131">15*O97</f>
        <v>135</v>
      </c>
      <c r="P98" s="139">
        <f t="shared" ref="P98" si="132">15*P97</f>
        <v>150</v>
      </c>
      <c r="Q98" s="139">
        <f t="shared" ref="Q98" si="133">15*Q97</f>
        <v>165</v>
      </c>
      <c r="R98" s="139">
        <f t="shared" ref="R98" si="134">15*R97</f>
        <v>180</v>
      </c>
      <c r="S98" s="139">
        <f t="shared" ref="S98" si="135">15*S97</f>
        <v>195</v>
      </c>
      <c r="T98" s="139">
        <f t="shared" ref="T98" si="136">15*T97</f>
        <v>210</v>
      </c>
      <c r="U98" s="139">
        <f t="shared" ref="U98" si="137">15*U97</f>
        <v>225</v>
      </c>
      <c r="V98" s="139">
        <f t="shared" ref="V98" si="138">15*V97</f>
        <v>240</v>
      </c>
      <c r="W98" s="139">
        <f t="shared" ref="W98" si="139">15*W97</f>
        <v>255</v>
      </c>
      <c r="X98" s="139">
        <f t="shared" ref="X98" si="140">15*X97</f>
        <v>270</v>
      </c>
      <c r="Y98" s="139">
        <f t="shared" ref="Y98" si="141">15*Y97</f>
        <v>285</v>
      </c>
      <c r="Z98" s="139">
        <f t="shared" ref="Z98" si="142">15*Z97</f>
        <v>300</v>
      </c>
      <c r="AA98" s="139">
        <f t="shared" ref="AA98" si="143">15*AA97</f>
        <v>315</v>
      </c>
      <c r="AB98" s="139">
        <f t="shared" ref="AB98" si="144">15*AB97</f>
        <v>330</v>
      </c>
      <c r="AC98" s="139">
        <f t="shared" ref="AC98" si="145">15*AC97</f>
        <v>345</v>
      </c>
      <c r="AD98" s="139">
        <f t="shared" ref="AD98" si="146">15*AD97</f>
        <v>360</v>
      </c>
      <c r="AE98" s="139">
        <f t="shared" ref="AE98" si="147">15*AE97</f>
        <v>375</v>
      </c>
      <c r="AF98" s="139">
        <f t="shared" ref="AF98" si="148">15*AF97</f>
        <v>390</v>
      </c>
      <c r="AG98" s="139">
        <f t="shared" ref="AG98" si="149">15*AG97</f>
        <v>405</v>
      </c>
      <c r="AH98" s="139">
        <f t="shared" ref="AH98" si="150">15*AH97</f>
        <v>420</v>
      </c>
      <c r="AI98" s="139">
        <f t="shared" ref="AI98" si="151">15*AI97</f>
        <v>435</v>
      </c>
      <c r="AJ98" s="139">
        <f t="shared" ref="AJ98" si="152">15*AJ97</f>
        <v>450</v>
      </c>
      <c r="AK98" s="139">
        <f t="shared" ref="AK98" si="153">15*AK97</f>
        <v>465</v>
      </c>
      <c r="AL98" s="139">
        <f t="shared" ref="AL98" si="154">15*AL97</f>
        <v>480</v>
      </c>
      <c r="AM98" s="139">
        <f t="shared" ref="AM98" si="155">15*AM97</f>
        <v>495</v>
      </c>
      <c r="AN98" s="139">
        <f t="shared" ref="AN98" si="156">15*AN97</f>
        <v>510</v>
      </c>
      <c r="AO98" s="139">
        <f t="shared" ref="AO98" si="157">15*AO97</f>
        <v>525</v>
      </c>
      <c r="AP98" s="139">
        <f t="shared" ref="AP98" si="158">15*AP97</f>
        <v>540</v>
      </c>
      <c r="AQ98" s="139">
        <f t="shared" ref="AQ98" si="159">15*AQ97</f>
        <v>555</v>
      </c>
      <c r="AR98" s="139">
        <f t="shared" ref="AR98" si="160">15*AR97</f>
        <v>570</v>
      </c>
      <c r="AS98" s="139">
        <f t="shared" ref="AS98" si="161">15*AS97</f>
        <v>585</v>
      </c>
      <c r="AT98" s="139">
        <f t="shared" ref="AT98" si="162">15*AT97</f>
        <v>600</v>
      </c>
      <c r="AU98" s="139">
        <f t="shared" ref="AU98" si="163">15*AU97</f>
        <v>615</v>
      </c>
      <c r="AV98" s="139">
        <f t="shared" ref="AV98" si="164">15*AV97</f>
        <v>630</v>
      </c>
      <c r="AW98" s="139">
        <f t="shared" ref="AW98" si="165">15*AW97</f>
        <v>645</v>
      </c>
      <c r="AX98" s="139">
        <f t="shared" ref="AX98" si="166">15*AX97</f>
        <v>660</v>
      </c>
      <c r="AY98" s="139">
        <f t="shared" ref="AY98" si="167">15*AY97</f>
        <v>675</v>
      </c>
      <c r="AZ98" s="139">
        <f t="shared" ref="AZ98" si="168">15*AZ97</f>
        <v>690</v>
      </c>
      <c r="BA98" s="139">
        <f t="shared" ref="BA98" si="169">15*BA97</f>
        <v>705</v>
      </c>
      <c r="BB98" s="139">
        <f t="shared" ref="BB98" si="170">15*BB97</f>
        <v>720</v>
      </c>
      <c r="BC98" s="139">
        <f t="shared" ref="BC98" si="171">15*BC97</f>
        <v>735</v>
      </c>
      <c r="BD98" s="139">
        <f t="shared" ref="BD98" si="172">15*BD97</f>
        <v>750</v>
      </c>
      <c r="BE98" s="139">
        <f t="shared" ref="BE98" si="173">15*BE97</f>
        <v>765</v>
      </c>
      <c r="BF98" s="139">
        <f t="shared" ref="BF98" si="174">15*BF97</f>
        <v>780</v>
      </c>
      <c r="BG98" s="139">
        <f t="shared" ref="BG98" si="175">15*BG97</f>
        <v>795</v>
      </c>
      <c r="BH98" s="139">
        <f t="shared" ref="BH98" si="176">15*BH97</f>
        <v>810</v>
      </c>
      <c r="BI98" s="139">
        <f t="shared" ref="BI98" si="177">15*BI97</f>
        <v>825</v>
      </c>
      <c r="BJ98" s="139">
        <f t="shared" ref="BJ98" si="178">15*BJ97</f>
        <v>840</v>
      </c>
      <c r="BK98" s="139">
        <f t="shared" ref="BK98" si="179">15*BK97</f>
        <v>855</v>
      </c>
      <c r="BL98" s="139">
        <f t="shared" ref="BL98" si="180">15*BL97</f>
        <v>870</v>
      </c>
      <c r="BM98" s="139">
        <f t="shared" ref="BM98" si="181">15*BM97</f>
        <v>885</v>
      </c>
      <c r="BN98" s="139">
        <f t="shared" ref="BN98" si="182">15*BN97</f>
        <v>900</v>
      </c>
      <c r="BO98" s="139">
        <f t="shared" ref="BO98" si="183">15*BO97</f>
        <v>915</v>
      </c>
      <c r="BP98" s="139">
        <f t="shared" ref="BP98" si="184">15*BP97</f>
        <v>930</v>
      </c>
      <c r="BQ98" s="139">
        <f t="shared" ref="BQ98" si="185">15*BQ97</f>
        <v>945</v>
      </c>
      <c r="BR98" s="139">
        <f t="shared" ref="BR98" si="186">15*BR97</f>
        <v>960</v>
      </c>
      <c r="BS98" s="139">
        <f t="shared" ref="BS98" si="187">15*BS97</f>
        <v>975</v>
      </c>
      <c r="BT98" s="139">
        <f t="shared" ref="BT98" si="188">15*BT97</f>
        <v>990</v>
      </c>
      <c r="BU98" s="139">
        <f t="shared" ref="BU98" si="189">15*BU97</f>
        <v>1005</v>
      </c>
      <c r="BV98" s="139">
        <f t="shared" ref="BV98" si="190">15*BV97</f>
        <v>1020</v>
      </c>
      <c r="BW98" s="139">
        <f t="shared" ref="BW98" si="191">15*BW97</f>
        <v>1035</v>
      </c>
      <c r="BX98" s="139">
        <f t="shared" ref="BX98" si="192">15*BX97</f>
        <v>1050</v>
      </c>
      <c r="BY98" s="139">
        <f t="shared" ref="BY98" si="193">15*BY97</f>
        <v>1065</v>
      </c>
      <c r="BZ98" s="139">
        <f t="shared" ref="BZ98" si="194">15*BZ97</f>
        <v>1080</v>
      </c>
      <c r="CA98" s="139">
        <f t="shared" ref="CA98" si="195">15*CA97</f>
        <v>1095</v>
      </c>
      <c r="CB98" s="139">
        <f t="shared" ref="CB98" si="196">15*CB97</f>
        <v>1110</v>
      </c>
      <c r="CC98" s="139">
        <f t="shared" ref="CC98" si="197">15*CC97</f>
        <v>1125</v>
      </c>
      <c r="CD98" s="139">
        <f t="shared" ref="CD98" si="198">15*CD97</f>
        <v>1140</v>
      </c>
      <c r="CE98" s="139">
        <f t="shared" ref="CE98" si="199">15*CE97</f>
        <v>1155</v>
      </c>
      <c r="CF98" s="139">
        <f t="shared" ref="CF98" si="200">15*CF97</f>
        <v>1170</v>
      </c>
      <c r="CG98" s="139">
        <f t="shared" ref="CG98" si="201">15*CG97</f>
        <v>1185</v>
      </c>
      <c r="CH98" s="139">
        <f t="shared" ref="CH98:CO98" si="202">15*CH97</f>
        <v>1200</v>
      </c>
      <c r="CI98" s="139">
        <f t="shared" si="202"/>
        <v>1215</v>
      </c>
      <c r="CJ98" s="139">
        <f t="shared" si="202"/>
        <v>1230</v>
      </c>
      <c r="CK98" s="139">
        <f t="shared" si="202"/>
        <v>1245</v>
      </c>
      <c r="CL98" s="139">
        <f t="shared" si="202"/>
        <v>1260</v>
      </c>
      <c r="CM98" s="139">
        <f t="shared" si="202"/>
        <v>1275</v>
      </c>
      <c r="CN98" s="139">
        <f t="shared" si="202"/>
        <v>1290</v>
      </c>
      <c r="CO98" s="139">
        <f t="shared" si="202"/>
        <v>1305</v>
      </c>
      <c r="CP98" s="139">
        <f t="shared" ref="CP98:CW98" si="203">15*CP97</f>
        <v>1320</v>
      </c>
      <c r="CQ98" s="139">
        <f t="shared" si="203"/>
        <v>1335</v>
      </c>
      <c r="CR98" s="139">
        <f t="shared" si="203"/>
        <v>1350</v>
      </c>
      <c r="CS98" s="139">
        <f t="shared" si="203"/>
        <v>1365</v>
      </c>
      <c r="CT98" s="139">
        <f t="shared" si="203"/>
        <v>1380</v>
      </c>
      <c r="CU98" s="139">
        <f t="shared" si="203"/>
        <v>1395</v>
      </c>
      <c r="CV98" s="139">
        <f t="shared" si="203"/>
        <v>1410</v>
      </c>
      <c r="CW98" s="139">
        <f t="shared" si="203"/>
        <v>1425</v>
      </c>
    </row>
    <row r="99" spans="6:102" x14ac:dyDescent="0.4">
      <c r="F99" s="85" t="s">
        <v>154</v>
      </c>
      <c r="G99" s="85">
        <f>COUNTIFS('2023년 신조차 고장관리 세부현황'!$K:$K,"128R",'2023년 신조차 고장관리 세부현황'!$P:$P,"&gt;="&amp;G97,'2023년 신조차 고장관리 세부현황'!$P:$P,"&lt;"&amp;'트랜드 분석_15일'!G98,'2023년 신조차 고장관리 세부현황'!$BC:$BC,"완료")</f>
        <v>0</v>
      </c>
      <c r="H99" s="85">
        <f>COUNTIFS('2023년 신조차 고장관리 세부현황'!$K:$K,"128R",'2023년 신조차 고장관리 세부현황'!$P:$P,"&gt;="&amp;'트랜드 분석_15일'!G$18,'2023년 신조차 고장관리 세부현황'!$P:$P,"&lt;"&amp;'트랜드 분석_15일'!H$18,'2023년 신조차 고장관리 세부현황'!$BC:$BC,"완료")</f>
        <v>0</v>
      </c>
      <c r="I99" s="85">
        <f>COUNTIFS('2023년 신조차 고장관리 세부현황'!$K:$K,"128R",'2023년 신조차 고장관리 세부현황'!$P:$P,"&gt;="&amp;'트랜드 분석_15일'!H$18,'2023년 신조차 고장관리 세부현황'!$P:$P,"&lt;"&amp;'트랜드 분석_15일'!I$18,'2023년 신조차 고장관리 세부현황'!$BC:$BC,"완료")</f>
        <v>0</v>
      </c>
      <c r="J99" s="85">
        <f>COUNTIFS('2023년 신조차 고장관리 세부현황'!$K:$K,"128R",'2023년 신조차 고장관리 세부현황'!$P:$P,"&gt;="&amp;'트랜드 분석_15일'!I$18,'2023년 신조차 고장관리 세부현황'!$P:$P,"&lt;"&amp;'트랜드 분석_15일'!J$18,'2023년 신조차 고장관리 세부현황'!$BC:$BC,"완료")</f>
        <v>0</v>
      </c>
      <c r="K99" s="85">
        <f>COUNTIFS('2023년 신조차 고장관리 세부현황'!$K:$K,"128R",'2023년 신조차 고장관리 세부현황'!$P:$P,"&gt;="&amp;'트랜드 분석_15일'!J$18,'2023년 신조차 고장관리 세부현황'!$P:$P,"&lt;"&amp;'트랜드 분석_15일'!K$18,'2023년 신조차 고장관리 세부현황'!$BC:$BC,"완료")</f>
        <v>0</v>
      </c>
      <c r="L99" s="85">
        <f>COUNTIFS('2023년 신조차 고장관리 세부현황'!$K:$K,"128R",'2023년 신조차 고장관리 세부현황'!$P:$P,"&gt;="&amp;'트랜드 분석_15일'!K$18,'2023년 신조차 고장관리 세부현황'!$P:$P,"&lt;"&amp;'트랜드 분석_15일'!L$18,'2023년 신조차 고장관리 세부현황'!$BC:$BC,"완료")</f>
        <v>0</v>
      </c>
      <c r="M99" s="85">
        <f>COUNTIFS('2023년 신조차 고장관리 세부현황'!$K:$K,"128R",'2023년 신조차 고장관리 세부현황'!$P:$P,"&gt;="&amp;'트랜드 분석_15일'!L$18,'2023년 신조차 고장관리 세부현황'!$P:$P,"&lt;"&amp;'트랜드 분석_15일'!M$18,'2023년 신조차 고장관리 세부현황'!$BC:$BC,"완료")</f>
        <v>0</v>
      </c>
      <c r="N99" s="85">
        <f>COUNTIFS('2023년 신조차 고장관리 세부현황'!$K:$K,"128R",'2023년 신조차 고장관리 세부현황'!$P:$P,"&gt;="&amp;'트랜드 분석_15일'!M$18,'2023년 신조차 고장관리 세부현황'!$P:$P,"&lt;"&amp;'트랜드 분석_15일'!N$18,'2023년 신조차 고장관리 세부현황'!$BC:$BC,"완료")</f>
        <v>0</v>
      </c>
      <c r="O99" s="85">
        <f>COUNTIFS('2023년 신조차 고장관리 세부현황'!$K:$K,"128R",'2023년 신조차 고장관리 세부현황'!$P:$P,"&gt;="&amp;'트랜드 분석_15일'!N$18,'2023년 신조차 고장관리 세부현황'!$P:$P,"&lt;"&amp;'트랜드 분석_15일'!O$18,'2023년 신조차 고장관리 세부현황'!$BC:$BC,"완료")</f>
        <v>0</v>
      </c>
      <c r="P99" s="85">
        <f>COUNTIFS('2023년 신조차 고장관리 세부현황'!$K:$K,"128R",'2023년 신조차 고장관리 세부현황'!$P:$P,"&gt;="&amp;'트랜드 분석_15일'!O$18,'2023년 신조차 고장관리 세부현황'!$P:$P,"&lt;"&amp;'트랜드 분석_15일'!P$18,'2023년 신조차 고장관리 세부현황'!$BC:$BC,"완료")</f>
        <v>0</v>
      </c>
      <c r="Q99" s="85">
        <f>COUNTIFS('2023년 신조차 고장관리 세부현황'!$K:$K,"128R",'2023년 신조차 고장관리 세부현황'!$P:$P,"&gt;="&amp;'트랜드 분석_15일'!P$18,'2023년 신조차 고장관리 세부현황'!$P:$P,"&lt;"&amp;'트랜드 분석_15일'!Q$18,'2023년 신조차 고장관리 세부현황'!$BC:$BC,"완료")</f>
        <v>0</v>
      </c>
      <c r="R99" s="85">
        <f>COUNTIFS('2023년 신조차 고장관리 세부현황'!$K:$K,"128R",'2023년 신조차 고장관리 세부현황'!$P:$P,"&gt;="&amp;'트랜드 분석_15일'!Q$18,'2023년 신조차 고장관리 세부현황'!$P:$P,"&lt;"&amp;'트랜드 분석_15일'!R$18,'2023년 신조차 고장관리 세부현황'!$BC:$BC,"완료")</f>
        <v>0</v>
      </c>
      <c r="S99" s="85">
        <f>COUNTIFS('2023년 신조차 고장관리 세부현황'!$K:$K,"128R",'2023년 신조차 고장관리 세부현황'!$P:$P,"&gt;="&amp;'트랜드 분석_15일'!R$18,'2023년 신조차 고장관리 세부현황'!$P:$P,"&lt;"&amp;'트랜드 분석_15일'!S$18,'2023년 신조차 고장관리 세부현황'!$BC:$BC,"완료")</f>
        <v>0</v>
      </c>
      <c r="T99" s="85">
        <f>COUNTIFS('2023년 신조차 고장관리 세부현황'!$K:$K,"128R",'2023년 신조차 고장관리 세부현황'!$P:$P,"&gt;="&amp;'트랜드 분석_15일'!S$18,'2023년 신조차 고장관리 세부현황'!$P:$P,"&lt;"&amp;'트랜드 분석_15일'!T$18,'2023년 신조차 고장관리 세부현황'!$BC:$BC,"완료")</f>
        <v>0</v>
      </c>
      <c r="U99" s="85">
        <f>COUNTIFS('2023년 신조차 고장관리 세부현황'!$K:$K,"128R",'2023년 신조차 고장관리 세부현황'!$P:$P,"&gt;="&amp;'트랜드 분석_15일'!T$18,'2023년 신조차 고장관리 세부현황'!$P:$P,"&lt;"&amp;'트랜드 분석_15일'!U$18,'2023년 신조차 고장관리 세부현황'!$BC:$BC,"완료")</f>
        <v>0</v>
      </c>
      <c r="V99" s="85">
        <f>COUNTIFS('2023년 신조차 고장관리 세부현황'!$K:$K,"128R",'2023년 신조차 고장관리 세부현황'!$P:$P,"&gt;="&amp;'트랜드 분석_15일'!U$18,'2023년 신조차 고장관리 세부현황'!$P:$P,"&lt;"&amp;'트랜드 분석_15일'!V$18,'2023년 신조차 고장관리 세부현황'!$BC:$BC,"완료")</f>
        <v>0</v>
      </c>
      <c r="W99" s="85">
        <f>COUNTIFS('2023년 신조차 고장관리 세부현황'!$K:$K,"128R",'2023년 신조차 고장관리 세부현황'!$P:$P,"&gt;="&amp;'트랜드 분석_15일'!V$18,'2023년 신조차 고장관리 세부현황'!$P:$P,"&lt;"&amp;'트랜드 분석_15일'!W$18,'2023년 신조차 고장관리 세부현황'!$BC:$BC,"완료")</f>
        <v>0</v>
      </c>
      <c r="X99" s="85">
        <f>COUNTIFS('2023년 신조차 고장관리 세부현황'!$K:$K,"128R",'2023년 신조차 고장관리 세부현황'!$P:$P,"&gt;="&amp;'트랜드 분석_15일'!W$18,'2023년 신조차 고장관리 세부현황'!$P:$P,"&lt;"&amp;'트랜드 분석_15일'!X$18,'2023년 신조차 고장관리 세부현황'!$BC:$BC,"완료")</f>
        <v>0</v>
      </c>
      <c r="Y99" s="85">
        <f>COUNTIFS('2023년 신조차 고장관리 세부현황'!$K:$K,"128R",'2023년 신조차 고장관리 세부현황'!$P:$P,"&gt;="&amp;'트랜드 분석_15일'!X$18,'2023년 신조차 고장관리 세부현황'!$P:$P,"&lt;"&amp;'트랜드 분석_15일'!Y$18,'2023년 신조차 고장관리 세부현황'!$BC:$BC,"완료")</f>
        <v>0</v>
      </c>
      <c r="Z99" s="85">
        <f>COUNTIFS('2023년 신조차 고장관리 세부현황'!$K:$K,"128R",'2023년 신조차 고장관리 세부현황'!$P:$P,"&gt;="&amp;'트랜드 분석_15일'!Y$18,'2023년 신조차 고장관리 세부현황'!$P:$P,"&lt;"&amp;'트랜드 분석_15일'!Z$18,'2023년 신조차 고장관리 세부현황'!$BC:$BC,"완료")</f>
        <v>0</v>
      </c>
      <c r="AA99" s="85">
        <f>COUNTIFS('2023년 신조차 고장관리 세부현황'!$K:$K,"128R",'2023년 신조차 고장관리 세부현황'!$P:$P,"&gt;="&amp;'트랜드 분석_15일'!Z$18,'2023년 신조차 고장관리 세부현황'!$P:$P,"&lt;"&amp;'트랜드 분석_15일'!AA$18,'2023년 신조차 고장관리 세부현황'!$BC:$BC,"완료")</f>
        <v>0</v>
      </c>
      <c r="AB99" s="85">
        <f>COUNTIFS('2023년 신조차 고장관리 세부현황'!$K:$K,"128R",'2023년 신조차 고장관리 세부현황'!$P:$P,"&gt;="&amp;'트랜드 분석_15일'!AA$18,'2023년 신조차 고장관리 세부현황'!$P:$P,"&lt;"&amp;'트랜드 분석_15일'!AB$18,'2023년 신조차 고장관리 세부현황'!$BC:$BC,"완료")</f>
        <v>0</v>
      </c>
      <c r="AC99" s="85">
        <f>COUNTIFS('2023년 신조차 고장관리 세부현황'!$K:$K,"128R",'2023년 신조차 고장관리 세부현황'!$P:$P,"&gt;="&amp;'트랜드 분석_15일'!AB$18,'2023년 신조차 고장관리 세부현황'!$P:$P,"&lt;"&amp;'트랜드 분석_15일'!AC$18,'2023년 신조차 고장관리 세부현황'!$BC:$BC,"완료")</f>
        <v>0</v>
      </c>
      <c r="AD99" s="85">
        <f>COUNTIFS('2023년 신조차 고장관리 세부현황'!$K:$K,"128R",'2023년 신조차 고장관리 세부현황'!$P:$P,"&gt;="&amp;'트랜드 분석_15일'!AC$18,'2023년 신조차 고장관리 세부현황'!$P:$P,"&lt;"&amp;'트랜드 분석_15일'!AD$18,'2023년 신조차 고장관리 세부현황'!$BC:$BC,"완료")</f>
        <v>0</v>
      </c>
      <c r="AE99" s="85">
        <f>COUNTIFS('2023년 신조차 고장관리 세부현황'!$K:$K,"128R",'2023년 신조차 고장관리 세부현황'!$P:$P,"&gt;="&amp;'트랜드 분석_15일'!AD$18,'2023년 신조차 고장관리 세부현황'!$P:$P,"&lt;"&amp;'트랜드 분석_15일'!AE$18,'2023년 신조차 고장관리 세부현황'!$BC:$BC,"완료")</f>
        <v>0</v>
      </c>
      <c r="AF99" s="85">
        <f>COUNTIFS('2023년 신조차 고장관리 세부현황'!$K:$K,"128R",'2023년 신조차 고장관리 세부현황'!$P:$P,"&gt;="&amp;'트랜드 분석_15일'!AE$18,'2023년 신조차 고장관리 세부현황'!$P:$P,"&lt;"&amp;'트랜드 분석_15일'!AF$18,'2023년 신조차 고장관리 세부현황'!$BC:$BC,"완료")</f>
        <v>0</v>
      </c>
      <c r="AG99" s="85">
        <f>COUNTIFS('2023년 신조차 고장관리 세부현황'!$K:$K,"128R",'2023년 신조차 고장관리 세부현황'!$P:$P,"&gt;="&amp;'트랜드 분석_15일'!AF$18,'2023년 신조차 고장관리 세부현황'!$P:$P,"&lt;"&amp;'트랜드 분석_15일'!AG$18,'2023년 신조차 고장관리 세부현황'!$BC:$BC,"완료")</f>
        <v>0</v>
      </c>
      <c r="AH99" s="85">
        <f>COUNTIFS('2023년 신조차 고장관리 세부현황'!$K:$K,"128R",'2023년 신조차 고장관리 세부현황'!$P:$P,"&gt;="&amp;'트랜드 분석_15일'!AG$18,'2023년 신조차 고장관리 세부현황'!$P:$P,"&lt;"&amp;'트랜드 분석_15일'!AH$18,'2023년 신조차 고장관리 세부현황'!$BC:$BC,"완료")</f>
        <v>0</v>
      </c>
      <c r="AI99" s="85">
        <f>COUNTIFS('2023년 신조차 고장관리 세부현황'!$K:$K,"128R",'2023년 신조차 고장관리 세부현황'!$P:$P,"&gt;="&amp;'트랜드 분석_15일'!AH$18,'2023년 신조차 고장관리 세부현황'!$P:$P,"&lt;"&amp;'트랜드 분석_15일'!AI$18,'2023년 신조차 고장관리 세부현황'!$BC:$BC,"완료")</f>
        <v>0</v>
      </c>
      <c r="AJ99" s="85">
        <f>COUNTIFS('2023년 신조차 고장관리 세부현황'!$K:$K,"128R",'2023년 신조차 고장관리 세부현황'!$P:$P,"&gt;="&amp;'트랜드 분석_15일'!AI$18,'2023년 신조차 고장관리 세부현황'!$P:$P,"&lt;"&amp;'트랜드 분석_15일'!AJ$18,'2023년 신조차 고장관리 세부현황'!$BC:$BC,"완료")</f>
        <v>0</v>
      </c>
      <c r="AK99" s="85">
        <f>COUNTIFS('2023년 신조차 고장관리 세부현황'!$K:$K,"128R",'2023년 신조차 고장관리 세부현황'!$P:$P,"&gt;="&amp;'트랜드 분석_15일'!AJ$18,'2023년 신조차 고장관리 세부현황'!$P:$P,"&lt;"&amp;'트랜드 분석_15일'!AK$18,'2023년 신조차 고장관리 세부현황'!$BC:$BC,"완료")</f>
        <v>0</v>
      </c>
      <c r="AL99" s="85">
        <f>COUNTIFS('2023년 신조차 고장관리 세부현황'!$K:$K,"128R",'2023년 신조차 고장관리 세부현황'!$P:$P,"&gt;="&amp;'트랜드 분석_15일'!AK$18,'2023년 신조차 고장관리 세부현황'!$P:$P,"&lt;"&amp;'트랜드 분석_15일'!AL$18,'2023년 신조차 고장관리 세부현황'!$BC:$BC,"완료")</f>
        <v>0</v>
      </c>
      <c r="AM99" s="85">
        <f>COUNTIFS('2023년 신조차 고장관리 세부현황'!$K:$K,"128R",'2023년 신조차 고장관리 세부현황'!$P:$P,"&gt;="&amp;'트랜드 분석_15일'!AL$18,'2023년 신조차 고장관리 세부현황'!$P:$P,"&lt;"&amp;'트랜드 분석_15일'!AM$18,'2023년 신조차 고장관리 세부현황'!$BC:$BC,"완료")</f>
        <v>0</v>
      </c>
      <c r="AN99" s="85">
        <f>COUNTIFS('2023년 신조차 고장관리 세부현황'!$K:$K,"128R",'2023년 신조차 고장관리 세부현황'!$P:$P,"&gt;="&amp;'트랜드 분석_15일'!AM$18,'2023년 신조차 고장관리 세부현황'!$P:$P,"&lt;"&amp;'트랜드 분석_15일'!AN$18,'2023년 신조차 고장관리 세부현황'!$BC:$BC,"완료")</f>
        <v>0</v>
      </c>
      <c r="AO99" s="85">
        <f>COUNTIFS('2023년 신조차 고장관리 세부현황'!$K:$K,"128R",'2023년 신조차 고장관리 세부현황'!$P:$P,"&gt;="&amp;'트랜드 분석_15일'!AN$18,'2023년 신조차 고장관리 세부현황'!$P:$P,"&lt;"&amp;'트랜드 분석_15일'!AO$18,'2023년 신조차 고장관리 세부현황'!$BC:$BC,"완료")</f>
        <v>0</v>
      </c>
      <c r="AP99" s="85">
        <f>COUNTIFS('2023년 신조차 고장관리 세부현황'!$K:$K,"128R",'2023년 신조차 고장관리 세부현황'!$P:$P,"&gt;="&amp;'트랜드 분석_15일'!AO$18,'2023년 신조차 고장관리 세부현황'!$P:$P,"&lt;"&amp;'트랜드 분석_15일'!AP$18,'2023년 신조차 고장관리 세부현황'!$BC:$BC,"완료")</f>
        <v>0</v>
      </c>
      <c r="AQ99" s="85">
        <f>COUNTIFS('2023년 신조차 고장관리 세부현황'!$K:$K,"128R",'2023년 신조차 고장관리 세부현황'!$P:$P,"&gt;="&amp;'트랜드 분석_15일'!AP$18,'2023년 신조차 고장관리 세부현황'!$P:$P,"&lt;"&amp;'트랜드 분석_15일'!AQ$18,'2023년 신조차 고장관리 세부현황'!$BC:$BC,"완료")</f>
        <v>0</v>
      </c>
      <c r="AR99" s="85">
        <f>COUNTIFS('2023년 신조차 고장관리 세부현황'!$K:$K,"128R",'2023년 신조차 고장관리 세부현황'!$P:$P,"&gt;="&amp;'트랜드 분석_15일'!AQ$18,'2023년 신조차 고장관리 세부현황'!$P:$P,"&lt;"&amp;'트랜드 분석_15일'!AR$18,'2023년 신조차 고장관리 세부현황'!$BC:$BC,"완료")</f>
        <v>0</v>
      </c>
      <c r="AS99" s="85">
        <f>COUNTIFS('2023년 신조차 고장관리 세부현황'!$K:$K,"128R",'2023년 신조차 고장관리 세부현황'!$P:$P,"&gt;="&amp;'트랜드 분석_15일'!AR$18,'2023년 신조차 고장관리 세부현황'!$P:$P,"&lt;"&amp;'트랜드 분석_15일'!AS$18,'2023년 신조차 고장관리 세부현황'!$BC:$BC,"완료")</f>
        <v>0</v>
      </c>
      <c r="AT99" s="85">
        <f>COUNTIFS('2023년 신조차 고장관리 세부현황'!$K:$K,"128R",'2023년 신조차 고장관리 세부현황'!$P:$P,"&gt;="&amp;'트랜드 분석_15일'!AS$18,'2023년 신조차 고장관리 세부현황'!$P:$P,"&lt;"&amp;'트랜드 분석_15일'!AT$18,'2023년 신조차 고장관리 세부현황'!$BC:$BC,"완료")</f>
        <v>0</v>
      </c>
      <c r="AU99" s="85">
        <f>COUNTIFS('2023년 신조차 고장관리 세부현황'!$K:$K,"128R",'2023년 신조차 고장관리 세부현황'!$P:$P,"&gt;="&amp;'트랜드 분석_15일'!AT$18,'2023년 신조차 고장관리 세부현황'!$P:$P,"&lt;"&amp;'트랜드 분석_15일'!AU$18,'2023년 신조차 고장관리 세부현황'!$BC:$BC,"완료")</f>
        <v>0</v>
      </c>
      <c r="AV99" s="85">
        <f>COUNTIFS('2023년 신조차 고장관리 세부현황'!$K:$K,"128R",'2023년 신조차 고장관리 세부현황'!$P:$P,"&gt;="&amp;'트랜드 분석_15일'!AU$18,'2023년 신조차 고장관리 세부현황'!$P:$P,"&lt;"&amp;'트랜드 분석_15일'!AV$18,'2023년 신조차 고장관리 세부현황'!$BC:$BC,"완료")</f>
        <v>0</v>
      </c>
      <c r="AW99" s="85">
        <f>COUNTIFS('2023년 신조차 고장관리 세부현황'!$K:$K,"128R",'2023년 신조차 고장관리 세부현황'!$P:$P,"&gt;="&amp;'트랜드 분석_15일'!AV$18,'2023년 신조차 고장관리 세부현황'!$P:$P,"&lt;"&amp;'트랜드 분석_15일'!AW$18,'2023년 신조차 고장관리 세부현황'!$BC:$BC,"완료")</f>
        <v>0</v>
      </c>
      <c r="AX99" s="85">
        <f>COUNTIFS('2023년 신조차 고장관리 세부현황'!$K:$K,"128R",'2023년 신조차 고장관리 세부현황'!$P:$P,"&gt;="&amp;'트랜드 분석_15일'!AW$18,'2023년 신조차 고장관리 세부현황'!$P:$P,"&lt;"&amp;'트랜드 분석_15일'!AX$18,'2023년 신조차 고장관리 세부현황'!$BC:$BC,"완료")</f>
        <v>0</v>
      </c>
      <c r="AY99" s="85">
        <f>COUNTIFS('2023년 신조차 고장관리 세부현황'!$K:$K,"128R",'2023년 신조차 고장관리 세부현황'!$P:$P,"&gt;="&amp;'트랜드 분석_15일'!AX$18,'2023년 신조차 고장관리 세부현황'!$P:$P,"&lt;"&amp;'트랜드 분석_15일'!AY$18,'2023년 신조차 고장관리 세부현황'!$BC:$BC,"완료")</f>
        <v>0</v>
      </c>
      <c r="AZ99" s="85">
        <f>COUNTIFS('2023년 신조차 고장관리 세부현황'!$K:$K,"128R",'2023년 신조차 고장관리 세부현황'!$P:$P,"&gt;="&amp;'트랜드 분석_15일'!AY$18,'2023년 신조차 고장관리 세부현황'!$P:$P,"&lt;"&amp;'트랜드 분석_15일'!AZ$18,'2023년 신조차 고장관리 세부현황'!$BC:$BC,"완료")</f>
        <v>0</v>
      </c>
      <c r="BA99" s="85">
        <f>COUNTIFS('2023년 신조차 고장관리 세부현황'!$K:$K,"128R",'2023년 신조차 고장관리 세부현황'!$P:$P,"&gt;="&amp;'트랜드 분석_15일'!AZ$18,'2023년 신조차 고장관리 세부현황'!$P:$P,"&lt;"&amp;'트랜드 분석_15일'!BA$18,'2023년 신조차 고장관리 세부현황'!$BC:$BC,"완료")</f>
        <v>0</v>
      </c>
      <c r="BB99" s="85">
        <f>COUNTIFS('2023년 신조차 고장관리 세부현황'!$K:$K,"128R",'2023년 신조차 고장관리 세부현황'!$P:$P,"&gt;="&amp;'트랜드 분석_15일'!BA$18,'2023년 신조차 고장관리 세부현황'!$P:$P,"&lt;"&amp;'트랜드 분석_15일'!BB$18,'2023년 신조차 고장관리 세부현황'!$BC:$BC,"완료")</f>
        <v>0</v>
      </c>
      <c r="BC99" s="85">
        <f>COUNTIFS('2023년 신조차 고장관리 세부현황'!$K:$K,"128R",'2023년 신조차 고장관리 세부현황'!$P:$P,"&gt;="&amp;'트랜드 분석_15일'!BB$18,'2023년 신조차 고장관리 세부현황'!$P:$P,"&lt;"&amp;'트랜드 분석_15일'!BC$18,'2023년 신조차 고장관리 세부현황'!$BC:$BC,"완료")</f>
        <v>0</v>
      </c>
      <c r="BD99" s="85">
        <f>COUNTIFS('2023년 신조차 고장관리 세부현황'!$K:$K,"128R",'2023년 신조차 고장관리 세부현황'!$P:$P,"&gt;="&amp;'트랜드 분석_15일'!BC$18,'2023년 신조차 고장관리 세부현황'!$P:$P,"&lt;"&amp;'트랜드 분석_15일'!BD$18,'2023년 신조차 고장관리 세부현황'!$BC:$BC,"완료")</f>
        <v>0</v>
      </c>
      <c r="BE99" s="85">
        <f>COUNTIFS('2023년 신조차 고장관리 세부현황'!$K:$K,"128R",'2023년 신조차 고장관리 세부현황'!$P:$P,"&gt;="&amp;'트랜드 분석_15일'!BD$18,'2023년 신조차 고장관리 세부현황'!$P:$P,"&lt;"&amp;'트랜드 분석_15일'!BE$18,'2023년 신조차 고장관리 세부현황'!$BC:$BC,"완료")</f>
        <v>0</v>
      </c>
      <c r="BF99" s="85">
        <f>COUNTIFS('2023년 신조차 고장관리 세부현황'!$K:$K,"128R",'2023년 신조차 고장관리 세부현황'!$P:$P,"&gt;="&amp;'트랜드 분석_15일'!BE$18,'2023년 신조차 고장관리 세부현황'!$P:$P,"&lt;"&amp;'트랜드 분석_15일'!BF$18,'2023년 신조차 고장관리 세부현황'!$BC:$BC,"완료")</f>
        <v>0</v>
      </c>
      <c r="BG99" s="85">
        <f>COUNTIFS('2023년 신조차 고장관리 세부현황'!$K:$K,"128R",'2023년 신조차 고장관리 세부현황'!$P:$P,"&gt;="&amp;'트랜드 분석_15일'!BF$18,'2023년 신조차 고장관리 세부현황'!$P:$P,"&lt;"&amp;'트랜드 분석_15일'!BG$18,'2023년 신조차 고장관리 세부현황'!$BC:$BC,"완료")</f>
        <v>0</v>
      </c>
      <c r="BH99" s="85">
        <f>COUNTIFS('2023년 신조차 고장관리 세부현황'!$K:$K,"128R",'2023년 신조차 고장관리 세부현황'!$P:$P,"&gt;="&amp;'트랜드 분석_15일'!BG$18,'2023년 신조차 고장관리 세부현황'!$P:$P,"&lt;"&amp;'트랜드 분석_15일'!BH$18,'2023년 신조차 고장관리 세부현황'!$BC:$BC,"완료")</f>
        <v>0</v>
      </c>
      <c r="BI99" s="85">
        <f>COUNTIFS('2023년 신조차 고장관리 세부현황'!$K:$K,"128R",'2023년 신조차 고장관리 세부현황'!$P:$P,"&gt;="&amp;'트랜드 분석_15일'!BH$18,'2023년 신조차 고장관리 세부현황'!$P:$P,"&lt;"&amp;'트랜드 분석_15일'!BI$18,'2023년 신조차 고장관리 세부현황'!$BC:$BC,"완료")</f>
        <v>0</v>
      </c>
      <c r="BJ99" s="85">
        <f>COUNTIFS('2023년 신조차 고장관리 세부현황'!$K:$K,"128R",'2023년 신조차 고장관리 세부현황'!$P:$P,"&gt;="&amp;'트랜드 분석_15일'!BI$18,'2023년 신조차 고장관리 세부현황'!$P:$P,"&lt;"&amp;'트랜드 분석_15일'!BJ$18,'2023년 신조차 고장관리 세부현황'!$BC:$BC,"완료")</f>
        <v>0</v>
      </c>
      <c r="BK99" s="85">
        <f>COUNTIFS('2023년 신조차 고장관리 세부현황'!$K:$K,"128R",'2023년 신조차 고장관리 세부현황'!$P:$P,"&gt;="&amp;'트랜드 분석_15일'!BJ$18,'2023년 신조차 고장관리 세부현황'!$P:$P,"&lt;"&amp;'트랜드 분석_15일'!BK$18,'2023년 신조차 고장관리 세부현황'!$BC:$BC,"완료")</f>
        <v>0</v>
      </c>
      <c r="BL99" s="85">
        <f>COUNTIFS('2023년 신조차 고장관리 세부현황'!$K:$K,"128R",'2023년 신조차 고장관리 세부현황'!$P:$P,"&gt;="&amp;'트랜드 분석_15일'!BK$18,'2023년 신조차 고장관리 세부현황'!$P:$P,"&lt;"&amp;'트랜드 분석_15일'!BL$18,'2023년 신조차 고장관리 세부현황'!$BC:$BC,"완료")</f>
        <v>0</v>
      </c>
      <c r="BM99" s="85">
        <f>COUNTIFS('2023년 신조차 고장관리 세부현황'!$K:$K,"128R",'2023년 신조차 고장관리 세부현황'!$P:$P,"&gt;="&amp;'트랜드 분석_15일'!BL$18,'2023년 신조차 고장관리 세부현황'!$P:$P,"&lt;"&amp;'트랜드 분석_15일'!BM$18,'2023년 신조차 고장관리 세부현황'!$BC:$BC,"완료")</f>
        <v>0</v>
      </c>
      <c r="BN99" s="85">
        <f>COUNTIFS('2023년 신조차 고장관리 세부현황'!$K:$K,"128R",'2023년 신조차 고장관리 세부현황'!$P:$P,"&gt;="&amp;'트랜드 분석_15일'!BM$18,'2023년 신조차 고장관리 세부현황'!$P:$P,"&lt;"&amp;'트랜드 분석_15일'!BN$18,'2023년 신조차 고장관리 세부현황'!$BC:$BC,"완료")</f>
        <v>0</v>
      </c>
      <c r="BO99" s="85">
        <f>COUNTIFS('2023년 신조차 고장관리 세부현황'!$K:$K,"128R",'2023년 신조차 고장관리 세부현황'!$P:$P,"&gt;="&amp;'트랜드 분석_15일'!BN$18,'2023년 신조차 고장관리 세부현황'!$P:$P,"&lt;"&amp;'트랜드 분석_15일'!BO$18,'2023년 신조차 고장관리 세부현황'!$BC:$BC,"완료")</f>
        <v>0</v>
      </c>
      <c r="BP99" s="85">
        <f>COUNTIFS('2023년 신조차 고장관리 세부현황'!$K:$K,"128R",'2023년 신조차 고장관리 세부현황'!$P:$P,"&gt;="&amp;'트랜드 분석_15일'!BO$18,'2023년 신조차 고장관리 세부현황'!$P:$P,"&lt;"&amp;'트랜드 분석_15일'!BP$18,'2023년 신조차 고장관리 세부현황'!$BC:$BC,"완료")</f>
        <v>0</v>
      </c>
      <c r="BQ99" s="85">
        <f>COUNTIFS('2023년 신조차 고장관리 세부현황'!$K:$K,"128R",'2023년 신조차 고장관리 세부현황'!$P:$P,"&gt;="&amp;'트랜드 분석_15일'!BP$18,'2023년 신조차 고장관리 세부현황'!$P:$P,"&lt;"&amp;'트랜드 분석_15일'!BQ$18,'2023년 신조차 고장관리 세부현황'!$BC:$BC,"완료")</f>
        <v>0</v>
      </c>
      <c r="BR99" s="85">
        <f>COUNTIFS('2023년 신조차 고장관리 세부현황'!$K:$K,"128R",'2023년 신조차 고장관리 세부현황'!$P:$P,"&gt;="&amp;'트랜드 분석_15일'!BQ$18,'2023년 신조차 고장관리 세부현황'!$P:$P,"&lt;"&amp;'트랜드 분석_15일'!BR$18,'2023년 신조차 고장관리 세부현황'!$BC:$BC,"완료")</f>
        <v>0</v>
      </c>
      <c r="BS99" s="85">
        <f>COUNTIFS('2023년 신조차 고장관리 세부현황'!$K:$K,"128R",'2023년 신조차 고장관리 세부현황'!$P:$P,"&gt;="&amp;'트랜드 분석_15일'!BR$18,'2023년 신조차 고장관리 세부현황'!$P:$P,"&lt;"&amp;'트랜드 분석_15일'!BS$18,'2023년 신조차 고장관리 세부현황'!$BC:$BC,"완료")</f>
        <v>0</v>
      </c>
      <c r="BT99" s="85">
        <f>COUNTIFS('2023년 신조차 고장관리 세부현황'!$K:$K,"128R",'2023년 신조차 고장관리 세부현황'!$P:$P,"&gt;="&amp;'트랜드 분석_15일'!BS$18,'2023년 신조차 고장관리 세부현황'!$P:$P,"&lt;"&amp;'트랜드 분석_15일'!BT$18,'2023년 신조차 고장관리 세부현황'!$BC:$BC,"완료")</f>
        <v>0</v>
      </c>
      <c r="BU99" s="85">
        <f>COUNTIFS('2023년 신조차 고장관리 세부현황'!$K:$K,"128R",'2023년 신조차 고장관리 세부현황'!$P:$P,"&gt;="&amp;'트랜드 분석_15일'!BT$18,'2023년 신조차 고장관리 세부현황'!$P:$P,"&lt;"&amp;'트랜드 분석_15일'!BU$18,'2023년 신조차 고장관리 세부현황'!$BC:$BC,"완료")</f>
        <v>0</v>
      </c>
      <c r="BV99" s="85">
        <f>COUNTIFS('2023년 신조차 고장관리 세부현황'!$K:$K,"128R",'2023년 신조차 고장관리 세부현황'!$P:$P,"&gt;="&amp;'트랜드 분석_15일'!BU$18,'2023년 신조차 고장관리 세부현황'!$P:$P,"&lt;"&amp;'트랜드 분석_15일'!BV$18,'2023년 신조차 고장관리 세부현황'!$BC:$BC,"완료")</f>
        <v>0</v>
      </c>
      <c r="BW99" s="85">
        <f>COUNTIFS('2023년 신조차 고장관리 세부현황'!$K:$K,"128R",'2023년 신조차 고장관리 세부현황'!$P:$P,"&gt;="&amp;'트랜드 분석_15일'!BV$18,'2023년 신조차 고장관리 세부현황'!$P:$P,"&lt;"&amp;'트랜드 분석_15일'!BW$18,'2023년 신조차 고장관리 세부현황'!$BC:$BC,"완료")</f>
        <v>0</v>
      </c>
      <c r="BX99" s="85">
        <f>COUNTIFS('2023년 신조차 고장관리 세부현황'!$K:$K,"128R",'2023년 신조차 고장관리 세부현황'!$P:$P,"&gt;="&amp;'트랜드 분석_15일'!BW$18,'2023년 신조차 고장관리 세부현황'!$P:$P,"&lt;"&amp;'트랜드 분석_15일'!BX$18,'2023년 신조차 고장관리 세부현황'!$BC:$BC,"완료")</f>
        <v>0</v>
      </c>
      <c r="BY99" s="85">
        <f>COUNTIFS('2023년 신조차 고장관리 세부현황'!$K:$K,"128R",'2023년 신조차 고장관리 세부현황'!$P:$P,"&gt;="&amp;'트랜드 분석_15일'!BX$18,'2023년 신조차 고장관리 세부현황'!$P:$P,"&lt;"&amp;'트랜드 분석_15일'!BY$18,'2023년 신조차 고장관리 세부현황'!$BC:$BC,"완료")</f>
        <v>0</v>
      </c>
      <c r="BZ99" s="85">
        <f>COUNTIFS('2023년 신조차 고장관리 세부현황'!$K:$K,"128R",'2023년 신조차 고장관리 세부현황'!$P:$P,"&gt;="&amp;'트랜드 분석_15일'!BY$18,'2023년 신조차 고장관리 세부현황'!$P:$P,"&lt;"&amp;'트랜드 분석_15일'!BZ$18,'2023년 신조차 고장관리 세부현황'!$BC:$BC,"완료")</f>
        <v>0</v>
      </c>
      <c r="CA99" s="85">
        <f>COUNTIFS('2023년 신조차 고장관리 세부현황'!$K:$K,"128R",'2023년 신조차 고장관리 세부현황'!$P:$P,"&gt;="&amp;'트랜드 분석_15일'!BZ$18,'2023년 신조차 고장관리 세부현황'!$P:$P,"&lt;"&amp;'트랜드 분석_15일'!CA$18,'2023년 신조차 고장관리 세부현황'!$BC:$BC,"완료")</f>
        <v>0</v>
      </c>
      <c r="CB99" s="85">
        <f>COUNTIFS('2023년 신조차 고장관리 세부현황'!$K:$K,"128R",'2023년 신조차 고장관리 세부현황'!$P:$P,"&gt;="&amp;'트랜드 분석_15일'!CA$18,'2023년 신조차 고장관리 세부현황'!$P:$P,"&lt;"&amp;'트랜드 분석_15일'!CB$18,'2023년 신조차 고장관리 세부현황'!$BC:$BC,"완료")</f>
        <v>0</v>
      </c>
      <c r="CC99" s="85">
        <f>COUNTIFS('2023년 신조차 고장관리 세부현황'!$K:$K,"128R",'2023년 신조차 고장관리 세부현황'!$P:$P,"&gt;="&amp;'트랜드 분석_15일'!CB$18,'2023년 신조차 고장관리 세부현황'!$P:$P,"&lt;"&amp;'트랜드 분석_15일'!CC$18,'2023년 신조차 고장관리 세부현황'!$BC:$BC,"완료")</f>
        <v>0</v>
      </c>
      <c r="CD99" s="85">
        <f>COUNTIFS('2023년 신조차 고장관리 세부현황'!$K:$K,"128R",'2023년 신조차 고장관리 세부현황'!$P:$P,"&gt;="&amp;'트랜드 분석_15일'!CC$18,'2023년 신조차 고장관리 세부현황'!$P:$P,"&lt;"&amp;'트랜드 분석_15일'!CD$18,'2023년 신조차 고장관리 세부현황'!$BC:$BC,"완료")</f>
        <v>0</v>
      </c>
      <c r="CE99" s="85">
        <f>COUNTIFS('2023년 신조차 고장관리 세부현황'!$K:$K,"128R",'2023년 신조차 고장관리 세부현황'!$P:$P,"&gt;="&amp;'트랜드 분석_15일'!CD$18,'2023년 신조차 고장관리 세부현황'!$P:$P,"&lt;"&amp;'트랜드 분석_15일'!CE$18,'2023년 신조차 고장관리 세부현황'!$BC:$BC,"완료")</f>
        <v>0</v>
      </c>
      <c r="CF99" s="85">
        <f>COUNTIFS('2023년 신조차 고장관리 세부현황'!$K:$K,"128R",'2023년 신조차 고장관리 세부현황'!$P:$P,"&gt;="&amp;'트랜드 분석_15일'!CE$18,'2023년 신조차 고장관리 세부현황'!$P:$P,"&lt;"&amp;'트랜드 분석_15일'!CF$18,'2023년 신조차 고장관리 세부현황'!$BC:$BC,"완료")</f>
        <v>0</v>
      </c>
      <c r="CG99" s="85">
        <f>COUNTIFS('2023년 신조차 고장관리 세부현황'!$K:$K,"128R",'2023년 신조차 고장관리 세부현황'!$P:$P,"&gt;="&amp;'트랜드 분석_15일'!CF$18,'2023년 신조차 고장관리 세부현황'!$P:$P,"&lt;"&amp;'트랜드 분석_15일'!CG$18,'2023년 신조차 고장관리 세부현황'!$BC:$BC,"완료")</f>
        <v>0</v>
      </c>
      <c r="CH99" s="85">
        <f ca="1">COUNTIFS('2023년 신조차 고장관리 세부현황'!$K:$K,"128R",'2023년 신조차 고장관리 세부현황'!$P:$P,"&gt;="&amp;'트랜드 분석_15일'!CG$18,'2023년 신조차 고장관리 세부현황'!$P:$P,"&lt;"&amp;'트랜드 분석_15일'!CH$18,'2023년 신조차 고장관리 세부현황'!$BC:$BC,"완료")</f>
        <v>0</v>
      </c>
      <c r="CI99" s="85">
        <f>COUNTIFS('2023년 신조차 고장관리 세부현황'!$K:$K,"128R",'2023년 신조차 고장관리 세부현황'!$P:$P,"&gt;="&amp;'트랜드 분석_15일'!CH$18,'2023년 신조차 고장관리 세부현황'!$P:$P,"&lt;"&amp;'트랜드 분석_15일'!CI$18,'2023년 신조차 고장관리 세부현황'!$BC:$BC,"완료")</f>
        <v>0</v>
      </c>
      <c r="CJ99" s="85">
        <f ca="1">COUNTIFS('2023년 신조차 고장관리 세부현황'!$K:$K,"128R",'2023년 신조차 고장관리 세부현황'!$P:$P,"&gt;="&amp;'트랜드 분석_15일'!CI$18,'2023년 신조차 고장관리 세부현황'!$P:$P,"&lt;"&amp;'트랜드 분석_15일'!CJ$18,'2023년 신조차 고장관리 세부현황'!$BC:$BC,"완료")</f>
        <v>0</v>
      </c>
      <c r="CK99" s="85">
        <f>COUNTIFS('2023년 신조차 고장관리 세부현황'!$K:$K,"128R",'2023년 신조차 고장관리 세부현황'!$P:$P,"&gt;="&amp;'트랜드 분석_15일'!CJ$18,'2023년 신조차 고장관리 세부현황'!$P:$P,"&lt;"&amp;'트랜드 분석_15일'!CK$18,'2023년 신조차 고장관리 세부현황'!$BC:$BC,"완료")</f>
        <v>0</v>
      </c>
      <c r="CL99" s="85">
        <f>COUNTIFS('2023년 신조차 고장관리 세부현황'!$K:$K,"128R",'2023년 신조차 고장관리 세부현황'!$P:$P,"&gt;="&amp;'트랜드 분석_15일'!CK$18,'2023년 신조차 고장관리 세부현황'!$P:$P,"&lt;"&amp;'트랜드 분석_15일'!CL$18,'2023년 신조차 고장관리 세부현황'!$BC:$BC,"완료")</f>
        <v>0</v>
      </c>
      <c r="CM99" s="85">
        <f>COUNTIFS('2023년 신조차 고장관리 세부현황'!$K:$K,"128R",'2023년 신조차 고장관리 세부현황'!$P:$P,"&gt;="&amp;'트랜드 분석_15일'!CL$18,'2023년 신조차 고장관리 세부현황'!$P:$P,"&lt;"&amp;'트랜드 분석_15일'!CM$18,'2023년 신조차 고장관리 세부현황'!$BC:$BC,"완료")</f>
        <v>0</v>
      </c>
      <c r="CN99" s="85">
        <f>COUNTIFS('2023년 신조차 고장관리 세부현황'!$K:$K,"128R",'2023년 신조차 고장관리 세부현황'!$P:$P,"&gt;="&amp;'트랜드 분석_15일'!CM$18,'2023년 신조차 고장관리 세부현황'!$P:$P,"&lt;"&amp;'트랜드 분석_15일'!CN$18,'2023년 신조차 고장관리 세부현황'!$BC:$BC,"완료")</f>
        <v>0</v>
      </c>
      <c r="CO99" s="85">
        <f>COUNTIFS('2023년 신조차 고장관리 세부현황'!$K:$K,"128R",'2023년 신조차 고장관리 세부현황'!$P:$P,"&gt;="&amp;'트랜드 분석_15일'!CN$18,'2023년 신조차 고장관리 세부현황'!$P:$P,"&lt;"&amp;'트랜드 분석_15일'!CO$18,'2023년 신조차 고장관리 세부현황'!$BC:$BC,"완료")</f>
        <v>0</v>
      </c>
      <c r="CP99" s="85">
        <f>COUNTIFS('2023년 신조차 고장관리 세부현황'!$K:$K,"128R",'2023년 신조차 고장관리 세부현황'!$P:$P,"&gt;="&amp;'트랜드 분석_15일'!CO$18,'2023년 신조차 고장관리 세부현황'!$P:$P,"&lt;"&amp;'트랜드 분석_15일'!CP$18,'2023년 신조차 고장관리 세부현황'!$BC:$BC,"완료")</f>
        <v>0</v>
      </c>
      <c r="CQ99" s="85">
        <f>COUNTIFS('2023년 신조차 고장관리 세부현황'!$K:$K,"128R",'2023년 신조차 고장관리 세부현황'!$P:$P,"&gt;="&amp;'트랜드 분석_15일'!CP$18,'2023년 신조차 고장관리 세부현황'!$P:$P,"&lt;"&amp;'트랜드 분석_15일'!CQ$18,'2023년 신조차 고장관리 세부현황'!$BC:$BC,"완료")</f>
        <v>0</v>
      </c>
      <c r="CR99" s="85">
        <f>COUNTIFS('2023년 신조차 고장관리 세부현황'!$K:$K,"128R",'2023년 신조차 고장관리 세부현황'!$P:$P,"&gt;="&amp;'트랜드 분석_15일'!CQ$18,'2023년 신조차 고장관리 세부현황'!$P:$P,"&lt;"&amp;'트랜드 분석_15일'!CR$18,'2023년 신조차 고장관리 세부현황'!$BC:$BC,"완료")</f>
        <v>0</v>
      </c>
      <c r="CS99" s="85">
        <f>COUNTIFS('2023년 신조차 고장관리 세부현황'!$K:$K,"128R",'2023년 신조차 고장관리 세부현황'!$P:$P,"&gt;="&amp;'트랜드 분석_15일'!CR$18,'2023년 신조차 고장관리 세부현황'!$P:$P,"&lt;"&amp;'트랜드 분석_15일'!CS$18,'2023년 신조차 고장관리 세부현황'!$BC:$BC,"완료")</f>
        <v>0</v>
      </c>
      <c r="CT99" s="85">
        <f>COUNTIFS('2023년 신조차 고장관리 세부현황'!$K:$K,"128R",'2023년 신조차 고장관리 세부현황'!$P:$P,"&gt;="&amp;'트랜드 분석_15일'!CS$18,'2023년 신조차 고장관리 세부현황'!$P:$P,"&lt;"&amp;'트랜드 분석_15일'!CT$18,'2023년 신조차 고장관리 세부현황'!$BC:$BC,"완료")</f>
        <v>0</v>
      </c>
      <c r="CU99" s="85">
        <f>COUNTIFS('2023년 신조차 고장관리 세부현황'!$K:$K,"128R",'2023년 신조차 고장관리 세부현황'!$P:$P,"&gt;="&amp;'트랜드 분석_15일'!CT$18,'2023년 신조차 고장관리 세부현황'!$P:$P,"&lt;"&amp;'트랜드 분석_15일'!CU$18,'2023년 신조차 고장관리 세부현황'!$BC:$BC,"완료")</f>
        <v>0</v>
      </c>
      <c r="CV99" s="85">
        <f>COUNTIFS('2023년 신조차 고장관리 세부현황'!$K:$K,"128R",'2023년 신조차 고장관리 세부현황'!$P:$P,"&gt;="&amp;'트랜드 분석_15일'!CU$18,'2023년 신조차 고장관리 세부현황'!$P:$P,"&lt;"&amp;'트랜드 분석_15일'!CV$18,'2023년 신조차 고장관리 세부현황'!$BC:$BC,"완료")</f>
        <v>0</v>
      </c>
      <c r="CW99" s="85">
        <f>COUNTIFS('2023년 신조차 고장관리 세부현황'!$K:$K,"128R",'2023년 신조차 고장관리 세부현황'!$P:$P,"&gt;="&amp;'트랜드 분석_15일'!CV$18,'2023년 신조차 고장관리 세부현황'!$P:$P,"&lt;"&amp;'트랜드 분석_15일'!CW$18,'2023년 신조차 고장관리 세부현황'!$BC:$BC,"완료")</f>
        <v>0</v>
      </c>
      <c r="CX99">
        <f ca="1">SUM(G99:CW99)</f>
        <v>0</v>
      </c>
    </row>
    <row r="100" spans="6:102" x14ac:dyDescent="0.4">
      <c r="F100" s="85" t="s">
        <v>164</v>
      </c>
      <c r="G100" s="85">
        <f>COUNTIFS('2023년 신조차 고장관리 세부현황'!$K:$K,"128R",'2023년 신조차 고장관리 세부현황'!$P:$P,"&gt;="&amp;$G$17,'2023년 신조차 고장관리 세부현황'!$P:$P,"&lt;"&amp;'트랜드 분석_15일'!G$18,'2023년 신조차 고장관리 세부현황'!$S:$S,'트랜드 분석_15일'!$F100,'2023년 신조차 고장관리 세부현황'!$BC:$BC,"완료")</f>
        <v>0</v>
      </c>
      <c r="H100"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분석_15일'!$F100,'2023년 신조차 고장관리 세부현황'!$BC:$BC,"완료")</f>
        <v>0</v>
      </c>
      <c r="I100"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분석_15일'!$F100,'2023년 신조차 고장관리 세부현황'!$BC:$BC,"완료")</f>
        <v>0</v>
      </c>
      <c r="J100"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분석_15일'!$F100,'2023년 신조차 고장관리 세부현황'!$BC:$BC,"완료")</f>
        <v>0</v>
      </c>
      <c r="K100"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분석_15일'!$F100,'2023년 신조차 고장관리 세부현황'!$BC:$BC,"완료")</f>
        <v>0</v>
      </c>
      <c r="L100"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분석_15일'!$F100,'2023년 신조차 고장관리 세부현황'!$BC:$BC,"완료")</f>
        <v>0</v>
      </c>
      <c r="M100"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분석_15일'!$F100,'2023년 신조차 고장관리 세부현황'!$BC:$BC,"완료")</f>
        <v>0</v>
      </c>
      <c r="N100"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분석_15일'!$F100,'2023년 신조차 고장관리 세부현황'!$BC:$BC,"완료")</f>
        <v>0</v>
      </c>
      <c r="O100"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분석_15일'!$F100,'2023년 신조차 고장관리 세부현황'!$BC:$BC,"완료")</f>
        <v>0</v>
      </c>
      <c r="P100"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분석_15일'!$F100,'2023년 신조차 고장관리 세부현황'!$BC:$BC,"완료")</f>
        <v>0</v>
      </c>
      <c r="Q100"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분석_15일'!$F100,'2023년 신조차 고장관리 세부현황'!$BC:$BC,"완료")</f>
        <v>0</v>
      </c>
      <c r="R100"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분석_15일'!$F100,'2023년 신조차 고장관리 세부현황'!$BC:$BC,"완료")</f>
        <v>0</v>
      </c>
      <c r="S100"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분석_15일'!$F100,'2023년 신조차 고장관리 세부현황'!$BC:$BC,"완료")</f>
        <v>0</v>
      </c>
      <c r="T100"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분석_15일'!$F100,'2023년 신조차 고장관리 세부현황'!$BC:$BC,"완료")</f>
        <v>0</v>
      </c>
      <c r="U100"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분석_15일'!$F100,'2023년 신조차 고장관리 세부현황'!$BC:$BC,"완료")</f>
        <v>0</v>
      </c>
      <c r="V100"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분석_15일'!$F100,'2023년 신조차 고장관리 세부현황'!$BC:$BC,"완료")</f>
        <v>0</v>
      </c>
      <c r="W100"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분석_15일'!$F100,'2023년 신조차 고장관리 세부현황'!$BC:$BC,"완료")</f>
        <v>0</v>
      </c>
      <c r="X100"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분석_15일'!$F100,'2023년 신조차 고장관리 세부현황'!$BC:$BC,"완료")</f>
        <v>0</v>
      </c>
      <c r="Y100"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분석_15일'!$F100,'2023년 신조차 고장관리 세부현황'!$BC:$BC,"완료")</f>
        <v>0</v>
      </c>
      <c r="Z100"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분석_15일'!$F100,'2023년 신조차 고장관리 세부현황'!$BC:$BC,"완료")</f>
        <v>0</v>
      </c>
      <c r="AA100"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분석_15일'!$F100,'2023년 신조차 고장관리 세부현황'!$BC:$BC,"완료")</f>
        <v>0</v>
      </c>
      <c r="AB100"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분석_15일'!$F100,'2023년 신조차 고장관리 세부현황'!$BC:$BC,"완료")</f>
        <v>0</v>
      </c>
      <c r="AC100"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분석_15일'!$F100,'2023년 신조차 고장관리 세부현황'!$BC:$BC,"완료")</f>
        <v>0</v>
      </c>
      <c r="AD100"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분석_15일'!$F100,'2023년 신조차 고장관리 세부현황'!$BC:$BC,"완료")</f>
        <v>0</v>
      </c>
      <c r="AE100"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분석_15일'!$F100,'2023년 신조차 고장관리 세부현황'!$BC:$BC,"완료")</f>
        <v>0</v>
      </c>
      <c r="AF100"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분석_15일'!$F100,'2023년 신조차 고장관리 세부현황'!$BC:$BC,"완료")</f>
        <v>0</v>
      </c>
      <c r="AG100"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분석_15일'!$F100,'2023년 신조차 고장관리 세부현황'!$BC:$BC,"완료")</f>
        <v>0</v>
      </c>
      <c r="AH100"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분석_15일'!$F100,'2023년 신조차 고장관리 세부현황'!$BC:$BC,"완료")</f>
        <v>0</v>
      </c>
      <c r="AI100"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분석_15일'!$F100,'2023년 신조차 고장관리 세부현황'!$BC:$BC,"완료")</f>
        <v>0</v>
      </c>
      <c r="AJ100"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분석_15일'!$F100,'2023년 신조차 고장관리 세부현황'!$BC:$BC,"완료")</f>
        <v>0</v>
      </c>
      <c r="AK100"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분석_15일'!$F100,'2023년 신조차 고장관리 세부현황'!$BC:$BC,"완료")</f>
        <v>0</v>
      </c>
      <c r="AL100"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분석_15일'!$F100,'2023년 신조차 고장관리 세부현황'!$BC:$BC,"완료")</f>
        <v>0</v>
      </c>
      <c r="AM100"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분석_15일'!$F100,'2023년 신조차 고장관리 세부현황'!$BC:$BC,"완료")</f>
        <v>0</v>
      </c>
      <c r="AN100"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분석_15일'!$F100,'2023년 신조차 고장관리 세부현황'!$BC:$BC,"완료")</f>
        <v>0</v>
      </c>
      <c r="AO100"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분석_15일'!$F100,'2023년 신조차 고장관리 세부현황'!$BC:$BC,"완료")</f>
        <v>0</v>
      </c>
      <c r="AP100"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분석_15일'!$F100,'2023년 신조차 고장관리 세부현황'!$BC:$BC,"완료")</f>
        <v>0</v>
      </c>
      <c r="AQ100"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분석_15일'!$F100,'2023년 신조차 고장관리 세부현황'!$BC:$BC,"완료")</f>
        <v>0</v>
      </c>
      <c r="AR100"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분석_15일'!$F100,'2023년 신조차 고장관리 세부현황'!$BC:$BC,"완료")</f>
        <v>0</v>
      </c>
      <c r="AS100"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분석_15일'!$F100,'2023년 신조차 고장관리 세부현황'!$BC:$BC,"완료")</f>
        <v>0</v>
      </c>
      <c r="AT100"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분석_15일'!$F100,'2023년 신조차 고장관리 세부현황'!$BC:$BC,"완료")</f>
        <v>0</v>
      </c>
      <c r="AU100"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분석_15일'!$F100,'2023년 신조차 고장관리 세부현황'!$BC:$BC,"완료")</f>
        <v>0</v>
      </c>
      <c r="AV100"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분석_15일'!$F100,'2023년 신조차 고장관리 세부현황'!$BC:$BC,"완료")</f>
        <v>0</v>
      </c>
      <c r="AW100"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분석_15일'!$F100,'2023년 신조차 고장관리 세부현황'!$BC:$BC,"완료")</f>
        <v>0</v>
      </c>
      <c r="AX100"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분석_15일'!$F100,'2023년 신조차 고장관리 세부현황'!$BC:$BC,"완료")</f>
        <v>0</v>
      </c>
      <c r="AY100"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분석_15일'!$F100,'2023년 신조차 고장관리 세부현황'!$BC:$BC,"완료")</f>
        <v>0</v>
      </c>
      <c r="AZ100"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분석_15일'!$F100,'2023년 신조차 고장관리 세부현황'!$BC:$BC,"완료")</f>
        <v>0</v>
      </c>
      <c r="BA100"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분석_15일'!$F100,'2023년 신조차 고장관리 세부현황'!$BC:$BC,"완료")</f>
        <v>0</v>
      </c>
      <c r="BB100"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분석_15일'!$F100,'2023년 신조차 고장관리 세부현황'!$BC:$BC,"완료")</f>
        <v>0</v>
      </c>
      <c r="BC100"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분석_15일'!$F100,'2023년 신조차 고장관리 세부현황'!$BC:$BC,"완료")</f>
        <v>0</v>
      </c>
      <c r="BD100"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분석_15일'!$F100,'2023년 신조차 고장관리 세부현황'!$BC:$BC,"완료")</f>
        <v>0</v>
      </c>
      <c r="BE100"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분석_15일'!$F100,'2023년 신조차 고장관리 세부현황'!$BC:$BC,"완료")</f>
        <v>0</v>
      </c>
      <c r="BF100"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분석_15일'!$F100,'2023년 신조차 고장관리 세부현황'!$BC:$BC,"완료")</f>
        <v>0</v>
      </c>
      <c r="BG100"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분석_15일'!$F100,'2023년 신조차 고장관리 세부현황'!$BC:$BC,"완료")</f>
        <v>0</v>
      </c>
      <c r="BH100"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분석_15일'!$F100,'2023년 신조차 고장관리 세부현황'!$BC:$BC,"완료")</f>
        <v>0</v>
      </c>
      <c r="BI100"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분석_15일'!$F100,'2023년 신조차 고장관리 세부현황'!$BC:$BC,"완료")</f>
        <v>0</v>
      </c>
      <c r="BJ100"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분석_15일'!$F100,'2023년 신조차 고장관리 세부현황'!$BC:$BC,"완료")</f>
        <v>0</v>
      </c>
      <c r="BK100"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분석_15일'!$F100,'2023년 신조차 고장관리 세부현황'!$BC:$BC,"완료")</f>
        <v>0</v>
      </c>
      <c r="BL100"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분석_15일'!$F100,'2023년 신조차 고장관리 세부현황'!$BC:$BC,"완료")</f>
        <v>0</v>
      </c>
      <c r="BM100"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분석_15일'!$F100,'2023년 신조차 고장관리 세부현황'!$BC:$BC,"완료")</f>
        <v>0</v>
      </c>
      <c r="BN100"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분석_15일'!$F100,'2023년 신조차 고장관리 세부현황'!$BC:$BC,"완료")</f>
        <v>0</v>
      </c>
      <c r="BO100"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분석_15일'!$F100,'2023년 신조차 고장관리 세부현황'!$BC:$BC,"완료")</f>
        <v>0</v>
      </c>
      <c r="BP100"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분석_15일'!$F100,'2023년 신조차 고장관리 세부현황'!$BC:$BC,"완료")</f>
        <v>0</v>
      </c>
      <c r="BQ100"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분석_15일'!$F100,'2023년 신조차 고장관리 세부현황'!$BC:$BC,"완료")</f>
        <v>0</v>
      </c>
      <c r="BR100"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분석_15일'!$F100,'2023년 신조차 고장관리 세부현황'!$BC:$BC,"완료")</f>
        <v>0</v>
      </c>
      <c r="BS100"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분석_15일'!$F100,'2023년 신조차 고장관리 세부현황'!$BC:$BC,"완료")</f>
        <v>0</v>
      </c>
      <c r="BT100"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분석_15일'!$F100,'2023년 신조차 고장관리 세부현황'!$BC:$BC,"완료")</f>
        <v>0</v>
      </c>
      <c r="BU100"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분석_15일'!$F100,'2023년 신조차 고장관리 세부현황'!$BC:$BC,"완료")</f>
        <v>0</v>
      </c>
      <c r="BV100"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분석_15일'!$F100,'2023년 신조차 고장관리 세부현황'!$BC:$BC,"완료")</f>
        <v>0</v>
      </c>
      <c r="BW100"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분석_15일'!$F100,'2023년 신조차 고장관리 세부현황'!$BC:$BC,"완료")</f>
        <v>0</v>
      </c>
      <c r="BX100"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분석_15일'!$F100,'2023년 신조차 고장관리 세부현황'!$BC:$BC,"완료")</f>
        <v>0</v>
      </c>
      <c r="BY100"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분석_15일'!$F100,'2023년 신조차 고장관리 세부현황'!$BC:$BC,"완료")</f>
        <v>0</v>
      </c>
      <c r="BZ100"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분석_15일'!$F100,'2023년 신조차 고장관리 세부현황'!$BC:$BC,"완료")</f>
        <v>0</v>
      </c>
      <c r="CA100"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분석_15일'!$F100,'2023년 신조차 고장관리 세부현황'!$BC:$BC,"완료")</f>
        <v>0</v>
      </c>
      <c r="CB100"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분석_15일'!$F100,'2023년 신조차 고장관리 세부현황'!$BC:$BC,"완료")</f>
        <v>0</v>
      </c>
      <c r="CC100"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분석_15일'!$F100,'2023년 신조차 고장관리 세부현황'!$BC:$BC,"완료")</f>
        <v>0</v>
      </c>
      <c r="CD100"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분석_15일'!$F100,'2023년 신조차 고장관리 세부현황'!$BC:$BC,"완료")</f>
        <v>0</v>
      </c>
      <c r="CE100"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분석_15일'!$F100,'2023년 신조차 고장관리 세부현황'!$BC:$BC,"완료")</f>
        <v>0</v>
      </c>
      <c r="CF100"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분석_15일'!$F100,'2023년 신조차 고장관리 세부현황'!$BC:$BC,"완료")</f>
        <v>0</v>
      </c>
      <c r="CG100"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분석_15일'!$F100,'2023년 신조차 고장관리 세부현황'!$BC:$BC,"완료")</f>
        <v>0</v>
      </c>
      <c r="CH100"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분석_15일'!$F100,'2023년 신조차 고장관리 세부현황'!$BC:$BC,"완료")</f>
        <v>0</v>
      </c>
      <c r="CI100"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분석_15일'!$F100,'2023년 신조차 고장관리 세부현황'!$BC:$BC,"완료")</f>
        <v>0</v>
      </c>
      <c r="CJ100"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분석_15일'!$F100,'2023년 신조차 고장관리 세부현황'!$BC:$BC,"완료")</f>
        <v>0</v>
      </c>
      <c r="CK100"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분석_15일'!$F100,'2023년 신조차 고장관리 세부현황'!$BC:$BC,"완료")</f>
        <v>0</v>
      </c>
      <c r="CL100"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분석_15일'!$F100,'2023년 신조차 고장관리 세부현황'!$BC:$BC,"완료")</f>
        <v>0</v>
      </c>
      <c r="CM100"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분석_15일'!$F100,'2023년 신조차 고장관리 세부현황'!$BC:$BC,"완료")</f>
        <v>0</v>
      </c>
      <c r="CN100"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분석_15일'!$F100,'2023년 신조차 고장관리 세부현황'!$BC:$BC,"완료")</f>
        <v>0</v>
      </c>
      <c r="CO100"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분석_15일'!$F100,'2023년 신조차 고장관리 세부현황'!$BC:$BC,"완료")</f>
        <v>0</v>
      </c>
      <c r="CP100"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분석_15일'!$F100,'2023년 신조차 고장관리 세부현황'!$BC:$BC,"완료")</f>
        <v>0</v>
      </c>
      <c r="CQ100"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분석_15일'!$F100,'2023년 신조차 고장관리 세부현황'!$BC:$BC,"완료")</f>
        <v>0</v>
      </c>
      <c r="CR100"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분석_15일'!$F100,'2023년 신조차 고장관리 세부현황'!$BC:$BC,"완료")</f>
        <v>0</v>
      </c>
      <c r="CS100"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분석_15일'!$F100,'2023년 신조차 고장관리 세부현황'!$BC:$BC,"완료")</f>
        <v>0</v>
      </c>
      <c r="CT100"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분석_15일'!$F100,'2023년 신조차 고장관리 세부현황'!$BC:$BC,"완료")</f>
        <v>0</v>
      </c>
      <c r="CU100"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분석_15일'!$F100,'2023년 신조차 고장관리 세부현황'!$BC:$BC,"완료")</f>
        <v>0</v>
      </c>
      <c r="CV100"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분석_15일'!$F100,'2023년 신조차 고장관리 세부현황'!$BC:$BC,"완료")</f>
        <v>0</v>
      </c>
      <c r="CW100"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분석_15일'!$F100,'2023년 신조차 고장관리 세부현황'!$BC:$BC,"완료")</f>
        <v>0</v>
      </c>
      <c r="CX100">
        <f t="shared" ref="CX100:CX103" si="204">SUM(G100:CW100)</f>
        <v>0</v>
      </c>
    </row>
    <row r="101" spans="6:102" x14ac:dyDescent="0.4">
      <c r="F101" s="85" t="s">
        <v>223</v>
      </c>
      <c r="G101" s="85">
        <f>COUNTIFS('2023년 신조차 고장관리 세부현황'!$K:$K,"128R",'2023년 신조차 고장관리 세부현황'!$P:$P,"&gt;="&amp;$G$17,'2023년 신조차 고장관리 세부현황'!$P:$P,"&lt;"&amp;'트랜드 분석_15일'!G$18,'2023년 신조차 고장관리 세부현황'!$S:$S,'트랜드 분석_15일'!$F101,'2023년 신조차 고장관리 세부현황'!$BC:$BC,"완료")</f>
        <v>0</v>
      </c>
      <c r="H101"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분석_15일'!$F101,'2023년 신조차 고장관리 세부현황'!$BC:$BC,"완료")</f>
        <v>0</v>
      </c>
      <c r="I101"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분석_15일'!$F101,'2023년 신조차 고장관리 세부현황'!$BC:$BC,"완료")</f>
        <v>0</v>
      </c>
      <c r="J101"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분석_15일'!$F101,'2023년 신조차 고장관리 세부현황'!$BC:$BC,"완료")</f>
        <v>0</v>
      </c>
      <c r="K101"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분석_15일'!$F101,'2023년 신조차 고장관리 세부현황'!$BC:$BC,"완료")</f>
        <v>0</v>
      </c>
      <c r="L101"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분석_15일'!$F101,'2023년 신조차 고장관리 세부현황'!$BC:$BC,"완료")</f>
        <v>0</v>
      </c>
      <c r="M101"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분석_15일'!$F101,'2023년 신조차 고장관리 세부현황'!$BC:$BC,"완료")</f>
        <v>0</v>
      </c>
      <c r="N101"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분석_15일'!$F101,'2023년 신조차 고장관리 세부현황'!$BC:$BC,"완료")</f>
        <v>0</v>
      </c>
      <c r="O101"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분석_15일'!$F101,'2023년 신조차 고장관리 세부현황'!$BC:$BC,"완료")</f>
        <v>0</v>
      </c>
      <c r="P101"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분석_15일'!$F101,'2023년 신조차 고장관리 세부현황'!$BC:$BC,"완료")</f>
        <v>0</v>
      </c>
      <c r="Q101"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분석_15일'!$F101,'2023년 신조차 고장관리 세부현황'!$BC:$BC,"완료")</f>
        <v>0</v>
      </c>
      <c r="R101"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분석_15일'!$F101,'2023년 신조차 고장관리 세부현황'!$BC:$BC,"완료")</f>
        <v>0</v>
      </c>
      <c r="S101"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분석_15일'!$F101,'2023년 신조차 고장관리 세부현황'!$BC:$BC,"완료")</f>
        <v>0</v>
      </c>
      <c r="T101"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분석_15일'!$F101,'2023년 신조차 고장관리 세부현황'!$BC:$BC,"완료")</f>
        <v>0</v>
      </c>
      <c r="U101"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분석_15일'!$F101,'2023년 신조차 고장관리 세부현황'!$BC:$BC,"완료")</f>
        <v>0</v>
      </c>
      <c r="V101"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분석_15일'!$F101,'2023년 신조차 고장관리 세부현황'!$BC:$BC,"완료")</f>
        <v>0</v>
      </c>
      <c r="W101"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분석_15일'!$F101,'2023년 신조차 고장관리 세부현황'!$BC:$BC,"완료")</f>
        <v>0</v>
      </c>
      <c r="X101"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분석_15일'!$F101,'2023년 신조차 고장관리 세부현황'!$BC:$BC,"완료")</f>
        <v>0</v>
      </c>
      <c r="Y101"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분석_15일'!$F101,'2023년 신조차 고장관리 세부현황'!$BC:$BC,"완료")</f>
        <v>0</v>
      </c>
      <c r="Z101"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분석_15일'!$F101,'2023년 신조차 고장관리 세부현황'!$BC:$BC,"완료")</f>
        <v>0</v>
      </c>
      <c r="AA101"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분석_15일'!$F101,'2023년 신조차 고장관리 세부현황'!$BC:$BC,"완료")</f>
        <v>0</v>
      </c>
      <c r="AB101"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분석_15일'!$F101,'2023년 신조차 고장관리 세부현황'!$BC:$BC,"완료")</f>
        <v>0</v>
      </c>
      <c r="AC101"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분석_15일'!$F101,'2023년 신조차 고장관리 세부현황'!$BC:$BC,"완료")</f>
        <v>0</v>
      </c>
      <c r="AD101"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분석_15일'!$F101,'2023년 신조차 고장관리 세부현황'!$BC:$BC,"완료")</f>
        <v>0</v>
      </c>
      <c r="AE101"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분석_15일'!$F101,'2023년 신조차 고장관리 세부현황'!$BC:$BC,"완료")</f>
        <v>0</v>
      </c>
      <c r="AF101"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분석_15일'!$F101,'2023년 신조차 고장관리 세부현황'!$BC:$BC,"완료")</f>
        <v>0</v>
      </c>
      <c r="AG101"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분석_15일'!$F101,'2023년 신조차 고장관리 세부현황'!$BC:$BC,"완료")</f>
        <v>0</v>
      </c>
      <c r="AH101"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분석_15일'!$F101,'2023년 신조차 고장관리 세부현황'!$BC:$BC,"완료")</f>
        <v>0</v>
      </c>
      <c r="AI101"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분석_15일'!$F101,'2023년 신조차 고장관리 세부현황'!$BC:$BC,"완료")</f>
        <v>0</v>
      </c>
      <c r="AJ101"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분석_15일'!$F101,'2023년 신조차 고장관리 세부현황'!$BC:$BC,"완료")</f>
        <v>0</v>
      </c>
      <c r="AK101"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분석_15일'!$F101,'2023년 신조차 고장관리 세부현황'!$BC:$BC,"완료")</f>
        <v>0</v>
      </c>
      <c r="AL101"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분석_15일'!$F101,'2023년 신조차 고장관리 세부현황'!$BC:$BC,"완료")</f>
        <v>0</v>
      </c>
      <c r="AM101"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분석_15일'!$F101,'2023년 신조차 고장관리 세부현황'!$BC:$BC,"완료")</f>
        <v>0</v>
      </c>
      <c r="AN101"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분석_15일'!$F101,'2023년 신조차 고장관리 세부현황'!$BC:$BC,"완료")</f>
        <v>0</v>
      </c>
      <c r="AO101"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분석_15일'!$F101,'2023년 신조차 고장관리 세부현황'!$BC:$BC,"완료")</f>
        <v>0</v>
      </c>
      <c r="AP101"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분석_15일'!$F101,'2023년 신조차 고장관리 세부현황'!$BC:$BC,"완료")</f>
        <v>0</v>
      </c>
      <c r="AQ101"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분석_15일'!$F101,'2023년 신조차 고장관리 세부현황'!$BC:$BC,"완료")</f>
        <v>0</v>
      </c>
      <c r="AR101"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분석_15일'!$F101,'2023년 신조차 고장관리 세부현황'!$BC:$BC,"완료")</f>
        <v>0</v>
      </c>
      <c r="AS101"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분석_15일'!$F101,'2023년 신조차 고장관리 세부현황'!$BC:$BC,"완료")</f>
        <v>0</v>
      </c>
      <c r="AT101"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분석_15일'!$F101,'2023년 신조차 고장관리 세부현황'!$BC:$BC,"완료")</f>
        <v>0</v>
      </c>
      <c r="AU101"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분석_15일'!$F101,'2023년 신조차 고장관리 세부현황'!$BC:$BC,"완료")</f>
        <v>0</v>
      </c>
      <c r="AV101"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분석_15일'!$F101,'2023년 신조차 고장관리 세부현황'!$BC:$BC,"완료")</f>
        <v>0</v>
      </c>
      <c r="AW101"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분석_15일'!$F101,'2023년 신조차 고장관리 세부현황'!$BC:$BC,"완료")</f>
        <v>0</v>
      </c>
      <c r="AX101"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분석_15일'!$F101,'2023년 신조차 고장관리 세부현황'!$BC:$BC,"완료")</f>
        <v>0</v>
      </c>
      <c r="AY101"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분석_15일'!$F101,'2023년 신조차 고장관리 세부현황'!$BC:$BC,"완료")</f>
        <v>0</v>
      </c>
      <c r="AZ101"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분석_15일'!$F101,'2023년 신조차 고장관리 세부현황'!$BC:$BC,"완료")</f>
        <v>0</v>
      </c>
      <c r="BA101"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분석_15일'!$F101,'2023년 신조차 고장관리 세부현황'!$BC:$BC,"완료")</f>
        <v>0</v>
      </c>
      <c r="BB101"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분석_15일'!$F101,'2023년 신조차 고장관리 세부현황'!$BC:$BC,"완료")</f>
        <v>0</v>
      </c>
      <c r="BC101"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분석_15일'!$F101,'2023년 신조차 고장관리 세부현황'!$BC:$BC,"완료")</f>
        <v>0</v>
      </c>
      <c r="BD101"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분석_15일'!$F101,'2023년 신조차 고장관리 세부현황'!$BC:$BC,"완료")</f>
        <v>0</v>
      </c>
      <c r="BE101"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분석_15일'!$F101,'2023년 신조차 고장관리 세부현황'!$BC:$BC,"완료")</f>
        <v>0</v>
      </c>
      <c r="BF101"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분석_15일'!$F101,'2023년 신조차 고장관리 세부현황'!$BC:$BC,"완료")</f>
        <v>0</v>
      </c>
      <c r="BG101"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분석_15일'!$F101,'2023년 신조차 고장관리 세부현황'!$BC:$BC,"완료")</f>
        <v>0</v>
      </c>
      <c r="BH101"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분석_15일'!$F101,'2023년 신조차 고장관리 세부현황'!$BC:$BC,"완료")</f>
        <v>0</v>
      </c>
      <c r="BI101"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분석_15일'!$F101,'2023년 신조차 고장관리 세부현황'!$BC:$BC,"완료")</f>
        <v>0</v>
      </c>
      <c r="BJ101"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분석_15일'!$F101,'2023년 신조차 고장관리 세부현황'!$BC:$BC,"완료")</f>
        <v>0</v>
      </c>
      <c r="BK101"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분석_15일'!$F101,'2023년 신조차 고장관리 세부현황'!$BC:$BC,"완료")</f>
        <v>0</v>
      </c>
      <c r="BL101"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분석_15일'!$F101,'2023년 신조차 고장관리 세부현황'!$BC:$BC,"완료")</f>
        <v>0</v>
      </c>
      <c r="BM101"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분석_15일'!$F101,'2023년 신조차 고장관리 세부현황'!$BC:$BC,"완료")</f>
        <v>0</v>
      </c>
      <c r="BN101"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분석_15일'!$F101,'2023년 신조차 고장관리 세부현황'!$BC:$BC,"완료")</f>
        <v>0</v>
      </c>
      <c r="BO101"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분석_15일'!$F101,'2023년 신조차 고장관리 세부현황'!$BC:$BC,"완료")</f>
        <v>0</v>
      </c>
      <c r="BP101"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분석_15일'!$F101,'2023년 신조차 고장관리 세부현황'!$BC:$BC,"완료")</f>
        <v>0</v>
      </c>
      <c r="BQ101"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분석_15일'!$F101,'2023년 신조차 고장관리 세부현황'!$BC:$BC,"완료")</f>
        <v>0</v>
      </c>
      <c r="BR101"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분석_15일'!$F101,'2023년 신조차 고장관리 세부현황'!$BC:$BC,"완료")</f>
        <v>0</v>
      </c>
      <c r="BS101"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분석_15일'!$F101,'2023년 신조차 고장관리 세부현황'!$BC:$BC,"완료")</f>
        <v>0</v>
      </c>
      <c r="BT101"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분석_15일'!$F101,'2023년 신조차 고장관리 세부현황'!$BC:$BC,"완료")</f>
        <v>0</v>
      </c>
      <c r="BU101"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분석_15일'!$F101,'2023년 신조차 고장관리 세부현황'!$BC:$BC,"완료")</f>
        <v>0</v>
      </c>
      <c r="BV101"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분석_15일'!$F101,'2023년 신조차 고장관리 세부현황'!$BC:$BC,"완료")</f>
        <v>0</v>
      </c>
      <c r="BW101"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분석_15일'!$F101,'2023년 신조차 고장관리 세부현황'!$BC:$BC,"완료")</f>
        <v>0</v>
      </c>
      <c r="BX101"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분석_15일'!$F101,'2023년 신조차 고장관리 세부현황'!$BC:$BC,"완료")</f>
        <v>0</v>
      </c>
      <c r="BY101"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분석_15일'!$F101,'2023년 신조차 고장관리 세부현황'!$BC:$BC,"완료")</f>
        <v>0</v>
      </c>
      <c r="BZ101"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분석_15일'!$F101,'2023년 신조차 고장관리 세부현황'!$BC:$BC,"완료")</f>
        <v>0</v>
      </c>
      <c r="CA101"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분석_15일'!$F101,'2023년 신조차 고장관리 세부현황'!$BC:$BC,"완료")</f>
        <v>0</v>
      </c>
      <c r="CB101"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분석_15일'!$F101,'2023년 신조차 고장관리 세부현황'!$BC:$BC,"완료")</f>
        <v>0</v>
      </c>
      <c r="CC101"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분석_15일'!$F101,'2023년 신조차 고장관리 세부현황'!$BC:$BC,"완료")</f>
        <v>0</v>
      </c>
      <c r="CD101"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분석_15일'!$F101,'2023년 신조차 고장관리 세부현황'!$BC:$BC,"완료")</f>
        <v>0</v>
      </c>
      <c r="CE101"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분석_15일'!$F101,'2023년 신조차 고장관리 세부현황'!$BC:$BC,"완료")</f>
        <v>0</v>
      </c>
      <c r="CF101"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분석_15일'!$F101,'2023년 신조차 고장관리 세부현황'!$BC:$BC,"완료")</f>
        <v>0</v>
      </c>
      <c r="CG101"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분석_15일'!$F101,'2023년 신조차 고장관리 세부현황'!$BC:$BC,"완료")</f>
        <v>0</v>
      </c>
      <c r="CH101"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분석_15일'!$F101,'2023년 신조차 고장관리 세부현황'!$BC:$BC,"완료")</f>
        <v>0</v>
      </c>
      <c r="CI101"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분석_15일'!$F101,'2023년 신조차 고장관리 세부현황'!$BC:$BC,"완료")</f>
        <v>0</v>
      </c>
      <c r="CJ101"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분석_15일'!$F101,'2023년 신조차 고장관리 세부현황'!$BC:$BC,"완료")</f>
        <v>0</v>
      </c>
      <c r="CK101"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분석_15일'!$F101,'2023년 신조차 고장관리 세부현황'!$BC:$BC,"완료")</f>
        <v>0</v>
      </c>
      <c r="CL101"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분석_15일'!$F101,'2023년 신조차 고장관리 세부현황'!$BC:$BC,"완료")</f>
        <v>0</v>
      </c>
      <c r="CM101"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분석_15일'!$F101,'2023년 신조차 고장관리 세부현황'!$BC:$BC,"완료")</f>
        <v>0</v>
      </c>
      <c r="CN101"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분석_15일'!$F101,'2023년 신조차 고장관리 세부현황'!$BC:$BC,"완료")</f>
        <v>0</v>
      </c>
      <c r="CO101"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분석_15일'!$F101,'2023년 신조차 고장관리 세부현황'!$BC:$BC,"완료")</f>
        <v>0</v>
      </c>
      <c r="CP101"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분석_15일'!$F101,'2023년 신조차 고장관리 세부현황'!$BC:$BC,"완료")</f>
        <v>0</v>
      </c>
      <c r="CQ101"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분석_15일'!$F101,'2023년 신조차 고장관리 세부현황'!$BC:$BC,"완료")</f>
        <v>0</v>
      </c>
      <c r="CR101"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분석_15일'!$F101,'2023년 신조차 고장관리 세부현황'!$BC:$BC,"완료")</f>
        <v>0</v>
      </c>
      <c r="CS101"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분석_15일'!$F101,'2023년 신조차 고장관리 세부현황'!$BC:$BC,"완료")</f>
        <v>0</v>
      </c>
      <c r="CT101"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분석_15일'!$F101,'2023년 신조차 고장관리 세부현황'!$BC:$BC,"완료")</f>
        <v>0</v>
      </c>
      <c r="CU101"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분석_15일'!$F101,'2023년 신조차 고장관리 세부현황'!$BC:$BC,"완료")</f>
        <v>0</v>
      </c>
      <c r="CV101"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분석_15일'!$F101,'2023년 신조차 고장관리 세부현황'!$BC:$BC,"완료")</f>
        <v>0</v>
      </c>
      <c r="CW101"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분석_15일'!$F101,'2023년 신조차 고장관리 세부현황'!$BC:$BC,"완료")</f>
        <v>0</v>
      </c>
      <c r="CX101">
        <f t="shared" si="204"/>
        <v>0</v>
      </c>
    </row>
    <row r="102" spans="6:102" x14ac:dyDescent="0.4">
      <c r="F102" s="85" t="s">
        <v>243</v>
      </c>
      <c r="G102" s="85">
        <f>G100+G101</f>
        <v>0</v>
      </c>
      <c r="H102" s="85">
        <f t="shared" ref="H102:BS102" si="205">H100+H101</f>
        <v>0</v>
      </c>
      <c r="I102" s="85">
        <f t="shared" si="205"/>
        <v>0</v>
      </c>
      <c r="J102" s="85">
        <f t="shared" si="205"/>
        <v>0</v>
      </c>
      <c r="K102" s="85">
        <f t="shared" si="205"/>
        <v>0</v>
      </c>
      <c r="L102" s="85">
        <f t="shared" si="205"/>
        <v>0</v>
      </c>
      <c r="M102" s="85">
        <f t="shared" si="205"/>
        <v>0</v>
      </c>
      <c r="N102" s="85">
        <f t="shared" si="205"/>
        <v>0</v>
      </c>
      <c r="O102" s="85">
        <f t="shared" si="205"/>
        <v>0</v>
      </c>
      <c r="P102" s="85">
        <f t="shared" si="205"/>
        <v>0</v>
      </c>
      <c r="Q102" s="85">
        <f t="shared" si="205"/>
        <v>0</v>
      </c>
      <c r="R102" s="85">
        <f t="shared" si="205"/>
        <v>0</v>
      </c>
      <c r="S102" s="85">
        <f t="shared" si="205"/>
        <v>0</v>
      </c>
      <c r="T102" s="85">
        <f t="shared" si="205"/>
        <v>0</v>
      </c>
      <c r="U102" s="85">
        <f t="shared" si="205"/>
        <v>0</v>
      </c>
      <c r="V102" s="85">
        <f t="shared" si="205"/>
        <v>0</v>
      </c>
      <c r="W102" s="85">
        <f t="shared" si="205"/>
        <v>0</v>
      </c>
      <c r="X102" s="85">
        <f t="shared" si="205"/>
        <v>0</v>
      </c>
      <c r="Y102" s="85">
        <f t="shared" si="205"/>
        <v>0</v>
      </c>
      <c r="Z102" s="85">
        <f t="shared" si="205"/>
        <v>0</v>
      </c>
      <c r="AA102" s="85">
        <f t="shared" si="205"/>
        <v>0</v>
      </c>
      <c r="AB102" s="85">
        <f t="shared" si="205"/>
        <v>0</v>
      </c>
      <c r="AC102" s="85">
        <f t="shared" si="205"/>
        <v>0</v>
      </c>
      <c r="AD102" s="85">
        <f t="shared" si="205"/>
        <v>0</v>
      </c>
      <c r="AE102" s="85">
        <f t="shared" si="205"/>
        <v>0</v>
      </c>
      <c r="AF102" s="85">
        <f t="shared" si="205"/>
        <v>0</v>
      </c>
      <c r="AG102" s="85">
        <f t="shared" si="205"/>
        <v>0</v>
      </c>
      <c r="AH102" s="85">
        <f t="shared" si="205"/>
        <v>0</v>
      </c>
      <c r="AI102" s="85">
        <f t="shared" si="205"/>
        <v>0</v>
      </c>
      <c r="AJ102" s="85">
        <f t="shared" si="205"/>
        <v>0</v>
      </c>
      <c r="AK102" s="85">
        <f t="shared" si="205"/>
        <v>0</v>
      </c>
      <c r="AL102" s="85">
        <f t="shared" si="205"/>
        <v>0</v>
      </c>
      <c r="AM102" s="85">
        <f t="shared" si="205"/>
        <v>0</v>
      </c>
      <c r="AN102" s="85">
        <f t="shared" si="205"/>
        <v>0</v>
      </c>
      <c r="AO102" s="85">
        <f t="shared" si="205"/>
        <v>0</v>
      </c>
      <c r="AP102" s="85">
        <f t="shared" si="205"/>
        <v>0</v>
      </c>
      <c r="AQ102" s="85">
        <f t="shared" si="205"/>
        <v>0</v>
      </c>
      <c r="AR102" s="85">
        <f t="shared" si="205"/>
        <v>0</v>
      </c>
      <c r="AS102" s="85">
        <f t="shared" si="205"/>
        <v>0</v>
      </c>
      <c r="AT102" s="85">
        <f t="shared" si="205"/>
        <v>0</v>
      </c>
      <c r="AU102" s="85">
        <f t="shared" si="205"/>
        <v>0</v>
      </c>
      <c r="AV102" s="85">
        <f t="shared" si="205"/>
        <v>0</v>
      </c>
      <c r="AW102" s="85">
        <f t="shared" si="205"/>
        <v>0</v>
      </c>
      <c r="AX102" s="85">
        <f t="shared" si="205"/>
        <v>0</v>
      </c>
      <c r="AY102" s="85">
        <f t="shared" si="205"/>
        <v>0</v>
      </c>
      <c r="AZ102" s="85">
        <f t="shared" si="205"/>
        <v>0</v>
      </c>
      <c r="BA102" s="85">
        <f t="shared" si="205"/>
        <v>0</v>
      </c>
      <c r="BB102" s="85">
        <f t="shared" si="205"/>
        <v>0</v>
      </c>
      <c r="BC102" s="85">
        <f t="shared" si="205"/>
        <v>0</v>
      </c>
      <c r="BD102" s="85">
        <f t="shared" si="205"/>
        <v>0</v>
      </c>
      <c r="BE102" s="85">
        <f t="shared" si="205"/>
        <v>0</v>
      </c>
      <c r="BF102" s="85">
        <f t="shared" si="205"/>
        <v>0</v>
      </c>
      <c r="BG102" s="85">
        <f t="shared" si="205"/>
        <v>0</v>
      </c>
      <c r="BH102" s="85">
        <f t="shared" si="205"/>
        <v>0</v>
      </c>
      <c r="BI102" s="85">
        <f t="shared" si="205"/>
        <v>0</v>
      </c>
      <c r="BJ102" s="85">
        <f t="shared" si="205"/>
        <v>0</v>
      </c>
      <c r="BK102" s="85">
        <f t="shared" si="205"/>
        <v>0</v>
      </c>
      <c r="BL102" s="85">
        <f t="shared" si="205"/>
        <v>0</v>
      </c>
      <c r="BM102" s="85">
        <f t="shared" si="205"/>
        <v>0</v>
      </c>
      <c r="BN102" s="85">
        <f t="shared" si="205"/>
        <v>0</v>
      </c>
      <c r="BO102" s="85">
        <f t="shared" si="205"/>
        <v>0</v>
      </c>
      <c r="BP102" s="85">
        <f t="shared" si="205"/>
        <v>0</v>
      </c>
      <c r="BQ102" s="85">
        <f t="shared" si="205"/>
        <v>0</v>
      </c>
      <c r="BR102" s="85">
        <f t="shared" si="205"/>
        <v>0</v>
      </c>
      <c r="BS102" s="85">
        <f t="shared" si="205"/>
        <v>0</v>
      </c>
      <c r="BT102" s="85">
        <f t="shared" ref="BT102:CH102" si="206">BT100+BT101</f>
        <v>0</v>
      </c>
      <c r="BU102" s="85">
        <f t="shared" si="206"/>
        <v>0</v>
      </c>
      <c r="BV102" s="85">
        <f t="shared" si="206"/>
        <v>0</v>
      </c>
      <c r="BW102" s="85">
        <f t="shared" si="206"/>
        <v>0</v>
      </c>
      <c r="BX102" s="85">
        <f t="shared" si="206"/>
        <v>0</v>
      </c>
      <c r="BY102" s="85">
        <f t="shared" si="206"/>
        <v>0</v>
      </c>
      <c r="BZ102" s="85">
        <f t="shared" si="206"/>
        <v>0</v>
      </c>
      <c r="CA102" s="85">
        <f t="shared" si="206"/>
        <v>0</v>
      </c>
      <c r="CB102" s="85">
        <f t="shared" si="206"/>
        <v>0</v>
      </c>
      <c r="CC102" s="85">
        <f t="shared" si="206"/>
        <v>0</v>
      </c>
      <c r="CD102" s="85">
        <f t="shared" si="206"/>
        <v>0</v>
      </c>
      <c r="CE102" s="85">
        <f t="shared" si="206"/>
        <v>0</v>
      </c>
      <c r="CF102" s="85">
        <f t="shared" si="206"/>
        <v>0</v>
      </c>
      <c r="CG102" s="85">
        <f t="shared" si="206"/>
        <v>0</v>
      </c>
      <c r="CH102" s="85">
        <f t="shared" si="206"/>
        <v>0</v>
      </c>
      <c r="CI102" s="85">
        <f t="shared" ref="CI102:CO102" si="207">CI100+CI101</f>
        <v>0</v>
      </c>
      <c r="CJ102" s="85">
        <f t="shared" si="207"/>
        <v>0</v>
      </c>
      <c r="CK102" s="85">
        <f t="shared" si="207"/>
        <v>0</v>
      </c>
      <c r="CL102" s="85">
        <f t="shared" si="207"/>
        <v>0</v>
      </c>
      <c r="CM102" s="85">
        <f t="shared" si="207"/>
        <v>0</v>
      </c>
      <c r="CN102" s="85">
        <f t="shared" si="207"/>
        <v>0</v>
      </c>
      <c r="CO102" s="85">
        <f t="shared" si="207"/>
        <v>0</v>
      </c>
      <c r="CP102" s="85">
        <f t="shared" ref="CP102:CW102" si="208">CP100+CP101</f>
        <v>0</v>
      </c>
      <c r="CQ102" s="85">
        <f t="shared" si="208"/>
        <v>0</v>
      </c>
      <c r="CR102" s="85">
        <f t="shared" si="208"/>
        <v>0</v>
      </c>
      <c r="CS102" s="85">
        <f t="shared" si="208"/>
        <v>0</v>
      </c>
      <c r="CT102" s="85">
        <f t="shared" si="208"/>
        <v>0</v>
      </c>
      <c r="CU102" s="85">
        <f t="shared" si="208"/>
        <v>0</v>
      </c>
      <c r="CV102" s="85">
        <f t="shared" si="208"/>
        <v>0</v>
      </c>
      <c r="CW102" s="85">
        <f t="shared" si="208"/>
        <v>0</v>
      </c>
      <c r="CX102">
        <f t="shared" si="204"/>
        <v>0</v>
      </c>
    </row>
    <row r="103" spans="6:102" x14ac:dyDescent="0.4">
      <c r="F103" s="86" t="s">
        <v>222</v>
      </c>
      <c r="G103" s="85">
        <f>COUNTIFS('2023년 신조차 고장관리 세부현황'!$K:$K,"128R",'2023년 신조차 고장관리 세부현황'!$P:$P,"&gt;="&amp;$G$17,'2023년 신조차 고장관리 세부현황'!$P:$P,"&lt;"&amp;'트랜드 분석_15일'!G$18,'2023년 신조차 고장관리 세부현황'!$S:$S,'트랜드 분석_15일'!$F103,'2023년 신조차 고장관리 세부현황'!$BC:$BC,"완료")</f>
        <v>0</v>
      </c>
      <c r="H103"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분석_15일'!$F103,'2023년 신조차 고장관리 세부현황'!$BC:$BC,"완료")</f>
        <v>0</v>
      </c>
      <c r="I103"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분석_15일'!$F103,'2023년 신조차 고장관리 세부현황'!$BC:$BC,"완료")</f>
        <v>0</v>
      </c>
      <c r="J103"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분석_15일'!$F103,'2023년 신조차 고장관리 세부현황'!$BC:$BC,"완료")</f>
        <v>0</v>
      </c>
      <c r="K103"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분석_15일'!$F103,'2023년 신조차 고장관리 세부현황'!$BC:$BC,"완료")</f>
        <v>0</v>
      </c>
      <c r="L103"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분석_15일'!$F103,'2023년 신조차 고장관리 세부현황'!$BC:$BC,"완료")</f>
        <v>0</v>
      </c>
      <c r="M103"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분석_15일'!$F103,'2023년 신조차 고장관리 세부현황'!$BC:$BC,"완료")</f>
        <v>0</v>
      </c>
      <c r="N103"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분석_15일'!$F103,'2023년 신조차 고장관리 세부현황'!$BC:$BC,"완료")</f>
        <v>0</v>
      </c>
      <c r="O103"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분석_15일'!$F103,'2023년 신조차 고장관리 세부현황'!$BC:$BC,"완료")</f>
        <v>0</v>
      </c>
      <c r="P103"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분석_15일'!$F103,'2023년 신조차 고장관리 세부현황'!$BC:$BC,"완료")</f>
        <v>0</v>
      </c>
      <c r="Q103"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분석_15일'!$F103,'2023년 신조차 고장관리 세부현황'!$BC:$BC,"완료")</f>
        <v>0</v>
      </c>
      <c r="R103"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분석_15일'!$F103,'2023년 신조차 고장관리 세부현황'!$BC:$BC,"완료")</f>
        <v>0</v>
      </c>
      <c r="S103"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분석_15일'!$F103,'2023년 신조차 고장관리 세부현황'!$BC:$BC,"완료")</f>
        <v>0</v>
      </c>
      <c r="T103"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분석_15일'!$F103,'2023년 신조차 고장관리 세부현황'!$BC:$BC,"완료")</f>
        <v>0</v>
      </c>
      <c r="U103"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분석_15일'!$F103,'2023년 신조차 고장관리 세부현황'!$BC:$BC,"완료")</f>
        <v>0</v>
      </c>
      <c r="V103"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분석_15일'!$F103,'2023년 신조차 고장관리 세부현황'!$BC:$BC,"완료")</f>
        <v>0</v>
      </c>
      <c r="W103"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분석_15일'!$F103,'2023년 신조차 고장관리 세부현황'!$BC:$BC,"완료")</f>
        <v>0</v>
      </c>
      <c r="X103"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분석_15일'!$F103,'2023년 신조차 고장관리 세부현황'!$BC:$BC,"완료")</f>
        <v>0</v>
      </c>
      <c r="Y103"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분석_15일'!$F103,'2023년 신조차 고장관리 세부현황'!$BC:$BC,"완료")</f>
        <v>0</v>
      </c>
      <c r="Z103"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분석_15일'!$F103,'2023년 신조차 고장관리 세부현황'!$BC:$BC,"완료")</f>
        <v>0</v>
      </c>
      <c r="AA103"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분석_15일'!$F103,'2023년 신조차 고장관리 세부현황'!$BC:$BC,"완료")</f>
        <v>0</v>
      </c>
      <c r="AB103"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분석_15일'!$F103,'2023년 신조차 고장관리 세부현황'!$BC:$BC,"완료")</f>
        <v>0</v>
      </c>
      <c r="AC103"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분석_15일'!$F103,'2023년 신조차 고장관리 세부현황'!$BC:$BC,"완료")</f>
        <v>0</v>
      </c>
      <c r="AD103"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분석_15일'!$F103,'2023년 신조차 고장관리 세부현황'!$BC:$BC,"완료")</f>
        <v>0</v>
      </c>
      <c r="AE103"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분석_15일'!$F103,'2023년 신조차 고장관리 세부현황'!$BC:$BC,"완료")</f>
        <v>0</v>
      </c>
      <c r="AF103"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분석_15일'!$F103,'2023년 신조차 고장관리 세부현황'!$BC:$BC,"완료")</f>
        <v>0</v>
      </c>
      <c r="AG103"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분석_15일'!$F103,'2023년 신조차 고장관리 세부현황'!$BC:$BC,"완료")</f>
        <v>0</v>
      </c>
      <c r="AH103"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분석_15일'!$F103,'2023년 신조차 고장관리 세부현황'!$BC:$BC,"완료")</f>
        <v>0</v>
      </c>
      <c r="AI103"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분석_15일'!$F103,'2023년 신조차 고장관리 세부현황'!$BC:$BC,"완료")</f>
        <v>0</v>
      </c>
      <c r="AJ103"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분석_15일'!$F103,'2023년 신조차 고장관리 세부현황'!$BC:$BC,"완료")</f>
        <v>0</v>
      </c>
      <c r="AK103"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분석_15일'!$F103,'2023년 신조차 고장관리 세부현황'!$BC:$BC,"완료")</f>
        <v>0</v>
      </c>
      <c r="AL103"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분석_15일'!$F103,'2023년 신조차 고장관리 세부현황'!$BC:$BC,"완료")</f>
        <v>0</v>
      </c>
      <c r="AM103"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분석_15일'!$F103,'2023년 신조차 고장관리 세부현황'!$BC:$BC,"완료")</f>
        <v>0</v>
      </c>
      <c r="AN103"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분석_15일'!$F103,'2023년 신조차 고장관리 세부현황'!$BC:$BC,"완료")</f>
        <v>0</v>
      </c>
      <c r="AO103"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분석_15일'!$F103,'2023년 신조차 고장관리 세부현황'!$BC:$BC,"완료")</f>
        <v>0</v>
      </c>
      <c r="AP103"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분석_15일'!$F103,'2023년 신조차 고장관리 세부현황'!$BC:$BC,"완료")</f>
        <v>0</v>
      </c>
      <c r="AQ103"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분석_15일'!$F103,'2023년 신조차 고장관리 세부현황'!$BC:$BC,"완료")</f>
        <v>0</v>
      </c>
      <c r="AR103"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분석_15일'!$F103,'2023년 신조차 고장관리 세부현황'!$BC:$BC,"완료")</f>
        <v>0</v>
      </c>
      <c r="AS103"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분석_15일'!$F103,'2023년 신조차 고장관리 세부현황'!$BC:$BC,"완료")</f>
        <v>0</v>
      </c>
      <c r="AT103"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분석_15일'!$F103,'2023년 신조차 고장관리 세부현황'!$BC:$BC,"완료")</f>
        <v>0</v>
      </c>
      <c r="AU103"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분석_15일'!$F103,'2023년 신조차 고장관리 세부현황'!$BC:$BC,"완료")</f>
        <v>0</v>
      </c>
      <c r="AV103"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분석_15일'!$F103,'2023년 신조차 고장관리 세부현황'!$BC:$BC,"완료")</f>
        <v>0</v>
      </c>
      <c r="AW103"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분석_15일'!$F103,'2023년 신조차 고장관리 세부현황'!$BC:$BC,"완료")</f>
        <v>0</v>
      </c>
      <c r="AX103"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분석_15일'!$F103,'2023년 신조차 고장관리 세부현황'!$BC:$BC,"완료")</f>
        <v>0</v>
      </c>
      <c r="AY103"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분석_15일'!$F103,'2023년 신조차 고장관리 세부현황'!$BC:$BC,"완료")</f>
        <v>0</v>
      </c>
      <c r="AZ103"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분석_15일'!$F103,'2023년 신조차 고장관리 세부현황'!$BC:$BC,"완료")</f>
        <v>0</v>
      </c>
      <c r="BA103"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분석_15일'!$F103,'2023년 신조차 고장관리 세부현황'!$BC:$BC,"완료")</f>
        <v>0</v>
      </c>
      <c r="BB103"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분석_15일'!$F103,'2023년 신조차 고장관리 세부현황'!$BC:$BC,"완료")</f>
        <v>0</v>
      </c>
      <c r="BC103"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분석_15일'!$F103,'2023년 신조차 고장관리 세부현황'!$BC:$BC,"완료")</f>
        <v>0</v>
      </c>
      <c r="BD103"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분석_15일'!$F103,'2023년 신조차 고장관리 세부현황'!$BC:$BC,"완료")</f>
        <v>0</v>
      </c>
      <c r="BE103"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분석_15일'!$F103,'2023년 신조차 고장관리 세부현황'!$BC:$BC,"완료")</f>
        <v>0</v>
      </c>
      <c r="BF103"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분석_15일'!$F103,'2023년 신조차 고장관리 세부현황'!$BC:$BC,"완료")</f>
        <v>0</v>
      </c>
      <c r="BG103"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분석_15일'!$F103,'2023년 신조차 고장관리 세부현황'!$BC:$BC,"완료")</f>
        <v>0</v>
      </c>
      <c r="BH103"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분석_15일'!$F103,'2023년 신조차 고장관리 세부현황'!$BC:$BC,"완료")</f>
        <v>0</v>
      </c>
      <c r="BI103"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분석_15일'!$F103,'2023년 신조차 고장관리 세부현황'!$BC:$BC,"완료")</f>
        <v>0</v>
      </c>
      <c r="BJ103"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분석_15일'!$F103,'2023년 신조차 고장관리 세부현황'!$BC:$BC,"완료")</f>
        <v>0</v>
      </c>
      <c r="BK103"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분석_15일'!$F103,'2023년 신조차 고장관리 세부현황'!$BC:$BC,"완료")</f>
        <v>0</v>
      </c>
      <c r="BL103"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분석_15일'!$F103,'2023년 신조차 고장관리 세부현황'!$BC:$BC,"완료")</f>
        <v>0</v>
      </c>
      <c r="BM103"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분석_15일'!$F103,'2023년 신조차 고장관리 세부현황'!$BC:$BC,"완료")</f>
        <v>0</v>
      </c>
      <c r="BN103"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분석_15일'!$F103,'2023년 신조차 고장관리 세부현황'!$BC:$BC,"완료")</f>
        <v>0</v>
      </c>
      <c r="BO103"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분석_15일'!$F103,'2023년 신조차 고장관리 세부현황'!$BC:$BC,"완료")</f>
        <v>0</v>
      </c>
      <c r="BP103"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분석_15일'!$F103,'2023년 신조차 고장관리 세부현황'!$BC:$BC,"완료")</f>
        <v>0</v>
      </c>
      <c r="BQ103"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분석_15일'!$F103,'2023년 신조차 고장관리 세부현황'!$BC:$BC,"완료")</f>
        <v>0</v>
      </c>
      <c r="BR103"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분석_15일'!$F103,'2023년 신조차 고장관리 세부현황'!$BC:$BC,"완료")</f>
        <v>0</v>
      </c>
      <c r="BS103"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분석_15일'!$F103,'2023년 신조차 고장관리 세부현황'!$BC:$BC,"완료")</f>
        <v>0</v>
      </c>
      <c r="BT103"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분석_15일'!$F103,'2023년 신조차 고장관리 세부현황'!$BC:$BC,"완료")</f>
        <v>0</v>
      </c>
      <c r="BU103"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분석_15일'!$F103,'2023년 신조차 고장관리 세부현황'!$BC:$BC,"완료")</f>
        <v>0</v>
      </c>
      <c r="BV103"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분석_15일'!$F103,'2023년 신조차 고장관리 세부현황'!$BC:$BC,"완료")</f>
        <v>0</v>
      </c>
      <c r="BW103"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분석_15일'!$F103,'2023년 신조차 고장관리 세부현황'!$BC:$BC,"완료")</f>
        <v>0</v>
      </c>
      <c r="BX103"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분석_15일'!$F103,'2023년 신조차 고장관리 세부현황'!$BC:$BC,"완료")</f>
        <v>0</v>
      </c>
      <c r="BY103"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분석_15일'!$F103,'2023년 신조차 고장관리 세부현황'!$BC:$BC,"완료")</f>
        <v>0</v>
      </c>
      <c r="BZ103"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분석_15일'!$F103,'2023년 신조차 고장관리 세부현황'!$BC:$BC,"완료")</f>
        <v>0</v>
      </c>
      <c r="CA103"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분석_15일'!$F103,'2023년 신조차 고장관리 세부현황'!$BC:$BC,"완료")</f>
        <v>0</v>
      </c>
      <c r="CB103"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분석_15일'!$F103,'2023년 신조차 고장관리 세부현황'!$BC:$BC,"완료")</f>
        <v>0</v>
      </c>
      <c r="CC103"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분석_15일'!$F103,'2023년 신조차 고장관리 세부현황'!$BC:$BC,"완료")</f>
        <v>0</v>
      </c>
      <c r="CD103"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분석_15일'!$F103,'2023년 신조차 고장관리 세부현황'!$BC:$BC,"완료")</f>
        <v>0</v>
      </c>
      <c r="CE103"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분석_15일'!$F103,'2023년 신조차 고장관리 세부현황'!$BC:$BC,"완료")</f>
        <v>0</v>
      </c>
      <c r="CF103"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분석_15일'!$F103,'2023년 신조차 고장관리 세부현황'!$BC:$BC,"완료")</f>
        <v>0</v>
      </c>
      <c r="CG103"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분석_15일'!$F103,'2023년 신조차 고장관리 세부현황'!$BC:$BC,"완료")</f>
        <v>0</v>
      </c>
      <c r="CH103"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분석_15일'!$F103,'2023년 신조차 고장관리 세부현황'!$BC:$BC,"완료")</f>
        <v>0</v>
      </c>
      <c r="CI103"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분석_15일'!$F103,'2023년 신조차 고장관리 세부현황'!$BC:$BC,"완료")</f>
        <v>0</v>
      </c>
      <c r="CJ103"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분석_15일'!$F103,'2023년 신조차 고장관리 세부현황'!$BC:$BC,"완료")</f>
        <v>0</v>
      </c>
      <c r="CK103"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분석_15일'!$F103,'2023년 신조차 고장관리 세부현황'!$BC:$BC,"완료")</f>
        <v>0</v>
      </c>
      <c r="CL103"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분석_15일'!$F103,'2023년 신조차 고장관리 세부현황'!$BC:$BC,"완료")</f>
        <v>0</v>
      </c>
      <c r="CM103"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분석_15일'!$F103,'2023년 신조차 고장관리 세부현황'!$BC:$BC,"완료")</f>
        <v>0</v>
      </c>
      <c r="CN103"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분석_15일'!$F103,'2023년 신조차 고장관리 세부현황'!$BC:$BC,"완료")</f>
        <v>0</v>
      </c>
      <c r="CO103"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분석_15일'!$F103,'2023년 신조차 고장관리 세부현황'!$BC:$BC,"완료")</f>
        <v>0</v>
      </c>
      <c r="CP103"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분석_15일'!$F103,'2023년 신조차 고장관리 세부현황'!$BC:$BC,"완료")</f>
        <v>0</v>
      </c>
      <c r="CQ103"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분석_15일'!$F103,'2023년 신조차 고장관리 세부현황'!$BC:$BC,"완료")</f>
        <v>0</v>
      </c>
      <c r="CR103"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분석_15일'!$F103,'2023년 신조차 고장관리 세부현황'!$BC:$BC,"완료")</f>
        <v>0</v>
      </c>
      <c r="CS103"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분석_15일'!$F103,'2023년 신조차 고장관리 세부현황'!$BC:$BC,"완료")</f>
        <v>0</v>
      </c>
      <c r="CT103"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분석_15일'!$F103,'2023년 신조차 고장관리 세부현황'!$BC:$BC,"완료")</f>
        <v>0</v>
      </c>
      <c r="CU103"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분석_15일'!$F103,'2023년 신조차 고장관리 세부현황'!$BC:$BC,"완료")</f>
        <v>0</v>
      </c>
      <c r="CV103"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분석_15일'!$F103,'2023년 신조차 고장관리 세부현황'!$BC:$BC,"완료")</f>
        <v>0</v>
      </c>
      <c r="CW103"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분석_15일'!$F103,'2023년 신조차 고장관리 세부현황'!$BC:$BC,"완료")</f>
        <v>0</v>
      </c>
      <c r="CX103">
        <f t="shared" si="204"/>
        <v>0</v>
      </c>
    </row>
    <row r="106" spans="6:102" x14ac:dyDescent="0.4">
      <c r="F106" t="s">
        <v>251</v>
      </c>
    </row>
    <row r="107" spans="6:102" x14ac:dyDescent="0.4">
      <c r="F107" s="85" t="s">
        <v>242</v>
      </c>
      <c r="G107" s="85">
        <v>1</v>
      </c>
      <c r="H107" s="85">
        <v>2</v>
      </c>
      <c r="I107" s="85">
        <v>3</v>
      </c>
      <c r="J107" s="85">
        <v>4</v>
      </c>
      <c r="K107" s="85">
        <v>5</v>
      </c>
      <c r="L107" s="85">
        <v>6</v>
      </c>
      <c r="M107" s="85">
        <v>7</v>
      </c>
      <c r="N107" s="85">
        <v>8</v>
      </c>
      <c r="O107" s="85">
        <v>9</v>
      </c>
      <c r="P107" s="85">
        <v>10</v>
      </c>
      <c r="Q107" s="85">
        <v>11</v>
      </c>
      <c r="R107" s="85">
        <v>12</v>
      </c>
      <c r="S107" s="85">
        <v>13</v>
      </c>
      <c r="T107" s="85">
        <v>14</v>
      </c>
      <c r="U107" s="85">
        <v>15</v>
      </c>
      <c r="V107" s="85">
        <v>16</v>
      </c>
      <c r="W107" s="85">
        <v>17</v>
      </c>
      <c r="X107" s="85">
        <v>18</v>
      </c>
      <c r="Y107" s="85">
        <v>19</v>
      </c>
      <c r="Z107" s="85">
        <v>20</v>
      </c>
      <c r="AA107" s="85">
        <v>21</v>
      </c>
      <c r="AB107" s="85">
        <v>22</v>
      </c>
      <c r="AC107" s="85">
        <v>23</v>
      </c>
      <c r="AD107" s="85">
        <v>24</v>
      </c>
      <c r="AE107" s="85">
        <v>25</v>
      </c>
      <c r="AF107" s="85">
        <v>26</v>
      </c>
      <c r="AG107" s="85">
        <v>27</v>
      </c>
      <c r="AH107" s="85">
        <v>28</v>
      </c>
      <c r="AI107" s="85">
        <v>29</v>
      </c>
      <c r="AJ107" s="85">
        <v>30</v>
      </c>
      <c r="AK107" s="85">
        <v>31</v>
      </c>
      <c r="AL107" s="85">
        <v>32</v>
      </c>
      <c r="AM107" s="85">
        <v>33</v>
      </c>
      <c r="AN107" s="85">
        <v>34</v>
      </c>
      <c r="AO107" s="85">
        <v>35</v>
      </c>
      <c r="AP107" s="85">
        <v>36</v>
      </c>
      <c r="AQ107" s="85">
        <v>37</v>
      </c>
      <c r="AR107" s="85">
        <v>38</v>
      </c>
      <c r="AS107" s="85">
        <v>39</v>
      </c>
      <c r="AT107" s="85">
        <v>40</v>
      </c>
      <c r="AU107" s="85">
        <v>41</v>
      </c>
      <c r="AV107" s="85">
        <v>42</v>
      </c>
      <c r="AW107" s="85">
        <v>43</v>
      </c>
      <c r="AX107" s="85">
        <v>44</v>
      </c>
      <c r="AY107" s="85">
        <v>45</v>
      </c>
      <c r="AZ107" s="85">
        <v>46</v>
      </c>
      <c r="BA107" s="85">
        <v>47</v>
      </c>
      <c r="BB107" s="85">
        <v>48</v>
      </c>
      <c r="BC107" s="85">
        <v>49</v>
      </c>
      <c r="BD107" s="85">
        <v>50</v>
      </c>
      <c r="BE107" s="85">
        <v>51</v>
      </c>
      <c r="BF107" s="85">
        <v>52</v>
      </c>
      <c r="BG107" s="85">
        <v>53</v>
      </c>
      <c r="BH107" s="85">
        <v>54</v>
      </c>
      <c r="BI107" s="85">
        <v>55</v>
      </c>
      <c r="BJ107" s="85">
        <v>56</v>
      </c>
      <c r="BK107" s="85">
        <v>57</v>
      </c>
      <c r="BL107" s="85">
        <v>58</v>
      </c>
      <c r="BM107" s="85">
        <v>59</v>
      </c>
      <c r="BN107" s="85">
        <v>60</v>
      </c>
      <c r="BO107" s="85">
        <v>61</v>
      </c>
      <c r="BP107" s="85">
        <v>62</v>
      </c>
      <c r="BQ107" s="85">
        <v>63</v>
      </c>
      <c r="BR107" s="85">
        <v>64</v>
      </c>
      <c r="BS107" s="85">
        <v>65</v>
      </c>
      <c r="BT107" s="85">
        <v>66</v>
      </c>
      <c r="BU107" s="85">
        <v>67</v>
      </c>
      <c r="BV107" s="85">
        <v>68</v>
      </c>
      <c r="BW107" s="85">
        <v>69</v>
      </c>
      <c r="BX107" s="85">
        <v>70</v>
      </c>
      <c r="BY107" s="85">
        <v>71</v>
      </c>
      <c r="BZ107" s="85">
        <v>72</v>
      </c>
      <c r="CA107" s="85">
        <v>73</v>
      </c>
      <c r="CB107" s="85">
        <v>74</v>
      </c>
      <c r="CC107" s="85">
        <v>75</v>
      </c>
      <c r="CD107" s="85">
        <v>76</v>
      </c>
      <c r="CE107" s="85">
        <v>77</v>
      </c>
      <c r="CF107" s="85">
        <v>78</v>
      </c>
      <c r="CG107" s="85">
        <v>79</v>
      </c>
      <c r="CH107" s="85">
        <v>80</v>
      </c>
      <c r="CI107" s="85">
        <v>81</v>
      </c>
      <c r="CJ107" s="85">
        <v>82</v>
      </c>
      <c r="CK107" s="85">
        <v>83</v>
      </c>
      <c r="CL107" s="85">
        <v>84</v>
      </c>
      <c r="CM107" s="85">
        <v>85</v>
      </c>
      <c r="CN107" s="85">
        <v>86</v>
      </c>
      <c r="CO107" s="85">
        <v>87</v>
      </c>
      <c r="CP107" s="85">
        <v>88</v>
      </c>
      <c r="CQ107" s="85">
        <v>89</v>
      </c>
      <c r="CR107" s="85">
        <v>90</v>
      </c>
      <c r="CS107" s="85">
        <v>91</v>
      </c>
      <c r="CT107" s="85">
        <v>92</v>
      </c>
      <c r="CU107" s="85">
        <v>93</v>
      </c>
      <c r="CV107" s="85">
        <v>94</v>
      </c>
      <c r="CW107" s="85">
        <v>95</v>
      </c>
    </row>
    <row r="108" spans="6:102" x14ac:dyDescent="0.4">
      <c r="F108" s="85" t="s">
        <v>239</v>
      </c>
      <c r="G108" s="139">
        <f>15*G107</f>
        <v>15</v>
      </c>
      <c r="H108" s="139">
        <f t="shared" ref="H108" si="209">15*H107</f>
        <v>30</v>
      </c>
      <c r="I108" s="139">
        <f t="shared" ref="I108" si="210">15*I107</f>
        <v>45</v>
      </c>
      <c r="J108" s="139">
        <f t="shared" ref="J108" si="211">15*J107</f>
        <v>60</v>
      </c>
      <c r="K108" s="139">
        <f t="shared" ref="K108" si="212">15*K107</f>
        <v>75</v>
      </c>
      <c r="L108" s="139">
        <f t="shared" ref="L108" si="213">15*L107</f>
        <v>90</v>
      </c>
      <c r="M108" s="139">
        <f t="shared" ref="M108" si="214">15*M107</f>
        <v>105</v>
      </c>
      <c r="N108" s="139">
        <f t="shared" ref="N108" si="215">15*N107</f>
        <v>120</v>
      </c>
      <c r="O108" s="139">
        <f t="shared" ref="O108" si="216">15*O107</f>
        <v>135</v>
      </c>
      <c r="P108" s="139">
        <f t="shared" ref="P108" si="217">15*P107</f>
        <v>150</v>
      </c>
      <c r="Q108" s="139">
        <f t="shared" ref="Q108" si="218">15*Q107</f>
        <v>165</v>
      </c>
      <c r="R108" s="139">
        <f t="shared" ref="R108" si="219">15*R107</f>
        <v>180</v>
      </c>
      <c r="S108" s="139">
        <f t="shared" ref="S108" si="220">15*S107</f>
        <v>195</v>
      </c>
      <c r="T108" s="139">
        <f t="shared" ref="T108" si="221">15*T107</f>
        <v>210</v>
      </c>
      <c r="U108" s="139">
        <f t="shared" ref="U108" si="222">15*U107</f>
        <v>225</v>
      </c>
      <c r="V108" s="139">
        <f t="shared" ref="V108" si="223">15*V107</f>
        <v>240</v>
      </c>
      <c r="W108" s="139">
        <f t="shared" ref="W108" si="224">15*W107</f>
        <v>255</v>
      </c>
      <c r="X108" s="139">
        <f t="shared" ref="X108" si="225">15*X107</f>
        <v>270</v>
      </c>
      <c r="Y108" s="139">
        <f t="shared" ref="Y108" si="226">15*Y107</f>
        <v>285</v>
      </c>
      <c r="Z108" s="139">
        <f t="shared" ref="Z108" si="227">15*Z107</f>
        <v>300</v>
      </c>
      <c r="AA108" s="139">
        <f t="shared" ref="AA108" si="228">15*AA107</f>
        <v>315</v>
      </c>
      <c r="AB108" s="139">
        <f t="shared" ref="AB108" si="229">15*AB107</f>
        <v>330</v>
      </c>
      <c r="AC108" s="139">
        <f t="shared" ref="AC108" si="230">15*AC107</f>
        <v>345</v>
      </c>
      <c r="AD108" s="139">
        <f t="shared" ref="AD108" si="231">15*AD107</f>
        <v>360</v>
      </c>
      <c r="AE108" s="139">
        <f t="shared" ref="AE108" si="232">15*AE107</f>
        <v>375</v>
      </c>
      <c r="AF108" s="139">
        <f t="shared" ref="AF108" si="233">15*AF107</f>
        <v>390</v>
      </c>
      <c r="AG108" s="139">
        <f t="shared" ref="AG108" si="234">15*AG107</f>
        <v>405</v>
      </c>
      <c r="AH108" s="139">
        <f t="shared" ref="AH108" si="235">15*AH107</f>
        <v>420</v>
      </c>
      <c r="AI108" s="139">
        <f t="shared" ref="AI108" si="236">15*AI107</f>
        <v>435</v>
      </c>
      <c r="AJ108" s="139">
        <f t="shared" ref="AJ108" si="237">15*AJ107</f>
        <v>450</v>
      </c>
      <c r="AK108" s="139">
        <f t="shared" ref="AK108" si="238">15*AK107</f>
        <v>465</v>
      </c>
      <c r="AL108" s="139">
        <f t="shared" ref="AL108" si="239">15*AL107</f>
        <v>480</v>
      </c>
      <c r="AM108" s="139">
        <f t="shared" ref="AM108" si="240">15*AM107</f>
        <v>495</v>
      </c>
      <c r="AN108" s="139">
        <f t="shared" ref="AN108" si="241">15*AN107</f>
        <v>510</v>
      </c>
      <c r="AO108" s="139">
        <f t="shared" ref="AO108" si="242">15*AO107</f>
        <v>525</v>
      </c>
      <c r="AP108" s="139">
        <f t="shared" ref="AP108" si="243">15*AP107</f>
        <v>540</v>
      </c>
      <c r="AQ108" s="139">
        <f t="shared" ref="AQ108" si="244">15*AQ107</f>
        <v>555</v>
      </c>
      <c r="AR108" s="139">
        <f t="shared" ref="AR108" si="245">15*AR107</f>
        <v>570</v>
      </c>
      <c r="AS108" s="139">
        <f t="shared" ref="AS108" si="246">15*AS107</f>
        <v>585</v>
      </c>
      <c r="AT108" s="139">
        <f t="shared" ref="AT108" si="247">15*AT107</f>
        <v>600</v>
      </c>
      <c r="AU108" s="139">
        <f t="shared" ref="AU108" si="248">15*AU107</f>
        <v>615</v>
      </c>
      <c r="AV108" s="139">
        <f t="shared" ref="AV108" si="249">15*AV107</f>
        <v>630</v>
      </c>
      <c r="AW108" s="139">
        <f t="shared" ref="AW108" si="250">15*AW107</f>
        <v>645</v>
      </c>
      <c r="AX108" s="139">
        <f t="shared" ref="AX108" si="251">15*AX107</f>
        <v>660</v>
      </c>
      <c r="AY108" s="139">
        <f t="shared" ref="AY108" si="252">15*AY107</f>
        <v>675</v>
      </c>
      <c r="AZ108" s="139">
        <f t="shared" ref="AZ108" si="253">15*AZ107</f>
        <v>690</v>
      </c>
      <c r="BA108" s="139">
        <f t="shared" ref="BA108" si="254">15*BA107</f>
        <v>705</v>
      </c>
      <c r="BB108" s="139">
        <f t="shared" ref="BB108" si="255">15*BB107</f>
        <v>720</v>
      </c>
      <c r="BC108" s="139">
        <f t="shared" ref="BC108" si="256">15*BC107</f>
        <v>735</v>
      </c>
      <c r="BD108" s="139">
        <f t="shared" ref="BD108" si="257">15*BD107</f>
        <v>750</v>
      </c>
      <c r="BE108" s="139">
        <f t="shared" ref="BE108" si="258">15*BE107</f>
        <v>765</v>
      </c>
      <c r="BF108" s="139">
        <f t="shared" ref="BF108" si="259">15*BF107</f>
        <v>780</v>
      </c>
      <c r="BG108" s="139">
        <f t="shared" ref="BG108" si="260">15*BG107</f>
        <v>795</v>
      </c>
      <c r="BH108" s="139">
        <f t="shared" ref="BH108" si="261">15*BH107</f>
        <v>810</v>
      </c>
      <c r="BI108" s="139">
        <f t="shared" ref="BI108" si="262">15*BI107</f>
        <v>825</v>
      </c>
      <c r="BJ108" s="139">
        <f t="shared" ref="BJ108" si="263">15*BJ107</f>
        <v>840</v>
      </c>
      <c r="BK108" s="139">
        <f t="shared" ref="BK108" si="264">15*BK107</f>
        <v>855</v>
      </c>
      <c r="BL108" s="139">
        <f t="shared" ref="BL108" si="265">15*BL107</f>
        <v>870</v>
      </c>
      <c r="BM108" s="139">
        <f t="shared" ref="BM108" si="266">15*BM107</f>
        <v>885</v>
      </c>
      <c r="BN108" s="139">
        <f t="shared" ref="BN108" si="267">15*BN107</f>
        <v>900</v>
      </c>
      <c r="BO108" s="139">
        <f t="shared" ref="BO108" si="268">15*BO107</f>
        <v>915</v>
      </c>
      <c r="BP108" s="139">
        <f t="shared" ref="BP108" si="269">15*BP107</f>
        <v>930</v>
      </c>
      <c r="BQ108" s="139">
        <f t="shared" ref="BQ108" si="270">15*BQ107</f>
        <v>945</v>
      </c>
      <c r="BR108" s="139">
        <f t="shared" ref="BR108" si="271">15*BR107</f>
        <v>960</v>
      </c>
      <c r="BS108" s="139">
        <f t="shared" ref="BS108" si="272">15*BS107</f>
        <v>975</v>
      </c>
      <c r="BT108" s="139">
        <f t="shared" ref="BT108" si="273">15*BT107</f>
        <v>990</v>
      </c>
      <c r="BU108" s="139">
        <f t="shared" ref="BU108" si="274">15*BU107</f>
        <v>1005</v>
      </c>
      <c r="BV108" s="139">
        <f t="shared" ref="BV108" si="275">15*BV107</f>
        <v>1020</v>
      </c>
      <c r="BW108" s="139">
        <f t="shared" ref="BW108" si="276">15*BW107</f>
        <v>1035</v>
      </c>
      <c r="BX108" s="139">
        <f t="shared" ref="BX108" si="277">15*BX107</f>
        <v>1050</v>
      </c>
      <c r="BY108" s="139">
        <f t="shared" ref="BY108" si="278">15*BY107</f>
        <v>1065</v>
      </c>
      <c r="BZ108" s="139">
        <f t="shared" ref="BZ108" si="279">15*BZ107</f>
        <v>1080</v>
      </c>
      <c r="CA108" s="139">
        <f t="shared" ref="CA108" si="280">15*CA107</f>
        <v>1095</v>
      </c>
      <c r="CB108" s="139">
        <f t="shared" ref="CB108" si="281">15*CB107</f>
        <v>1110</v>
      </c>
      <c r="CC108" s="139">
        <f t="shared" ref="CC108" si="282">15*CC107</f>
        <v>1125</v>
      </c>
      <c r="CD108" s="139">
        <f t="shared" ref="CD108" si="283">15*CD107</f>
        <v>1140</v>
      </c>
      <c r="CE108" s="139">
        <f t="shared" ref="CE108" si="284">15*CE107</f>
        <v>1155</v>
      </c>
      <c r="CF108" s="139">
        <f t="shared" ref="CF108" si="285">15*CF107</f>
        <v>1170</v>
      </c>
      <c r="CG108" s="139">
        <f t="shared" ref="CG108" si="286">15*CG107</f>
        <v>1185</v>
      </c>
      <c r="CH108" s="139">
        <f t="shared" ref="CH108:CW108" si="287">15*CH107</f>
        <v>1200</v>
      </c>
      <c r="CI108" s="139">
        <f t="shared" si="287"/>
        <v>1215</v>
      </c>
      <c r="CJ108" s="139">
        <f t="shared" si="287"/>
        <v>1230</v>
      </c>
      <c r="CK108" s="139">
        <f t="shared" si="287"/>
        <v>1245</v>
      </c>
      <c r="CL108" s="139">
        <f t="shared" si="287"/>
        <v>1260</v>
      </c>
      <c r="CM108" s="139">
        <f t="shared" si="287"/>
        <v>1275</v>
      </c>
      <c r="CN108" s="139">
        <f t="shared" si="287"/>
        <v>1290</v>
      </c>
      <c r="CO108" s="139">
        <f t="shared" si="287"/>
        <v>1305</v>
      </c>
      <c r="CP108" s="139">
        <f t="shared" si="287"/>
        <v>1320</v>
      </c>
      <c r="CQ108" s="139">
        <f t="shared" si="287"/>
        <v>1335</v>
      </c>
      <c r="CR108" s="139">
        <f t="shared" si="287"/>
        <v>1350</v>
      </c>
      <c r="CS108" s="139">
        <f t="shared" si="287"/>
        <v>1365</v>
      </c>
      <c r="CT108" s="139">
        <f t="shared" si="287"/>
        <v>1380</v>
      </c>
      <c r="CU108" s="139">
        <f t="shared" si="287"/>
        <v>1395</v>
      </c>
      <c r="CV108" s="139">
        <f t="shared" si="287"/>
        <v>1410</v>
      </c>
      <c r="CW108" s="139">
        <f t="shared" si="287"/>
        <v>1425</v>
      </c>
    </row>
    <row r="109" spans="6:102" x14ac:dyDescent="0.4">
      <c r="F109" s="85" t="s">
        <v>154</v>
      </c>
      <c r="G109" s="85">
        <f>COUNTIFS('2023년 신조차 고장관리 세부현황'!$K:$K,"448R",'2023년 신조차 고장관리 세부현황'!$P:$P,"&gt;="&amp;G107,'2023년 신조차 고장관리 세부현황'!$P:$P,"&lt;"&amp;'트랜드 분석_15일'!G108,'2023년 신조차 고장관리 세부현황'!$BC:$BC,"완료")</f>
        <v>0</v>
      </c>
      <c r="H109" s="85">
        <f>COUNTIFS('2023년 신조차 고장관리 세부현황'!$K:$K,"448R",'2023년 신조차 고장관리 세부현황'!$P:$P,"&gt;="&amp;'트랜드 분석_15일'!G$27,'2023년 신조차 고장관리 세부현황'!$P:$P,"&lt;"&amp;'트랜드 분석_15일'!H$27,'2023년 신조차 고장관리 세부현황'!$BC:$BC,"완료")</f>
        <v>0</v>
      </c>
      <c r="I109" s="85">
        <f>COUNTIFS('2023년 신조차 고장관리 세부현황'!$K:$K,"448R",'2023년 신조차 고장관리 세부현황'!$P:$P,"&gt;="&amp;'트랜드 분석_15일'!H$27,'2023년 신조차 고장관리 세부현황'!$P:$P,"&lt;"&amp;'트랜드 분석_15일'!I$27,'2023년 신조차 고장관리 세부현황'!$BC:$BC,"완료")</f>
        <v>0</v>
      </c>
      <c r="J109" s="85">
        <f>COUNTIFS('2023년 신조차 고장관리 세부현황'!$K:$K,"448R",'2023년 신조차 고장관리 세부현황'!$P:$P,"&gt;="&amp;'트랜드 분석_15일'!I$27,'2023년 신조차 고장관리 세부현황'!$P:$P,"&lt;"&amp;'트랜드 분석_15일'!J$27,'2023년 신조차 고장관리 세부현황'!$BC:$BC,"완료")</f>
        <v>0</v>
      </c>
      <c r="K109" s="85">
        <f>COUNTIFS('2023년 신조차 고장관리 세부현황'!$K:$K,"448R",'2023년 신조차 고장관리 세부현황'!$P:$P,"&gt;="&amp;'트랜드 분석_15일'!J$27,'2023년 신조차 고장관리 세부현황'!$P:$P,"&lt;"&amp;'트랜드 분석_15일'!K$27,'2023년 신조차 고장관리 세부현황'!$BC:$BC,"완료")</f>
        <v>0</v>
      </c>
      <c r="L109" s="85">
        <f>COUNTIFS('2023년 신조차 고장관리 세부현황'!$K:$K,"448R",'2023년 신조차 고장관리 세부현황'!$P:$P,"&gt;="&amp;'트랜드 분석_15일'!K$27,'2023년 신조차 고장관리 세부현황'!$P:$P,"&lt;"&amp;'트랜드 분석_15일'!L$27,'2023년 신조차 고장관리 세부현황'!$BC:$BC,"완료")</f>
        <v>0</v>
      </c>
      <c r="M109" s="85">
        <f>COUNTIFS('2023년 신조차 고장관리 세부현황'!$K:$K,"448R",'2023년 신조차 고장관리 세부현황'!$P:$P,"&gt;="&amp;'트랜드 분석_15일'!L$27,'2023년 신조차 고장관리 세부현황'!$P:$P,"&lt;"&amp;'트랜드 분석_15일'!M$27,'2023년 신조차 고장관리 세부현황'!$BC:$BC,"완료")</f>
        <v>0</v>
      </c>
      <c r="N109" s="85">
        <f>COUNTIFS('2023년 신조차 고장관리 세부현황'!$K:$K,"448R",'2023년 신조차 고장관리 세부현황'!$P:$P,"&gt;="&amp;'트랜드 분석_15일'!M$27,'2023년 신조차 고장관리 세부현황'!$P:$P,"&lt;"&amp;'트랜드 분석_15일'!N$27,'2023년 신조차 고장관리 세부현황'!$BC:$BC,"완료")</f>
        <v>0</v>
      </c>
      <c r="O109" s="85">
        <f>COUNTIFS('2023년 신조차 고장관리 세부현황'!$K:$K,"448R",'2023년 신조차 고장관리 세부현황'!$P:$P,"&gt;="&amp;'트랜드 분석_15일'!N$27,'2023년 신조차 고장관리 세부현황'!$P:$P,"&lt;"&amp;'트랜드 분석_15일'!O$27,'2023년 신조차 고장관리 세부현황'!$BC:$BC,"완료")</f>
        <v>0</v>
      </c>
      <c r="P109" s="85">
        <f ca="1">COUNTIFS('2023년 신조차 고장관리 세부현황'!$K:$K,"448R",'2023년 신조차 고장관리 세부현황'!$P:$P,"&gt;="&amp;'트랜드 분석_15일'!O$27,'2023년 신조차 고장관리 세부현황'!$P:$P,"&lt;"&amp;'트랜드 분석_15일'!P$27,'2023년 신조차 고장관리 세부현황'!$BC:$BC,"완료")</f>
        <v>0</v>
      </c>
      <c r="Q109" s="85">
        <f ca="1">COUNTIFS('2023년 신조차 고장관리 세부현황'!$K:$K,"448R",'2023년 신조차 고장관리 세부현황'!$P:$P,"&gt;="&amp;'트랜드 분석_15일'!P$27,'2023년 신조차 고장관리 세부현황'!$P:$P,"&lt;"&amp;'트랜드 분석_15일'!Q$27,'2023년 신조차 고장관리 세부현황'!$BC:$BC,"완료")</f>
        <v>0</v>
      </c>
      <c r="R109" s="85">
        <f ca="1">COUNTIFS('2023년 신조차 고장관리 세부현황'!$K:$K,"448R",'2023년 신조차 고장관리 세부현황'!$P:$P,"&gt;="&amp;'트랜드 분석_15일'!Q$27,'2023년 신조차 고장관리 세부현황'!$P:$P,"&lt;"&amp;'트랜드 분석_15일'!R$27,'2023년 신조차 고장관리 세부현황'!$BC:$BC,"완료")</f>
        <v>2</v>
      </c>
      <c r="S109" s="85">
        <f ca="1">COUNTIFS('2023년 신조차 고장관리 세부현황'!$K:$K,"448R",'2023년 신조차 고장관리 세부현황'!$P:$P,"&gt;="&amp;'트랜드 분석_15일'!R$27,'2023년 신조차 고장관리 세부현황'!$P:$P,"&lt;"&amp;'트랜드 분석_15일'!S$27,'2023년 신조차 고장관리 세부현황'!$BC:$BC,"완료")</f>
        <v>2</v>
      </c>
      <c r="T109" s="85">
        <f ca="1">COUNTIFS('2023년 신조차 고장관리 세부현황'!$K:$K,"448R",'2023년 신조차 고장관리 세부현황'!$P:$P,"&gt;="&amp;'트랜드 분석_15일'!S$27,'2023년 신조차 고장관리 세부현황'!$P:$P,"&lt;"&amp;'트랜드 분석_15일'!T$27,'2023년 신조차 고장관리 세부현황'!$BC:$BC,"완료")</f>
        <v>0</v>
      </c>
      <c r="U109" s="85">
        <f>COUNTIFS('2023년 신조차 고장관리 세부현황'!$K:$K,"448R",'2023년 신조차 고장관리 세부현황'!$P:$P,"&gt;="&amp;'트랜드 분석_15일'!T$27,'2023년 신조차 고장관리 세부현황'!$P:$P,"&lt;"&amp;'트랜드 분석_15일'!U$27,'2023년 신조차 고장관리 세부현황'!$BC:$BC,"완료")</f>
        <v>0</v>
      </c>
      <c r="V109" s="85">
        <f>COUNTIFS('2023년 신조차 고장관리 세부현황'!$K:$K,"448R",'2023년 신조차 고장관리 세부현황'!$P:$P,"&gt;="&amp;'트랜드 분석_15일'!U$27,'2023년 신조차 고장관리 세부현황'!$P:$P,"&lt;"&amp;'트랜드 분석_15일'!V$27,'2023년 신조차 고장관리 세부현황'!$BC:$BC,"완료")</f>
        <v>0</v>
      </c>
      <c r="W109" s="85">
        <f ca="1">COUNTIFS('2023년 신조차 고장관리 세부현황'!$K:$K,"448R",'2023년 신조차 고장관리 세부현황'!$P:$P,"&gt;="&amp;'트랜드 분석_15일'!V$27,'2023년 신조차 고장관리 세부현황'!$P:$P,"&lt;"&amp;'트랜드 분석_15일'!W$27,'2023년 신조차 고장관리 세부현황'!$BC:$BC,"완료")</f>
        <v>2</v>
      </c>
      <c r="X109" s="85">
        <f ca="1">COUNTIFS('2023년 신조차 고장관리 세부현황'!$K:$K,"448R",'2023년 신조차 고장관리 세부현황'!$P:$P,"&gt;="&amp;'트랜드 분석_15일'!W$27,'2023년 신조차 고장관리 세부현황'!$P:$P,"&lt;"&amp;'트랜드 분석_15일'!X$27,'2023년 신조차 고장관리 세부현황'!$BC:$BC,"완료")</f>
        <v>0</v>
      </c>
      <c r="Y109" s="85">
        <f ca="1">COUNTIFS('2023년 신조차 고장관리 세부현황'!$K:$K,"448R",'2023년 신조차 고장관리 세부현황'!$P:$P,"&gt;="&amp;'트랜드 분석_15일'!X$27,'2023년 신조차 고장관리 세부현황'!$P:$P,"&lt;"&amp;'트랜드 분석_15일'!Y$27,'2023년 신조차 고장관리 세부현황'!$BC:$BC,"완료")</f>
        <v>2</v>
      </c>
      <c r="Z109" s="85">
        <f ca="1">COUNTIFS('2023년 신조차 고장관리 세부현황'!$K:$K,"448R",'2023년 신조차 고장관리 세부현황'!$P:$P,"&gt;="&amp;'트랜드 분석_15일'!Y$27,'2023년 신조차 고장관리 세부현황'!$P:$P,"&lt;"&amp;'트랜드 분석_15일'!Z$27,'2023년 신조차 고장관리 세부현황'!$BC:$BC,"완료")</f>
        <v>3</v>
      </c>
      <c r="AA109" s="85">
        <f ca="1">COUNTIFS('2023년 신조차 고장관리 세부현황'!$K:$K,"448R",'2023년 신조차 고장관리 세부현황'!$P:$P,"&gt;="&amp;'트랜드 분석_15일'!Z$27,'2023년 신조차 고장관리 세부현황'!$P:$P,"&lt;"&amp;'트랜드 분석_15일'!AA$27,'2023년 신조차 고장관리 세부현황'!$BC:$BC,"완료")</f>
        <v>0</v>
      </c>
      <c r="AB109" s="85">
        <f ca="1">COUNTIFS('2023년 신조차 고장관리 세부현황'!$K:$K,"448R",'2023년 신조차 고장관리 세부현황'!$P:$P,"&gt;="&amp;'트랜드 분석_15일'!AA$27,'2023년 신조차 고장관리 세부현황'!$P:$P,"&lt;"&amp;'트랜드 분석_15일'!AB$27,'2023년 신조차 고장관리 세부현황'!$BC:$BC,"완료")</f>
        <v>2</v>
      </c>
      <c r="AC109" s="85">
        <f ca="1">COUNTIFS('2023년 신조차 고장관리 세부현황'!$K:$K,"448R",'2023년 신조차 고장관리 세부현황'!$P:$P,"&gt;="&amp;'트랜드 분석_15일'!AB$27,'2023년 신조차 고장관리 세부현황'!$P:$P,"&lt;"&amp;'트랜드 분석_15일'!AC$27,'2023년 신조차 고장관리 세부현황'!$BC:$BC,"완료")</f>
        <v>1</v>
      </c>
      <c r="AD109" s="85">
        <f ca="1">COUNTIFS('2023년 신조차 고장관리 세부현황'!$K:$K,"448R",'2023년 신조차 고장관리 세부현황'!$P:$P,"&gt;="&amp;'트랜드 분석_15일'!AC$27,'2023년 신조차 고장관리 세부현황'!$P:$P,"&lt;"&amp;'트랜드 분석_15일'!AD$27,'2023년 신조차 고장관리 세부현황'!$BC:$BC,"완료")</f>
        <v>0</v>
      </c>
      <c r="AE109" s="85">
        <f ca="1">COUNTIFS('2023년 신조차 고장관리 세부현황'!$K:$K,"448R",'2023년 신조차 고장관리 세부현황'!$P:$P,"&gt;="&amp;'트랜드 분석_15일'!AD$27,'2023년 신조차 고장관리 세부현황'!$P:$P,"&lt;"&amp;'트랜드 분석_15일'!AE$27,'2023년 신조차 고장관리 세부현황'!$BC:$BC,"완료")</f>
        <v>1</v>
      </c>
      <c r="AF109" s="85">
        <f ca="1">COUNTIFS('2023년 신조차 고장관리 세부현황'!$K:$K,"448R",'2023년 신조차 고장관리 세부현황'!$P:$P,"&gt;="&amp;'트랜드 분석_15일'!AE$27,'2023년 신조차 고장관리 세부현황'!$P:$P,"&lt;"&amp;'트랜드 분석_15일'!AF$27,'2023년 신조차 고장관리 세부현황'!$BC:$BC,"완료")</f>
        <v>2</v>
      </c>
      <c r="AG109" s="85">
        <f ca="1">COUNTIFS('2023년 신조차 고장관리 세부현황'!$K:$K,"448R",'2023년 신조차 고장관리 세부현황'!$P:$P,"&gt;="&amp;'트랜드 분석_15일'!AF$27,'2023년 신조차 고장관리 세부현황'!$P:$P,"&lt;"&amp;'트랜드 분석_15일'!AG$27,'2023년 신조차 고장관리 세부현황'!$BC:$BC,"완료")</f>
        <v>0</v>
      </c>
      <c r="AH109" s="85">
        <f>COUNTIFS('2023년 신조차 고장관리 세부현황'!$K:$K,"448R",'2023년 신조차 고장관리 세부현황'!$P:$P,"&gt;="&amp;'트랜드 분석_15일'!AG$27,'2023년 신조차 고장관리 세부현황'!$P:$P,"&lt;"&amp;'트랜드 분석_15일'!AH$27,'2023년 신조차 고장관리 세부현황'!$BC:$BC,"완료")</f>
        <v>0</v>
      </c>
      <c r="AI109" s="85">
        <f>COUNTIFS('2023년 신조차 고장관리 세부현황'!$K:$K,"448R",'2023년 신조차 고장관리 세부현황'!$P:$P,"&gt;="&amp;'트랜드 분석_15일'!AH$27,'2023년 신조차 고장관리 세부현황'!$P:$P,"&lt;"&amp;'트랜드 분석_15일'!AI$27,'2023년 신조차 고장관리 세부현황'!$BC:$BC,"완료")</f>
        <v>0</v>
      </c>
      <c r="AJ109" s="85">
        <f>COUNTIFS('2023년 신조차 고장관리 세부현황'!$K:$K,"448R",'2023년 신조차 고장관리 세부현황'!$P:$P,"&gt;="&amp;'트랜드 분석_15일'!AI$27,'2023년 신조차 고장관리 세부현황'!$P:$P,"&lt;"&amp;'트랜드 분석_15일'!AJ$27,'2023년 신조차 고장관리 세부현황'!$BC:$BC,"완료")</f>
        <v>0</v>
      </c>
      <c r="AK109" s="85">
        <f ca="1">COUNTIFS('2023년 신조차 고장관리 세부현황'!$K:$K,"448R",'2023년 신조차 고장관리 세부현황'!$P:$P,"&gt;="&amp;'트랜드 분석_15일'!AJ$27,'2023년 신조차 고장관리 세부현황'!$P:$P,"&lt;"&amp;'트랜드 분석_15일'!AK$27,'2023년 신조차 고장관리 세부현황'!$BC:$BC,"완료")</f>
        <v>1</v>
      </c>
      <c r="AL109" s="85">
        <f ca="1">COUNTIFS('2023년 신조차 고장관리 세부현황'!$K:$K,"448R",'2023년 신조차 고장관리 세부현황'!$P:$P,"&gt;="&amp;'트랜드 분석_15일'!AK$27,'2023년 신조차 고장관리 세부현황'!$P:$P,"&lt;"&amp;'트랜드 분석_15일'!AL$27,'2023년 신조차 고장관리 세부현황'!$BC:$BC,"완료")</f>
        <v>0</v>
      </c>
      <c r="AM109" s="85">
        <f>COUNTIFS('2023년 신조차 고장관리 세부현황'!$K:$K,"448R",'2023년 신조차 고장관리 세부현황'!$P:$P,"&gt;="&amp;'트랜드 분석_15일'!AL$27,'2023년 신조차 고장관리 세부현황'!$P:$P,"&lt;"&amp;'트랜드 분석_15일'!AM$27,'2023년 신조차 고장관리 세부현황'!$BC:$BC,"완료")</f>
        <v>0</v>
      </c>
      <c r="AN109" s="85">
        <f>COUNTIFS('2023년 신조차 고장관리 세부현황'!$K:$K,"448R",'2023년 신조차 고장관리 세부현황'!$P:$P,"&gt;="&amp;'트랜드 분석_15일'!AM$27,'2023년 신조차 고장관리 세부현황'!$P:$P,"&lt;"&amp;'트랜드 분석_15일'!AN$27,'2023년 신조차 고장관리 세부현황'!$BC:$BC,"완료")</f>
        <v>0</v>
      </c>
      <c r="AO109" s="85">
        <f ca="1">COUNTIFS('2023년 신조차 고장관리 세부현황'!$K:$K,"448R",'2023년 신조차 고장관리 세부현황'!$P:$P,"&gt;="&amp;'트랜드 분석_15일'!AN$27,'2023년 신조차 고장관리 세부현황'!$P:$P,"&lt;"&amp;'트랜드 분석_15일'!AO$27,'2023년 신조차 고장관리 세부현황'!$BC:$BC,"완료")</f>
        <v>0</v>
      </c>
      <c r="AP109" s="85">
        <f>COUNTIFS('2023년 신조차 고장관리 세부현황'!$K:$K,"448R",'2023년 신조차 고장관리 세부현황'!$P:$P,"&gt;="&amp;'트랜드 분석_15일'!AO$27,'2023년 신조차 고장관리 세부현황'!$P:$P,"&lt;"&amp;'트랜드 분석_15일'!AP$27,'2023년 신조차 고장관리 세부현황'!$BC:$BC,"완료")</f>
        <v>0</v>
      </c>
      <c r="AQ109" s="85">
        <f ca="1">COUNTIFS('2023년 신조차 고장관리 세부현황'!$K:$K,"448R",'2023년 신조차 고장관리 세부현황'!$P:$P,"&gt;="&amp;'트랜드 분석_15일'!AP$27,'2023년 신조차 고장관리 세부현황'!$P:$P,"&lt;"&amp;'트랜드 분석_15일'!AQ$27,'2023년 신조차 고장관리 세부현황'!$BC:$BC,"완료")</f>
        <v>0</v>
      </c>
      <c r="AR109" s="85">
        <f>COUNTIFS('2023년 신조차 고장관리 세부현황'!$K:$K,"448R",'2023년 신조차 고장관리 세부현황'!$P:$P,"&gt;="&amp;'트랜드 분석_15일'!AQ$27,'2023년 신조차 고장관리 세부현황'!$P:$P,"&lt;"&amp;'트랜드 분석_15일'!AR$27,'2023년 신조차 고장관리 세부현황'!$BC:$BC,"완료")</f>
        <v>0</v>
      </c>
      <c r="AS109" s="85">
        <f>COUNTIFS('2023년 신조차 고장관리 세부현황'!$K:$K,"448R",'2023년 신조차 고장관리 세부현황'!$P:$P,"&gt;="&amp;'트랜드 분석_15일'!AR$27,'2023년 신조차 고장관리 세부현황'!$P:$P,"&lt;"&amp;'트랜드 분석_15일'!AS$27,'2023년 신조차 고장관리 세부현황'!$BC:$BC,"완료")</f>
        <v>0</v>
      </c>
      <c r="AT109" s="85">
        <f>COUNTIFS('2023년 신조차 고장관리 세부현황'!$K:$K,"448R",'2023년 신조차 고장관리 세부현황'!$P:$P,"&gt;="&amp;'트랜드 분석_15일'!AS$27,'2023년 신조차 고장관리 세부현황'!$P:$P,"&lt;"&amp;'트랜드 분석_15일'!AT$27,'2023년 신조차 고장관리 세부현황'!$BC:$BC,"완료")</f>
        <v>0</v>
      </c>
      <c r="AU109" s="85">
        <f>COUNTIFS('2023년 신조차 고장관리 세부현황'!$K:$K,"448R",'2023년 신조차 고장관리 세부현황'!$P:$P,"&gt;="&amp;'트랜드 분석_15일'!AT$27,'2023년 신조차 고장관리 세부현황'!$P:$P,"&lt;"&amp;'트랜드 분석_15일'!AU$27,'2023년 신조차 고장관리 세부현황'!$BC:$BC,"완료")</f>
        <v>0</v>
      </c>
      <c r="AV109" s="85">
        <f>COUNTIFS('2023년 신조차 고장관리 세부현황'!$K:$K,"448R",'2023년 신조차 고장관리 세부현황'!$P:$P,"&gt;="&amp;'트랜드 분석_15일'!AU$27,'2023년 신조차 고장관리 세부현황'!$P:$P,"&lt;"&amp;'트랜드 분석_15일'!AV$27,'2023년 신조차 고장관리 세부현황'!$BC:$BC,"완료")</f>
        <v>0</v>
      </c>
      <c r="AW109" s="85">
        <f>COUNTIFS('2023년 신조차 고장관리 세부현황'!$K:$K,"448R",'2023년 신조차 고장관리 세부현황'!$P:$P,"&gt;="&amp;'트랜드 분석_15일'!AV$27,'2023년 신조차 고장관리 세부현황'!$P:$P,"&lt;"&amp;'트랜드 분석_15일'!AW$27,'2023년 신조차 고장관리 세부현황'!$BC:$BC,"완료")</f>
        <v>0</v>
      </c>
      <c r="AX109" s="85">
        <f>COUNTIFS('2023년 신조차 고장관리 세부현황'!$K:$K,"448R",'2023년 신조차 고장관리 세부현황'!$P:$P,"&gt;="&amp;'트랜드 분석_15일'!AW$27,'2023년 신조차 고장관리 세부현황'!$P:$P,"&lt;"&amp;'트랜드 분석_15일'!AX$27,'2023년 신조차 고장관리 세부현황'!$BC:$BC,"완료")</f>
        <v>0</v>
      </c>
      <c r="AY109" s="85">
        <f>COUNTIFS('2023년 신조차 고장관리 세부현황'!$K:$K,"448R",'2023년 신조차 고장관리 세부현황'!$P:$P,"&gt;="&amp;'트랜드 분석_15일'!AX$27,'2023년 신조차 고장관리 세부현황'!$P:$P,"&lt;"&amp;'트랜드 분석_15일'!AY$27,'2023년 신조차 고장관리 세부현황'!$BC:$BC,"완료")</f>
        <v>0</v>
      </c>
      <c r="AZ109" s="85">
        <f>COUNTIFS('2023년 신조차 고장관리 세부현황'!$K:$K,"448R",'2023년 신조차 고장관리 세부현황'!$P:$P,"&gt;="&amp;'트랜드 분석_15일'!AY$27,'2023년 신조차 고장관리 세부현황'!$P:$P,"&lt;"&amp;'트랜드 분석_15일'!AZ$27,'2023년 신조차 고장관리 세부현황'!$BC:$BC,"완료")</f>
        <v>0</v>
      </c>
      <c r="BA109" s="85">
        <f>COUNTIFS('2023년 신조차 고장관리 세부현황'!$K:$K,"448R",'2023년 신조차 고장관리 세부현황'!$P:$P,"&gt;="&amp;'트랜드 분석_15일'!AZ$27,'2023년 신조차 고장관리 세부현황'!$P:$P,"&lt;"&amp;'트랜드 분석_15일'!BA$27,'2023년 신조차 고장관리 세부현황'!$BC:$BC,"완료")</f>
        <v>0</v>
      </c>
      <c r="BB109" s="85">
        <f>COUNTIFS('2023년 신조차 고장관리 세부현황'!$K:$K,"448R",'2023년 신조차 고장관리 세부현황'!$P:$P,"&gt;="&amp;'트랜드 분석_15일'!BA$27,'2023년 신조차 고장관리 세부현황'!$P:$P,"&lt;"&amp;'트랜드 분석_15일'!BB$27,'2023년 신조차 고장관리 세부현황'!$BC:$BC,"완료")</f>
        <v>0</v>
      </c>
      <c r="BC109" s="85">
        <f>COUNTIFS('2023년 신조차 고장관리 세부현황'!$K:$K,"448R",'2023년 신조차 고장관리 세부현황'!$P:$P,"&gt;="&amp;'트랜드 분석_15일'!BB$27,'2023년 신조차 고장관리 세부현황'!$P:$P,"&lt;"&amp;'트랜드 분석_15일'!BC$27,'2023년 신조차 고장관리 세부현황'!$BC:$BC,"완료")</f>
        <v>0</v>
      </c>
      <c r="BD109" s="85">
        <f>COUNTIFS('2023년 신조차 고장관리 세부현황'!$K:$K,"448R",'2023년 신조차 고장관리 세부현황'!$P:$P,"&gt;="&amp;'트랜드 분석_15일'!BC$27,'2023년 신조차 고장관리 세부현황'!$P:$P,"&lt;"&amp;'트랜드 분석_15일'!BD$27,'2023년 신조차 고장관리 세부현황'!$BC:$BC,"완료")</f>
        <v>0</v>
      </c>
      <c r="BE109" s="85">
        <f>COUNTIFS('2023년 신조차 고장관리 세부현황'!$K:$K,"448R",'2023년 신조차 고장관리 세부현황'!$P:$P,"&gt;="&amp;'트랜드 분석_15일'!BD$27,'2023년 신조차 고장관리 세부현황'!$P:$P,"&lt;"&amp;'트랜드 분석_15일'!BE$27,'2023년 신조차 고장관리 세부현황'!$BC:$BC,"완료")</f>
        <v>0</v>
      </c>
      <c r="BF109" s="85">
        <f>COUNTIFS('2023년 신조차 고장관리 세부현황'!$K:$K,"448R",'2023년 신조차 고장관리 세부현황'!$P:$P,"&gt;="&amp;'트랜드 분석_15일'!BE$27,'2023년 신조차 고장관리 세부현황'!$P:$P,"&lt;"&amp;'트랜드 분석_15일'!BF$27,'2023년 신조차 고장관리 세부현황'!$BC:$BC,"완료")</f>
        <v>0</v>
      </c>
      <c r="BG109" s="85">
        <f>COUNTIFS('2023년 신조차 고장관리 세부현황'!$K:$K,"448R",'2023년 신조차 고장관리 세부현황'!$P:$P,"&gt;="&amp;'트랜드 분석_15일'!BF$27,'2023년 신조차 고장관리 세부현황'!$P:$P,"&lt;"&amp;'트랜드 분석_15일'!BG$27,'2023년 신조차 고장관리 세부현황'!$BC:$BC,"완료")</f>
        <v>0</v>
      </c>
      <c r="BH109" s="85">
        <f>COUNTIFS('2023년 신조차 고장관리 세부현황'!$K:$K,"448R",'2023년 신조차 고장관리 세부현황'!$P:$P,"&gt;="&amp;'트랜드 분석_15일'!BG$27,'2023년 신조차 고장관리 세부현황'!$P:$P,"&lt;"&amp;'트랜드 분석_15일'!BH$27,'2023년 신조차 고장관리 세부현황'!$BC:$BC,"완료")</f>
        <v>0</v>
      </c>
      <c r="BI109" s="85">
        <f>COUNTIFS('2023년 신조차 고장관리 세부현황'!$K:$K,"448R",'2023년 신조차 고장관리 세부현황'!$P:$P,"&gt;="&amp;'트랜드 분석_15일'!BH$27,'2023년 신조차 고장관리 세부현황'!$P:$P,"&lt;"&amp;'트랜드 분석_15일'!BI$27,'2023년 신조차 고장관리 세부현황'!$BC:$BC,"완료")</f>
        <v>0</v>
      </c>
      <c r="BJ109" s="85">
        <f>COUNTIFS('2023년 신조차 고장관리 세부현황'!$K:$K,"448R",'2023년 신조차 고장관리 세부현황'!$P:$P,"&gt;="&amp;'트랜드 분석_15일'!BI$27,'2023년 신조차 고장관리 세부현황'!$P:$P,"&lt;"&amp;'트랜드 분석_15일'!BJ$27,'2023년 신조차 고장관리 세부현황'!$BC:$BC,"완료")</f>
        <v>0</v>
      </c>
      <c r="BK109" s="85">
        <f>COUNTIFS('2023년 신조차 고장관리 세부현황'!$K:$K,"448R",'2023년 신조차 고장관리 세부현황'!$P:$P,"&gt;="&amp;'트랜드 분석_15일'!BJ$27,'2023년 신조차 고장관리 세부현황'!$P:$P,"&lt;"&amp;'트랜드 분석_15일'!BK$27,'2023년 신조차 고장관리 세부현황'!$BC:$BC,"완료")</f>
        <v>0</v>
      </c>
      <c r="BL109" s="85">
        <f>COUNTIFS('2023년 신조차 고장관리 세부현황'!$K:$K,"448R",'2023년 신조차 고장관리 세부현황'!$P:$P,"&gt;="&amp;'트랜드 분석_15일'!BK$27,'2023년 신조차 고장관리 세부현황'!$P:$P,"&lt;"&amp;'트랜드 분석_15일'!BL$27,'2023년 신조차 고장관리 세부현황'!$BC:$BC,"완료")</f>
        <v>0</v>
      </c>
      <c r="BM109" s="85">
        <f>COUNTIFS('2023년 신조차 고장관리 세부현황'!$K:$K,"448R",'2023년 신조차 고장관리 세부현황'!$P:$P,"&gt;="&amp;'트랜드 분석_15일'!BL$27,'2023년 신조차 고장관리 세부현황'!$P:$P,"&lt;"&amp;'트랜드 분석_15일'!BM$27,'2023년 신조차 고장관리 세부현황'!$BC:$BC,"완료")</f>
        <v>0</v>
      </c>
      <c r="BN109" s="85">
        <f>COUNTIFS('2023년 신조차 고장관리 세부현황'!$K:$K,"448R",'2023년 신조차 고장관리 세부현황'!$P:$P,"&gt;="&amp;'트랜드 분석_15일'!BM$27,'2023년 신조차 고장관리 세부현황'!$P:$P,"&lt;"&amp;'트랜드 분석_15일'!BN$27,'2023년 신조차 고장관리 세부현황'!$BC:$BC,"완료")</f>
        <v>0</v>
      </c>
      <c r="BO109" s="85">
        <f>COUNTIFS('2023년 신조차 고장관리 세부현황'!$K:$K,"448R",'2023년 신조차 고장관리 세부현황'!$P:$P,"&gt;="&amp;'트랜드 분석_15일'!BN$27,'2023년 신조차 고장관리 세부현황'!$P:$P,"&lt;"&amp;'트랜드 분석_15일'!BO$27,'2023년 신조차 고장관리 세부현황'!$BC:$BC,"완료")</f>
        <v>0</v>
      </c>
      <c r="BP109" s="85">
        <f>COUNTIFS('2023년 신조차 고장관리 세부현황'!$K:$K,"448R",'2023년 신조차 고장관리 세부현황'!$P:$P,"&gt;="&amp;'트랜드 분석_15일'!BO$27,'2023년 신조차 고장관리 세부현황'!$P:$P,"&lt;"&amp;'트랜드 분석_15일'!BP$27,'2023년 신조차 고장관리 세부현황'!$BC:$BC,"완료")</f>
        <v>0</v>
      </c>
      <c r="BQ109" s="85">
        <f>COUNTIFS('2023년 신조차 고장관리 세부현황'!$K:$K,"448R",'2023년 신조차 고장관리 세부현황'!$P:$P,"&gt;="&amp;'트랜드 분석_15일'!BP$27,'2023년 신조차 고장관리 세부현황'!$P:$P,"&lt;"&amp;'트랜드 분석_15일'!BQ$27,'2023년 신조차 고장관리 세부현황'!$BC:$BC,"완료")</f>
        <v>0</v>
      </c>
      <c r="BR109" s="85">
        <f>COUNTIFS('2023년 신조차 고장관리 세부현황'!$K:$K,"448R",'2023년 신조차 고장관리 세부현황'!$P:$P,"&gt;="&amp;'트랜드 분석_15일'!BQ$27,'2023년 신조차 고장관리 세부현황'!$P:$P,"&lt;"&amp;'트랜드 분석_15일'!BR$27,'2023년 신조차 고장관리 세부현황'!$BC:$BC,"완료")</f>
        <v>0</v>
      </c>
      <c r="BS109" s="85">
        <f>COUNTIFS('2023년 신조차 고장관리 세부현황'!$K:$K,"448R",'2023년 신조차 고장관리 세부현황'!$P:$P,"&gt;="&amp;'트랜드 분석_15일'!BR$27,'2023년 신조차 고장관리 세부현황'!$P:$P,"&lt;"&amp;'트랜드 분석_15일'!BS$27,'2023년 신조차 고장관리 세부현황'!$BC:$BC,"완료")</f>
        <v>0</v>
      </c>
      <c r="BT109" s="85">
        <f>COUNTIFS('2023년 신조차 고장관리 세부현황'!$K:$K,"448R",'2023년 신조차 고장관리 세부현황'!$P:$P,"&gt;="&amp;'트랜드 분석_15일'!BS$27,'2023년 신조차 고장관리 세부현황'!$P:$P,"&lt;"&amp;'트랜드 분석_15일'!BT$27,'2023년 신조차 고장관리 세부현황'!$BC:$BC,"완료")</f>
        <v>0</v>
      </c>
      <c r="BU109" s="85">
        <f>COUNTIFS('2023년 신조차 고장관리 세부현황'!$K:$K,"448R",'2023년 신조차 고장관리 세부현황'!$P:$P,"&gt;="&amp;'트랜드 분석_15일'!BT$27,'2023년 신조차 고장관리 세부현황'!$P:$P,"&lt;"&amp;'트랜드 분석_15일'!BU$27,'2023년 신조차 고장관리 세부현황'!$BC:$BC,"완료")</f>
        <v>0</v>
      </c>
      <c r="BV109" s="85">
        <f>COUNTIFS('2023년 신조차 고장관리 세부현황'!$K:$K,"448R",'2023년 신조차 고장관리 세부현황'!$P:$P,"&gt;="&amp;'트랜드 분석_15일'!BU$27,'2023년 신조차 고장관리 세부현황'!$P:$P,"&lt;"&amp;'트랜드 분석_15일'!BV$27,'2023년 신조차 고장관리 세부현황'!$BC:$BC,"완료")</f>
        <v>0</v>
      </c>
      <c r="BW109" s="85">
        <f>COUNTIFS('2023년 신조차 고장관리 세부현황'!$K:$K,"448R",'2023년 신조차 고장관리 세부현황'!$P:$P,"&gt;="&amp;'트랜드 분석_15일'!BV$27,'2023년 신조차 고장관리 세부현황'!$P:$P,"&lt;"&amp;'트랜드 분석_15일'!BW$27,'2023년 신조차 고장관리 세부현황'!$BC:$BC,"완료")</f>
        <v>0</v>
      </c>
      <c r="BX109" s="85">
        <f>COUNTIFS('2023년 신조차 고장관리 세부현황'!$K:$K,"448R",'2023년 신조차 고장관리 세부현황'!$P:$P,"&gt;="&amp;'트랜드 분석_15일'!BW$27,'2023년 신조차 고장관리 세부현황'!$P:$P,"&lt;"&amp;'트랜드 분석_15일'!BX$27,'2023년 신조차 고장관리 세부현황'!$BC:$BC,"완료")</f>
        <v>0</v>
      </c>
      <c r="BY109" s="85">
        <f>COUNTIFS('2023년 신조차 고장관리 세부현황'!$K:$K,"448R",'2023년 신조차 고장관리 세부현황'!$P:$P,"&gt;="&amp;'트랜드 분석_15일'!BX$27,'2023년 신조차 고장관리 세부현황'!$P:$P,"&lt;"&amp;'트랜드 분석_15일'!BY$27,'2023년 신조차 고장관리 세부현황'!$BC:$BC,"완료")</f>
        <v>0</v>
      </c>
      <c r="BZ109" s="85">
        <f>COUNTIFS('2023년 신조차 고장관리 세부현황'!$K:$K,"448R",'2023년 신조차 고장관리 세부현황'!$P:$P,"&gt;="&amp;'트랜드 분석_15일'!BY$27,'2023년 신조차 고장관리 세부현황'!$P:$P,"&lt;"&amp;'트랜드 분석_15일'!BZ$27,'2023년 신조차 고장관리 세부현황'!$BC:$BC,"완료")</f>
        <v>0</v>
      </c>
      <c r="CA109" s="85">
        <f>COUNTIFS('2023년 신조차 고장관리 세부현황'!$K:$K,"448R",'2023년 신조차 고장관리 세부현황'!$P:$P,"&gt;="&amp;'트랜드 분석_15일'!BZ$27,'2023년 신조차 고장관리 세부현황'!$P:$P,"&lt;"&amp;'트랜드 분석_15일'!CA$27,'2023년 신조차 고장관리 세부현황'!$BC:$BC,"완료")</f>
        <v>0</v>
      </c>
      <c r="CB109" s="85">
        <f>COUNTIFS('2023년 신조차 고장관리 세부현황'!$K:$K,"448R",'2023년 신조차 고장관리 세부현황'!$P:$P,"&gt;="&amp;'트랜드 분석_15일'!CA$27,'2023년 신조차 고장관리 세부현황'!$P:$P,"&lt;"&amp;'트랜드 분석_15일'!CB$27,'2023년 신조차 고장관리 세부현황'!$BC:$BC,"완료")</f>
        <v>0</v>
      </c>
      <c r="CC109" s="85">
        <f>COUNTIFS('2023년 신조차 고장관리 세부현황'!$K:$K,"448R",'2023년 신조차 고장관리 세부현황'!$P:$P,"&gt;="&amp;'트랜드 분석_15일'!CB$27,'2023년 신조차 고장관리 세부현황'!$P:$P,"&lt;"&amp;'트랜드 분석_15일'!CC$27,'2023년 신조차 고장관리 세부현황'!$BC:$BC,"완료")</f>
        <v>0</v>
      </c>
      <c r="CD109" s="85">
        <f>COUNTIFS('2023년 신조차 고장관리 세부현황'!$K:$K,"448R",'2023년 신조차 고장관리 세부현황'!$P:$P,"&gt;="&amp;'트랜드 분석_15일'!CC$27,'2023년 신조차 고장관리 세부현황'!$P:$P,"&lt;"&amp;'트랜드 분석_15일'!CD$27,'2023년 신조차 고장관리 세부현황'!$BC:$BC,"완료")</f>
        <v>0</v>
      </c>
      <c r="CE109" s="85">
        <f>COUNTIFS('2023년 신조차 고장관리 세부현황'!$K:$K,"448R",'2023년 신조차 고장관리 세부현황'!$P:$P,"&gt;="&amp;'트랜드 분석_15일'!CD$27,'2023년 신조차 고장관리 세부현황'!$P:$P,"&lt;"&amp;'트랜드 분석_15일'!CE$27,'2023년 신조차 고장관리 세부현황'!$BC:$BC,"완료")</f>
        <v>0</v>
      </c>
      <c r="CF109" s="85">
        <f>COUNTIFS('2023년 신조차 고장관리 세부현황'!$K:$K,"448R",'2023년 신조차 고장관리 세부현황'!$P:$P,"&gt;="&amp;'트랜드 분석_15일'!CE$27,'2023년 신조차 고장관리 세부현황'!$P:$P,"&lt;"&amp;'트랜드 분석_15일'!CF$27,'2023년 신조차 고장관리 세부현황'!$BC:$BC,"완료")</f>
        <v>0</v>
      </c>
      <c r="CG109" s="85">
        <f>COUNTIFS('2023년 신조차 고장관리 세부현황'!$K:$K,"448R",'2023년 신조차 고장관리 세부현황'!$P:$P,"&gt;="&amp;'트랜드 분석_15일'!CF$27,'2023년 신조차 고장관리 세부현황'!$P:$P,"&lt;"&amp;'트랜드 분석_15일'!CG$27,'2023년 신조차 고장관리 세부현황'!$BC:$BC,"완료")</f>
        <v>0</v>
      </c>
      <c r="CH109" s="85">
        <f>COUNTIFS('2023년 신조차 고장관리 세부현황'!$K:$K,"448R",'2023년 신조차 고장관리 세부현황'!$P:$P,"&gt;="&amp;'트랜드 분석_15일'!CG$27,'2023년 신조차 고장관리 세부현황'!$P:$P,"&lt;"&amp;'트랜드 분석_15일'!CH$27,'2023년 신조차 고장관리 세부현황'!$BC:$BC,"완료")</f>
        <v>0</v>
      </c>
      <c r="CI109" s="85">
        <f>COUNTIFS('2023년 신조차 고장관리 세부현황'!$K:$K,"448R",'2023년 신조차 고장관리 세부현황'!$P:$P,"&gt;="&amp;'트랜드 분석_15일'!CH$27,'2023년 신조차 고장관리 세부현황'!$P:$P,"&lt;"&amp;'트랜드 분석_15일'!CI$27,'2023년 신조차 고장관리 세부현황'!$BC:$BC,"완료")</f>
        <v>0</v>
      </c>
      <c r="CJ109" s="85">
        <f>COUNTIFS('2023년 신조차 고장관리 세부현황'!$K:$K,"448R",'2023년 신조차 고장관리 세부현황'!$P:$P,"&gt;="&amp;'트랜드 분석_15일'!CI$27,'2023년 신조차 고장관리 세부현황'!$P:$P,"&lt;"&amp;'트랜드 분석_15일'!CJ$27,'2023년 신조차 고장관리 세부현황'!$BC:$BC,"완료")</f>
        <v>0</v>
      </c>
      <c r="CK109" s="85">
        <f>COUNTIFS('2023년 신조차 고장관리 세부현황'!$K:$K,"448R",'2023년 신조차 고장관리 세부현황'!$P:$P,"&gt;="&amp;'트랜드 분석_15일'!CJ$27,'2023년 신조차 고장관리 세부현황'!$P:$P,"&lt;"&amp;'트랜드 분석_15일'!CK$27,'2023년 신조차 고장관리 세부현황'!$BC:$BC,"완료")</f>
        <v>0</v>
      </c>
      <c r="CL109" s="85">
        <f>COUNTIFS('2023년 신조차 고장관리 세부현황'!$K:$K,"448R",'2023년 신조차 고장관리 세부현황'!$P:$P,"&gt;="&amp;'트랜드 분석_15일'!CK$27,'2023년 신조차 고장관리 세부현황'!$P:$P,"&lt;"&amp;'트랜드 분석_15일'!CL$27,'2023년 신조차 고장관리 세부현황'!$BC:$BC,"완료")</f>
        <v>0</v>
      </c>
      <c r="CM109" s="85">
        <f>COUNTIFS('2023년 신조차 고장관리 세부현황'!$K:$K,"448R",'2023년 신조차 고장관리 세부현황'!$P:$P,"&gt;="&amp;'트랜드 분석_15일'!CL$27,'2023년 신조차 고장관리 세부현황'!$P:$P,"&lt;"&amp;'트랜드 분석_15일'!CM$27,'2023년 신조차 고장관리 세부현황'!$BC:$BC,"완료")</f>
        <v>0</v>
      </c>
      <c r="CN109" s="85">
        <f>COUNTIFS('2023년 신조차 고장관리 세부현황'!$K:$K,"448R",'2023년 신조차 고장관리 세부현황'!$P:$P,"&gt;="&amp;'트랜드 분석_15일'!CM$27,'2023년 신조차 고장관리 세부현황'!$P:$P,"&lt;"&amp;'트랜드 분석_15일'!CN$27,'2023년 신조차 고장관리 세부현황'!$BC:$BC,"완료")</f>
        <v>0</v>
      </c>
      <c r="CO109" s="85">
        <f>COUNTIFS('2023년 신조차 고장관리 세부현황'!$K:$K,"448R",'2023년 신조차 고장관리 세부현황'!$P:$P,"&gt;="&amp;'트랜드 분석_15일'!CN$27,'2023년 신조차 고장관리 세부현황'!$P:$P,"&lt;"&amp;'트랜드 분석_15일'!CO$27,'2023년 신조차 고장관리 세부현황'!$BC:$BC,"완료")</f>
        <v>0</v>
      </c>
      <c r="CP109" s="85">
        <f>COUNTIFS('2023년 신조차 고장관리 세부현황'!$K:$K,"448R",'2023년 신조차 고장관리 세부현황'!$P:$P,"&gt;="&amp;'트랜드 분석_15일'!CO$27,'2023년 신조차 고장관리 세부현황'!$P:$P,"&lt;"&amp;'트랜드 분석_15일'!CP$27,'2023년 신조차 고장관리 세부현황'!$BC:$BC,"완료")</f>
        <v>0</v>
      </c>
      <c r="CQ109" s="85">
        <f>COUNTIFS('2023년 신조차 고장관리 세부현황'!$K:$K,"448R",'2023년 신조차 고장관리 세부현황'!$P:$P,"&gt;="&amp;'트랜드 분석_15일'!CP$27,'2023년 신조차 고장관리 세부현황'!$P:$P,"&lt;"&amp;'트랜드 분석_15일'!CQ$27,'2023년 신조차 고장관리 세부현황'!$BC:$BC,"완료")</f>
        <v>0</v>
      </c>
      <c r="CR109" s="85">
        <f>COUNTIFS('2023년 신조차 고장관리 세부현황'!$K:$K,"448R",'2023년 신조차 고장관리 세부현황'!$P:$P,"&gt;="&amp;'트랜드 분석_15일'!CQ$27,'2023년 신조차 고장관리 세부현황'!$P:$P,"&lt;"&amp;'트랜드 분석_15일'!CR$27,'2023년 신조차 고장관리 세부현황'!$BC:$BC,"완료")</f>
        <v>0</v>
      </c>
      <c r="CS109" s="85">
        <f>COUNTIFS('2023년 신조차 고장관리 세부현황'!$K:$K,"448R",'2023년 신조차 고장관리 세부현황'!$P:$P,"&gt;="&amp;'트랜드 분석_15일'!CR$27,'2023년 신조차 고장관리 세부현황'!$P:$P,"&lt;"&amp;'트랜드 분석_15일'!CS$27,'2023년 신조차 고장관리 세부현황'!$BC:$BC,"완료")</f>
        <v>0</v>
      </c>
      <c r="CT109" s="85">
        <f>COUNTIFS('2023년 신조차 고장관리 세부현황'!$K:$K,"448R",'2023년 신조차 고장관리 세부현황'!$P:$P,"&gt;="&amp;'트랜드 분석_15일'!CS$27,'2023년 신조차 고장관리 세부현황'!$P:$P,"&lt;"&amp;'트랜드 분석_15일'!CT$27,'2023년 신조차 고장관리 세부현황'!$BC:$BC,"완료")</f>
        <v>0</v>
      </c>
      <c r="CU109" s="85">
        <f>COUNTIFS('2023년 신조차 고장관리 세부현황'!$K:$K,"448R",'2023년 신조차 고장관리 세부현황'!$P:$P,"&gt;="&amp;'트랜드 분석_15일'!CT$27,'2023년 신조차 고장관리 세부현황'!$P:$P,"&lt;"&amp;'트랜드 분석_15일'!CU$27,'2023년 신조차 고장관리 세부현황'!$BC:$BC,"완료")</f>
        <v>0</v>
      </c>
      <c r="CV109" s="85">
        <f>COUNTIFS('2023년 신조차 고장관리 세부현황'!$K:$K,"448R",'2023년 신조차 고장관리 세부현황'!$P:$P,"&gt;="&amp;'트랜드 분석_15일'!CU$27,'2023년 신조차 고장관리 세부현황'!$P:$P,"&lt;"&amp;'트랜드 분석_15일'!CV$27,'2023년 신조차 고장관리 세부현황'!$BC:$BC,"완료")</f>
        <v>0</v>
      </c>
      <c r="CW109" s="85">
        <f>COUNTIFS('2023년 신조차 고장관리 세부현황'!$K:$K,"448R",'2023년 신조차 고장관리 세부현황'!$P:$P,"&gt;="&amp;'트랜드 분석_15일'!CV$27,'2023년 신조차 고장관리 세부현황'!$P:$P,"&lt;"&amp;'트랜드 분석_15일'!CW$27,'2023년 신조차 고장관리 세부현황'!$BC:$BC,"완료")</f>
        <v>0</v>
      </c>
      <c r="CX109">
        <f ca="1">SUM(G109:CW109)</f>
        <v>18</v>
      </c>
    </row>
    <row r="110" spans="6:102" x14ac:dyDescent="0.4">
      <c r="F110" s="85" t="s">
        <v>164</v>
      </c>
      <c r="G110" s="85">
        <f>COUNTIFS('2023년 신조차 고장관리 세부현황'!$K:$K,"448R",'2023년 신조차 고장관리 세부현황'!$P:$P,"&gt;="&amp;$G$26,'2023년 신조차 고장관리 세부현황'!$P:$P,"&lt;"&amp;'트랜드 분석_15일'!G$27,'2023년 신조차 고장관리 세부현황'!$S:$S,'트랜드 분석_15일'!$F110,'2023년 신조차 고장관리 세부현황'!$BC:$BC,"완료")</f>
        <v>0</v>
      </c>
      <c r="H110"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분석_15일'!$F110,'2023년 신조차 고장관리 세부현황'!$BC:$BC,"완료")</f>
        <v>0</v>
      </c>
      <c r="I110"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분석_15일'!$F110,'2023년 신조차 고장관리 세부현황'!$BC:$BC,"완료")</f>
        <v>0</v>
      </c>
      <c r="J110"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분석_15일'!$F110,'2023년 신조차 고장관리 세부현황'!$BC:$BC,"완료")</f>
        <v>0</v>
      </c>
      <c r="K110"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분석_15일'!$F110,'2023년 신조차 고장관리 세부현황'!$BC:$BC,"완료")</f>
        <v>0</v>
      </c>
      <c r="L110"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분석_15일'!$F110,'2023년 신조차 고장관리 세부현황'!$BC:$BC,"완료")</f>
        <v>0</v>
      </c>
      <c r="M110"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분석_15일'!$F110,'2023년 신조차 고장관리 세부현황'!$BC:$BC,"완료")</f>
        <v>0</v>
      </c>
      <c r="N110"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분석_15일'!$F110,'2023년 신조차 고장관리 세부현황'!$BC:$BC,"완료")</f>
        <v>0</v>
      </c>
      <c r="O110"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분석_15일'!$F110,'2023년 신조차 고장관리 세부현황'!$BC:$BC,"완료")</f>
        <v>0</v>
      </c>
      <c r="P110"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분석_15일'!$F110,'2023년 신조차 고장관리 세부현황'!$BC:$BC,"완료")</f>
        <v>0</v>
      </c>
      <c r="Q110"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분석_15일'!$F110,'2023년 신조차 고장관리 세부현황'!$BC:$BC,"완료")</f>
        <v>0</v>
      </c>
      <c r="R110"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분석_15일'!$F110,'2023년 신조차 고장관리 세부현황'!$BC:$BC,"완료")</f>
        <v>0</v>
      </c>
      <c r="S110"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분석_15일'!$F110,'2023년 신조차 고장관리 세부현황'!$BC:$BC,"완료")</f>
        <v>0</v>
      </c>
      <c r="T110"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분석_15일'!$F110,'2023년 신조차 고장관리 세부현황'!$BC:$BC,"완료")</f>
        <v>0</v>
      </c>
      <c r="U110"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분석_15일'!$F110,'2023년 신조차 고장관리 세부현황'!$BC:$BC,"완료")</f>
        <v>0</v>
      </c>
      <c r="V110"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분석_15일'!$F110,'2023년 신조차 고장관리 세부현황'!$BC:$BC,"완료")</f>
        <v>0</v>
      </c>
      <c r="W110"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분석_15일'!$F110,'2023년 신조차 고장관리 세부현황'!$BC:$BC,"완료")</f>
        <v>0</v>
      </c>
      <c r="X110"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분석_15일'!$F110,'2023년 신조차 고장관리 세부현황'!$BC:$BC,"완료")</f>
        <v>0</v>
      </c>
      <c r="Y110"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분석_15일'!$F110,'2023년 신조차 고장관리 세부현황'!$BC:$BC,"완료")</f>
        <v>0</v>
      </c>
      <c r="Z110"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분석_15일'!$F110,'2023년 신조차 고장관리 세부현황'!$BC:$BC,"완료")</f>
        <v>0</v>
      </c>
      <c r="AA110"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분석_15일'!$F110,'2023년 신조차 고장관리 세부현황'!$BC:$BC,"완료")</f>
        <v>0</v>
      </c>
      <c r="AB110"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분석_15일'!$F110,'2023년 신조차 고장관리 세부현황'!$BC:$BC,"완료")</f>
        <v>0</v>
      </c>
      <c r="AC110"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분석_15일'!$F110,'2023년 신조차 고장관리 세부현황'!$BC:$BC,"완료")</f>
        <v>0</v>
      </c>
      <c r="AD110"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분석_15일'!$F110,'2023년 신조차 고장관리 세부현황'!$BC:$BC,"완료")</f>
        <v>0</v>
      </c>
      <c r="AE110"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분석_15일'!$F110,'2023년 신조차 고장관리 세부현황'!$BC:$BC,"완료")</f>
        <v>0</v>
      </c>
      <c r="AF110"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분석_15일'!$F110,'2023년 신조차 고장관리 세부현황'!$BC:$BC,"완료")</f>
        <v>0</v>
      </c>
      <c r="AG110"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분석_15일'!$F110,'2023년 신조차 고장관리 세부현황'!$BC:$BC,"완료")</f>
        <v>0</v>
      </c>
      <c r="AH110"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분석_15일'!$F110,'2023년 신조차 고장관리 세부현황'!$BC:$BC,"완료")</f>
        <v>0</v>
      </c>
      <c r="AI110"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분석_15일'!$F110,'2023년 신조차 고장관리 세부현황'!$BC:$BC,"완료")</f>
        <v>0</v>
      </c>
      <c r="AJ110"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분석_15일'!$F110,'2023년 신조차 고장관리 세부현황'!$BC:$BC,"완료")</f>
        <v>0</v>
      </c>
      <c r="AK110"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분석_15일'!$F110,'2023년 신조차 고장관리 세부현황'!$BC:$BC,"완료")</f>
        <v>0</v>
      </c>
      <c r="AL110"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분석_15일'!$F110,'2023년 신조차 고장관리 세부현황'!$BC:$BC,"완료")</f>
        <v>0</v>
      </c>
      <c r="AM110"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분석_15일'!$F110,'2023년 신조차 고장관리 세부현황'!$BC:$BC,"완료")</f>
        <v>0</v>
      </c>
      <c r="AN110"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분석_15일'!$F110,'2023년 신조차 고장관리 세부현황'!$BC:$BC,"완료")</f>
        <v>0</v>
      </c>
      <c r="AO110"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분석_15일'!$F110,'2023년 신조차 고장관리 세부현황'!$BC:$BC,"완료")</f>
        <v>0</v>
      </c>
      <c r="AP110"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분석_15일'!$F110,'2023년 신조차 고장관리 세부현황'!$BC:$BC,"완료")</f>
        <v>0</v>
      </c>
      <c r="AQ110"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분석_15일'!$F110,'2023년 신조차 고장관리 세부현황'!$BC:$BC,"완료")</f>
        <v>0</v>
      </c>
      <c r="AR110"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분석_15일'!$F110,'2023년 신조차 고장관리 세부현황'!$BC:$BC,"완료")</f>
        <v>0</v>
      </c>
      <c r="AS110"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분석_15일'!$F110,'2023년 신조차 고장관리 세부현황'!$BC:$BC,"완료")</f>
        <v>0</v>
      </c>
      <c r="AT110"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분석_15일'!$F110,'2023년 신조차 고장관리 세부현황'!$BC:$BC,"완료")</f>
        <v>0</v>
      </c>
      <c r="AU110"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분석_15일'!$F110,'2023년 신조차 고장관리 세부현황'!$BC:$BC,"완료")</f>
        <v>0</v>
      </c>
      <c r="AV110"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분석_15일'!$F110,'2023년 신조차 고장관리 세부현황'!$BC:$BC,"완료")</f>
        <v>0</v>
      </c>
      <c r="AW110"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분석_15일'!$F110,'2023년 신조차 고장관리 세부현황'!$BC:$BC,"완료")</f>
        <v>0</v>
      </c>
      <c r="AX110"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분석_15일'!$F110,'2023년 신조차 고장관리 세부현황'!$BC:$BC,"완료")</f>
        <v>0</v>
      </c>
      <c r="AY110"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분석_15일'!$F110,'2023년 신조차 고장관리 세부현황'!$BC:$BC,"완료")</f>
        <v>0</v>
      </c>
      <c r="AZ110"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분석_15일'!$F110,'2023년 신조차 고장관리 세부현황'!$BC:$BC,"완료")</f>
        <v>0</v>
      </c>
      <c r="BA110"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분석_15일'!$F110,'2023년 신조차 고장관리 세부현황'!$BC:$BC,"완료")</f>
        <v>0</v>
      </c>
      <c r="BB110"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분석_15일'!$F110,'2023년 신조차 고장관리 세부현황'!$BC:$BC,"완료")</f>
        <v>0</v>
      </c>
      <c r="BC110"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분석_15일'!$F110,'2023년 신조차 고장관리 세부현황'!$BC:$BC,"완료")</f>
        <v>0</v>
      </c>
      <c r="BD110"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분석_15일'!$F110,'2023년 신조차 고장관리 세부현황'!$BC:$BC,"완료")</f>
        <v>0</v>
      </c>
      <c r="BE110"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분석_15일'!$F110,'2023년 신조차 고장관리 세부현황'!$BC:$BC,"완료")</f>
        <v>0</v>
      </c>
      <c r="BF110"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분석_15일'!$F110,'2023년 신조차 고장관리 세부현황'!$BC:$BC,"완료")</f>
        <v>0</v>
      </c>
      <c r="BG110"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분석_15일'!$F110,'2023년 신조차 고장관리 세부현황'!$BC:$BC,"완료")</f>
        <v>0</v>
      </c>
      <c r="BH110"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분석_15일'!$F110,'2023년 신조차 고장관리 세부현황'!$BC:$BC,"완료")</f>
        <v>0</v>
      </c>
      <c r="BI110"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분석_15일'!$F110,'2023년 신조차 고장관리 세부현황'!$BC:$BC,"완료")</f>
        <v>0</v>
      </c>
      <c r="BJ110"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분석_15일'!$F110,'2023년 신조차 고장관리 세부현황'!$BC:$BC,"완료")</f>
        <v>0</v>
      </c>
      <c r="BK110"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분석_15일'!$F110,'2023년 신조차 고장관리 세부현황'!$BC:$BC,"완료")</f>
        <v>0</v>
      </c>
      <c r="BL110"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분석_15일'!$F110,'2023년 신조차 고장관리 세부현황'!$BC:$BC,"완료")</f>
        <v>0</v>
      </c>
      <c r="BM110"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분석_15일'!$F110,'2023년 신조차 고장관리 세부현황'!$BC:$BC,"완료")</f>
        <v>0</v>
      </c>
      <c r="BN110"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분석_15일'!$F110,'2023년 신조차 고장관리 세부현황'!$BC:$BC,"완료")</f>
        <v>0</v>
      </c>
      <c r="BO110"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분석_15일'!$F110,'2023년 신조차 고장관리 세부현황'!$BC:$BC,"완료")</f>
        <v>0</v>
      </c>
      <c r="BP110"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분석_15일'!$F110,'2023년 신조차 고장관리 세부현황'!$BC:$BC,"완료")</f>
        <v>0</v>
      </c>
      <c r="BQ110"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분석_15일'!$F110,'2023년 신조차 고장관리 세부현황'!$BC:$BC,"완료")</f>
        <v>0</v>
      </c>
      <c r="BR110"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분석_15일'!$F110,'2023년 신조차 고장관리 세부현황'!$BC:$BC,"완료")</f>
        <v>0</v>
      </c>
      <c r="BS110"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분석_15일'!$F110,'2023년 신조차 고장관리 세부현황'!$BC:$BC,"완료")</f>
        <v>0</v>
      </c>
      <c r="BT110"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분석_15일'!$F110,'2023년 신조차 고장관리 세부현황'!$BC:$BC,"완료")</f>
        <v>0</v>
      </c>
      <c r="BU110"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분석_15일'!$F110,'2023년 신조차 고장관리 세부현황'!$BC:$BC,"완료")</f>
        <v>0</v>
      </c>
      <c r="BV110"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분석_15일'!$F110,'2023년 신조차 고장관리 세부현황'!$BC:$BC,"완료")</f>
        <v>0</v>
      </c>
      <c r="BW110"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분석_15일'!$F110,'2023년 신조차 고장관리 세부현황'!$BC:$BC,"완료")</f>
        <v>0</v>
      </c>
      <c r="BX110"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분석_15일'!$F110,'2023년 신조차 고장관리 세부현황'!$BC:$BC,"완료")</f>
        <v>0</v>
      </c>
      <c r="BY110"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분석_15일'!$F110,'2023년 신조차 고장관리 세부현황'!$BC:$BC,"완료")</f>
        <v>0</v>
      </c>
      <c r="BZ110"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분석_15일'!$F110,'2023년 신조차 고장관리 세부현황'!$BC:$BC,"완료")</f>
        <v>0</v>
      </c>
      <c r="CA110"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분석_15일'!$F110,'2023년 신조차 고장관리 세부현황'!$BC:$BC,"완료")</f>
        <v>0</v>
      </c>
      <c r="CB110"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분석_15일'!$F110,'2023년 신조차 고장관리 세부현황'!$BC:$BC,"완료")</f>
        <v>0</v>
      </c>
      <c r="CC110"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분석_15일'!$F110,'2023년 신조차 고장관리 세부현황'!$BC:$BC,"완료")</f>
        <v>0</v>
      </c>
      <c r="CD110"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분석_15일'!$F110,'2023년 신조차 고장관리 세부현황'!$BC:$BC,"완료")</f>
        <v>0</v>
      </c>
      <c r="CE110"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분석_15일'!$F110,'2023년 신조차 고장관리 세부현황'!$BC:$BC,"완료")</f>
        <v>0</v>
      </c>
      <c r="CF110"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분석_15일'!$F110,'2023년 신조차 고장관리 세부현황'!$BC:$BC,"완료")</f>
        <v>0</v>
      </c>
      <c r="CG110"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분석_15일'!$F110,'2023년 신조차 고장관리 세부현황'!$BC:$BC,"완료")</f>
        <v>0</v>
      </c>
      <c r="CH110"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분석_15일'!$F110,'2023년 신조차 고장관리 세부현황'!$BC:$BC,"완료")</f>
        <v>0</v>
      </c>
      <c r="CI110"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분석_15일'!$F110,'2023년 신조차 고장관리 세부현황'!$BC:$BC,"완료")</f>
        <v>0</v>
      </c>
      <c r="CJ110"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분석_15일'!$F110,'2023년 신조차 고장관리 세부현황'!$BC:$BC,"완료")</f>
        <v>0</v>
      </c>
      <c r="CK110"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분석_15일'!$F110,'2023년 신조차 고장관리 세부현황'!$BC:$BC,"완료")</f>
        <v>0</v>
      </c>
      <c r="CL110"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분석_15일'!$F110,'2023년 신조차 고장관리 세부현황'!$BC:$BC,"완료")</f>
        <v>0</v>
      </c>
      <c r="CM110"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분석_15일'!$F110,'2023년 신조차 고장관리 세부현황'!$BC:$BC,"완료")</f>
        <v>0</v>
      </c>
      <c r="CN110"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분석_15일'!$F110,'2023년 신조차 고장관리 세부현황'!$BC:$BC,"완료")</f>
        <v>0</v>
      </c>
      <c r="CO110"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분석_15일'!$F110,'2023년 신조차 고장관리 세부현황'!$BC:$BC,"완료")</f>
        <v>0</v>
      </c>
      <c r="CP110"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분석_15일'!$F110,'2023년 신조차 고장관리 세부현황'!$BC:$BC,"완료")</f>
        <v>0</v>
      </c>
      <c r="CQ110"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분석_15일'!$F110,'2023년 신조차 고장관리 세부현황'!$BC:$BC,"완료")</f>
        <v>0</v>
      </c>
      <c r="CR110"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분석_15일'!$F110,'2023년 신조차 고장관리 세부현황'!$BC:$BC,"완료")</f>
        <v>0</v>
      </c>
      <c r="CS110"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분석_15일'!$F110,'2023년 신조차 고장관리 세부현황'!$BC:$BC,"완료")</f>
        <v>0</v>
      </c>
      <c r="CT110"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분석_15일'!$F110,'2023년 신조차 고장관리 세부현황'!$BC:$BC,"완료")</f>
        <v>0</v>
      </c>
      <c r="CU110"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분석_15일'!$F110,'2023년 신조차 고장관리 세부현황'!$BC:$BC,"완료")</f>
        <v>0</v>
      </c>
      <c r="CV110"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분석_15일'!$F110,'2023년 신조차 고장관리 세부현황'!$BC:$BC,"완료")</f>
        <v>0</v>
      </c>
      <c r="CW110"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분석_15일'!$F110,'2023년 신조차 고장관리 세부현황'!$BC:$BC,"완료")</f>
        <v>0</v>
      </c>
      <c r="CX110">
        <f t="shared" ref="CX110:CX113" si="288">SUM(G110:CW110)</f>
        <v>0</v>
      </c>
    </row>
    <row r="111" spans="6:102" x14ac:dyDescent="0.4">
      <c r="F111" s="85" t="s">
        <v>223</v>
      </c>
      <c r="G111" s="85">
        <f>COUNTIFS('2023년 신조차 고장관리 세부현황'!$K:$K,"448R",'2023년 신조차 고장관리 세부현황'!$P:$P,"&gt;="&amp;$G$26,'2023년 신조차 고장관리 세부현황'!$P:$P,"&lt;"&amp;'트랜드 분석_15일'!G$27,'2023년 신조차 고장관리 세부현황'!$S:$S,'트랜드 분석_15일'!$F111,'2023년 신조차 고장관리 세부현황'!$BC:$BC,"완료")</f>
        <v>0</v>
      </c>
      <c r="H111"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분석_15일'!$F111,'2023년 신조차 고장관리 세부현황'!$BC:$BC,"완료")</f>
        <v>0</v>
      </c>
      <c r="I111"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분석_15일'!$F111,'2023년 신조차 고장관리 세부현황'!$BC:$BC,"완료")</f>
        <v>0</v>
      </c>
      <c r="J111"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분석_15일'!$F111,'2023년 신조차 고장관리 세부현황'!$BC:$BC,"완료")</f>
        <v>0</v>
      </c>
      <c r="K111"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분석_15일'!$F111,'2023년 신조차 고장관리 세부현황'!$BC:$BC,"완료")</f>
        <v>0</v>
      </c>
      <c r="L111"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분석_15일'!$F111,'2023년 신조차 고장관리 세부현황'!$BC:$BC,"완료")</f>
        <v>0</v>
      </c>
      <c r="M111"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분석_15일'!$F111,'2023년 신조차 고장관리 세부현황'!$BC:$BC,"완료")</f>
        <v>0</v>
      </c>
      <c r="N111"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분석_15일'!$F111,'2023년 신조차 고장관리 세부현황'!$BC:$BC,"완료")</f>
        <v>0</v>
      </c>
      <c r="O111"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분석_15일'!$F111,'2023년 신조차 고장관리 세부현황'!$BC:$BC,"완료")</f>
        <v>0</v>
      </c>
      <c r="P111" s="85">
        <f ca="1">COUNTIFS('2023년 신조차 고장관리 세부현황'!$K:$K,"448R",'2023년 신조차 고장관리 세부현황'!$P:$P,"&gt;="&amp;'트랜드 분석_15일'!O$27,'2023년 신조차 고장관리 세부현황'!$P:$P,"&lt;"&amp;'트랜드 분석_15일'!P$27,'2023년 신조차 고장관리 세부현황'!$S:$S,'트랜드 분석_15일'!$F111,'2023년 신조차 고장관리 세부현황'!$BC:$BC,"완료")</f>
        <v>0</v>
      </c>
      <c r="Q111"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분석_15일'!$F111,'2023년 신조차 고장관리 세부현황'!$BC:$BC,"완료")</f>
        <v>0</v>
      </c>
      <c r="R111" s="85">
        <f ca="1">COUNTIFS('2023년 신조차 고장관리 세부현황'!$K:$K,"448R",'2023년 신조차 고장관리 세부현황'!$P:$P,"&gt;="&amp;'트랜드 분석_15일'!Q$27,'2023년 신조차 고장관리 세부현황'!$P:$P,"&lt;"&amp;'트랜드 분석_15일'!R$27,'2023년 신조차 고장관리 세부현황'!$S:$S,'트랜드 분석_15일'!$F111,'2023년 신조차 고장관리 세부현황'!$BC:$BC,"완료")</f>
        <v>2</v>
      </c>
      <c r="S111" s="85">
        <f ca="1">COUNTIFS('2023년 신조차 고장관리 세부현황'!$K:$K,"448R",'2023년 신조차 고장관리 세부현황'!$P:$P,"&gt;="&amp;'트랜드 분석_15일'!R$27,'2023년 신조차 고장관리 세부현황'!$P:$P,"&lt;"&amp;'트랜드 분석_15일'!S$27,'2023년 신조차 고장관리 세부현황'!$S:$S,'트랜드 분석_15일'!$F111,'2023년 신조차 고장관리 세부현황'!$BC:$BC,"완료")</f>
        <v>2</v>
      </c>
      <c r="T111"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분석_15일'!$F111,'2023년 신조차 고장관리 세부현황'!$BC:$BC,"완료")</f>
        <v>0</v>
      </c>
      <c r="U111"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분석_15일'!$F111,'2023년 신조차 고장관리 세부현황'!$BC:$BC,"완료")</f>
        <v>0</v>
      </c>
      <c r="V111"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분석_15일'!$F111,'2023년 신조차 고장관리 세부현황'!$BC:$BC,"완료")</f>
        <v>0</v>
      </c>
      <c r="W111" s="85">
        <f ca="1">COUNTIFS('2023년 신조차 고장관리 세부현황'!$K:$K,"448R",'2023년 신조차 고장관리 세부현황'!$P:$P,"&gt;="&amp;'트랜드 분석_15일'!V$27,'2023년 신조차 고장관리 세부현황'!$P:$P,"&lt;"&amp;'트랜드 분석_15일'!W$27,'2023년 신조차 고장관리 세부현황'!$S:$S,'트랜드 분석_15일'!$F111,'2023년 신조차 고장관리 세부현황'!$BC:$BC,"완료")</f>
        <v>2</v>
      </c>
      <c r="X111"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분석_15일'!$F111,'2023년 신조차 고장관리 세부현황'!$BC:$BC,"완료")</f>
        <v>0</v>
      </c>
      <c r="Y111" s="85">
        <f ca="1">COUNTIFS('2023년 신조차 고장관리 세부현황'!$K:$K,"448R",'2023년 신조차 고장관리 세부현황'!$P:$P,"&gt;="&amp;'트랜드 분석_15일'!X$27,'2023년 신조차 고장관리 세부현황'!$P:$P,"&lt;"&amp;'트랜드 분석_15일'!Y$27,'2023년 신조차 고장관리 세부현황'!$S:$S,'트랜드 분석_15일'!$F111,'2023년 신조차 고장관리 세부현황'!$BC:$BC,"완료")</f>
        <v>2</v>
      </c>
      <c r="Z111" s="85">
        <f ca="1">COUNTIFS('2023년 신조차 고장관리 세부현황'!$K:$K,"448R",'2023년 신조차 고장관리 세부현황'!$P:$P,"&gt;="&amp;'트랜드 분석_15일'!Y$27,'2023년 신조차 고장관리 세부현황'!$P:$P,"&lt;"&amp;'트랜드 분석_15일'!Z$27,'2023년 신조차 고장관리 세부현황'!$S:$S,'트랜드 분석_15일'!$F111,'2023년 신조차 고장관리 세부현황'!$BC:$BC,"완료")</f>
        <v>3</v>
      </c>
      <c r="AA111"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분석_15일'!$F111,'2023년 신조차 고장관리 세부현황'!$BC:$BC,"완료")</f>
        <v>0</v>
      </c>
      <c r="AB111" s="85">
        <f ca="1">COUNTIFS('2023년 신조차 고장관리 세부현황'!$K:$K,"448R",'2023년 신조차 고장관리 세부현황'!$P:$P,"&gt;="&amp;'트랜드 분석_15일'!AA$27,'2023년 신조차 고장관리 세부현황'!$P:$P,"&lt;"&amp;'트랜드 분석_15일'!AB$27,'2023년 신조차 고장관리 세부현황'!$S:$S,'트랜드 분석_15일'!$F111,'2023년 신조차 고장관리 세부현황'!$BC:$BC,"완료")</f>
        <v>2</v>
      </c>
      <c r="AC111" s="85">
        <f ca="1">COUNTIFS('2023년 신조차 고장관리 세부현황'!$K:$K,"448R",'2023년 신조차 고장관리 세부현황'!$P:$P,"&gt;="&amp;'트랜드 분석_15일'!AB$27,'2023년 신조차 고장관리 세부현황'!$P:$P,"&lt;"&amp;'트랜드 분석_15일'!AC$27,'2023년 신조차 고장관리 세부현황'!$S:$S,'트랜드 분석_15일'!$F111,'2023년 신조차 고장관리 세부현황'!$BC:$BC,"완료")</f>
        <v>1</v>
      </c>
      <c r="AD111"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분석_15일'!$F111,'2023년 신조차 고장관리 세부현황'!$BC:$BC,"완료")</f>
        <v>0</v>
      </c>
      <c r="AE111" s="85">
        <f ca="1">COUNTIFS('2023년 신조차 고장관리 세부현황'!$K:$K,"448R",'2023년 신조차 고장관리 세부현황'!$P:$P,"&gt;="&amp;'트랜드 분석_15일'!AD$27,'2023년 신조차 고장관리 세부현황'!$P:$P,"&lt;"&amp;'트랜드 분석_15일'!AE$27,'2023년 신조차 고장관리 세부현황'!$S:$S,'트랜드 분석_15일'!$F111,'2023년 신조차 고장관리 세부현황'!$BC:$BC,"완료")</f>
        <v>1</v>
      </c>
      <c r="AF111" s="85">
        <f ca="1">COUNTIFS('2023년 신조차 고장관리 세부현황'!$K:$K,"448R",'2023년 신조차 고장관리 세부현황'!$P:$P,"&gt;="&amp;'트랜드 분석_15일'!AE$27,'2023년 신조차 고장관리 세부현황'!$P:$P,"&lt;"&amp;'트랜드 분석_15일'!AF$27,'2023년 신조차 고장관리 세부현황'!$S:$S,'트랜드 분석_15일'!$F111,'2023년 신조차 고장관리 세부현황'!$BC:$BC,"완료")</f>
        <v>2</v>
      </c>
      <c r="AG111"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분석_15일'!$F111,'2023년 신조차 고장관리 세부현황'!$BC:$BC,"완료")</f>
        <v>0</v>
      </c>
      <c r="AH111"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분석_15일'!$F111,'2023년 신조차 고장관리 세부현황'!$BC:$BC,"완료")</f>
        <v>0</v>
      </c>
      <c r="AI111"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분석_15일'!$F111,'2023년 신조차 고장관리 세부현황'!$BC:$BC,"완료")</f>
        <v>0</v>
      </c>
      <c r="AJ111"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분석_15일'!$F111,'2023년 신조차 고장관리 세부현황'!$BC:$BC,"완료")</f>
        <v>0</v>
      </c>
      <c r="AK111"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분석_15일'!$F111,'2023년 신조차 고장관리 세부현황'!$BC:$BC,"완료")</f>
        <v>0</v>
      </c>
      <c r="AL111"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분석_15일'!$F111,'2023년 신조차 고장관리 세부현황'!$BC:$BC,"완료")</f>
        <v>0</v>
      </c>
      <c r="AM111"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분석_15일'!$F111,'2023년 신조차 고장관리 세부현황'!$BC:$BC,"완료")</f>
        <v>0</v>
      </c>
      <c r="AN111"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분석_15일'!$F111,'2023년 신조차 고장관리 세부현황'!$BC:$BC,"완료")</f>
        <v>0</v>
      </c>
      <c r="AO111"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분석_15일'!$F111,'2023년 신조차 고장관리 세부현황'!$BC:$BC,"완료")</f>
        <v>0</v>
      </c>
      <c r="AP111"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분석_15일'!$F111,'2023년 신조차 고장관리 세부현황'!$BC:$BC,"완료")</f>
        <v>0</v>
      </c>
      <c r="AQ111"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분석_15일'!$F111,'2023년 신조차 고장관리 세부현황'!$BC:$BC,"완료")</f>
        <v>0</v>
      </c>
      <c r="AR111"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분석_15일'!$F111,'2023년 신조차 고장관리 세부현황'!$BC:$BC,"완료")</f>
        <v>0</v>
      </c>
      <c r="AS111"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분석_15일'!$F111,'2023년 신조차 고장관리 세부현황'!$BC:$BC,"완료")</f>
        <v>0</v>
      </c>
      <c r="AT111"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분석_15일'!$F111,'2023년 신조차 고장관리 세부현황'!$BC:$BC,"완료")</f>
        <v>0</v>
      </c>
      <c r="AU111"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분석_15일'!$F111,'2023년 신조차 고장관리 세부현황'!$BC:$BC,"완료")</f>
        <v>0</v>
      </c>
      <c r="AV111"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분석_15일'!$F111,'2023년 신조차 고장관리 세부현황'!$BC:$BC,"완료")</f>
        <v>0</v>
      </c>
      <c r="AW111"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분석_15일'!$F111,'2023년 신조차 고장관리 세부현황'!$BC:$BC,"완료")</f>
        <v>0</v>
      </c>
      <c r="AX111"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분석_15일'!$F111,'2023년 신조차 고장관리 세부현황'!$BC:$BC,"완료")</f>
        <v>0</v>
      </c>
      <c r="AY111"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분석_15일'!$F111,'2023년 신조차 고장관리 세부현황'!$BC:$BC,"완료")</f>
        <v>0</v>
      </c>
      <c r="AZ111"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분석_15일'!$F111,'2023년 신조차 고장관리 세부현황'!$BC:$BC,"완료")</f>
        <v>0</v>
      </c>
      <c r="BA111"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분석_15일'!$F111,'2023년 신조차 고장관리 세부현황'!$BC:$BC,"완료")</f>
        <v>0</v>
      </c>
      <c r="BB111"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분석_15일'!$F111,'2023년 신조차 고장관리 세부현황'!$BC:$BC,"완료")</f>
        <v>0</v>
      </c>
      <c r="BC111"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분석_15일'!$F111,'2023년 신조차 고장관리 세부현황'!$BC:$BC,"완료")</f>
        <v>0</v>
      </c>
      <c r="BD111"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분석_15일'!$F111,'2023년 신조차 고장관리 세부현황'!$BC:$BC,"완료")</f>
        <v>0</v>
      </c>
      <c r="BE111"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분석_15일'!$F111,'2023년 신조차 고장관리 세부현황'!$BC:$BC,"완료")</f>
        <v>0</v>
      </c>
      <c r="BF111"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분석_15일'!$F111,'2023년 신조차 고장관리 세부현황'!$BC:$BC,"완료")</f>
        <v>0</v>
      </c>
      <c r="BG111"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분석_15일'!$F111,'2023년 신조차 고장관리 세부현황'!$BC:$BC,"완료")</f>
        <v>0</v>
      </c>
      <c r="BH111"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분석_15일'!$F111,'2023년 신조차 고장관리 세부현황'!$BC:$BC,"완료")</f>
        <v>0</v>
      </c>
      <c r="BI111"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분석_15일'!$F111,'2023년 신조차 고장관리 세부현황'!$BC:$BC,"완료")</f>
        <v>0</v>
      </c>
      <c r="BJ111"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분석_15일'!$F111,'2023년 신조차 고장관리 세부현황'!$BC:$BC,"완료")</f>
        <v>0</v>
      </c>
      <c r="BK111"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분석_15일'!$F111,'2023년 신조차 고장관리 세부현황'!$BC:$BC,"완료")</f>
        <v>0</v>
      </c>
      <c r="BL111"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분석_15일'!$F111,'2023년 신조차 고장관리 세부현황'!$BC:$BC,"완료")</f>
        <v>0</v>
      </c>
      <c r="BM111"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분석_15일'!$F111,'2023년 신조차 고장관리 세부현황'!$BC:$BC,"완료")</f>
        <v>0</v>
      </c>
      <c r="BN111"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분석_15일'!$F111,'2023년 신조차 고장관리 세부현황'!$BC:$BC,"완료")</f>
        <v>0</v>
      </c>
      <c r="BO111"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분석_15일'!$F111,'2023년 신조차 고장관리 세부현황'!$BC:$BC,"완료")</f>
        <v>0</v>
      </c>
      <c r="BP111"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분석_15일'!$F111,'2023년 신조차 고장관리 세부현황'!$BC:$BC,"완료")</f>
        <v>0</v>
      </c>
      <c r="BQ111"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분석_15일'!$F111,'2023년 신조차 고장관리 세부현황'!$BC:$BC,"완료")</f>
        <v>0</v>
      </c>
      <c r="BR111"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분석_15일'!$F111,'2023년 신조차 고장관리 세부현황'!$BC:$BC,"완료")</f>
        <v>0</v>
      </c>
      <c r="BS111"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분석_15일'!$F111,'2023년 신조차 고장관리 세부현황'!$BC:$BC,"완료")</f>
        <v>0</v>
      </c>
      <c r="BT111"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분석_15일'!$F111,'2023년 신조차 고장관리 세부현황'!$BC:$BC,"완료")</f>
        <v>0</v>
      </c>
      <c r="BU111"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분석_15일'!$F111,'2023년 신조차 고장관리 세부현황'!$BC:$BC,"완료")</f>
        <v>0</v>
      </c>
      <c r="BV111"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분석_15일'!$F111,'2023년 신조차 고장관리 세부현황'!$BC:$BC,"완료")</f>
        <v>0</v>
      </c>
      <c r="BW111"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분석_15일'!$F111,'2023년 신조차 고장관리 세부현황'!$BC:$BC,"완료")</f>
        <v>0</v>
      </c>
      <c r="BX111"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분석_15일'!$F111,'2023년 신조차 고장관리 세부현황'!$BC:$BC,"완료")</f>
        <v>0</v>
      </c>
      <c r="BY111"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분석_15일'!$F111,'2023년 신조차 고장관리 세부현황'!$BC:$BC,"완료")</f>
        <v>0</v>
      </c>
      <c r="BZ111"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분석_15일'!$F111,'2023년 신조차 고장관리 세부현황'!$BC:$BC,"완료")</f>
        <v>0</v>
      </c>
      <c r="CA111"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분석_15일'!$F111,'2023년 신조차 고장관리 세부현황'!$BC:$BC,"완료")</f>
        <v>0</v>
      </c>
      <c r="CB111"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분석_15일'!$F111,'2023년 신조차 고장관리 세부현황'!$BC:$BC,"완료")</f>
        <v>0</v>
      </c>
      <c r="CC111"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분석_15일'!$F111,'2023년 신조차 고장관리 세부현황'!$BC:$BC,"완료")</f>
        <v>0</v>
      </c>
      <c r="CD111"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분석_15일'!$F111,'2023년 신조차 고장관리 세부현황'!$BC:$BC,"완료")</f>
        <v>0</v>
      </c>
      <c r="CE111"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분석_15일'!$F111,'2023년 신조차 고장관리 세부현황'!$BC:$BC,"완료")</f>
        <v>0</v>
      </c>
      <c r="CF111"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분석_15일'!$F111,'2023년 신조차 고장관리 세부현황'!$BC:$BC,"완료")</f>
        <v>0</v>
      </c>
      <c r="CG111"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분석_15일'!$F111,'2023년 신조차 고장관리 세부현황'!$BC:$BC,"완료")</f>
        <v>0</v>
      </c>
      <c r="CH111"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분석_15일'!$F111,'2023년 신조차 고장관리 세부현황'!$BC:$BC,"완료")</f>
        <v>0</v>
      </c>
      <c r="CI111"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분석_15일'!$F111,'2023년 신조차 고장관리 세부현황'!$BC:$BC,"완료")</f>
        <v>0</v>
      </c>
      <c r="CJ111"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분석_15일'!$F111,'2023년 신조차 고장관리 세부현황'!$BC:$BC,"완료")</f>
        <v>0</v>
      </c>
      <c r="CK111"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분석_15일'!$F111,'2023년 신조차 고장관리 세부현황'!$BC:$BC,"완료")</f>
        <v>0</v>
      </c>
      <c r="CL111"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분석_15일'!$F111,'2023년 신조차 고장관리 세부현황'!$BC:$BC,"완료")</f>
        <v>0</v>
      </c>
      <c r="CM111"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분석_15일'!$F111,'2023년 신조차 고장관리 세부현황'!$BC:$BC,"완료")</f>
        <v>0</v>
      </c>
      <c r="CN111"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분석_15일'!$F111,'2023년 신조차 고장관리 세부현황'!$BC:$BC,"완료")</f>
        <v>0</v>
      </c>
      <c r="CO111"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분석_15일'!$F111,'2023년 신조차 고장관리 세부현황'!$BC:$BC,"완료")</f>
        <v>0</v>
      </c>
      <c r="CP111"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분석_15일'!$F111,'2023년 신조차 고장관리 세부현황'!$BC:$BC,"완료")</f>
        <v>0</v>
      </c>
      <c r="CQ111"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분석_15일'!$F111,'2023년 신조차 고장관리 세부현황'!$BC:$BC,"완료")</f>
        <v>0</v>
      </c>
      <c r="CR111"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분석_15일'!$F111,'2023년 신조차 고장관리 세부현황'!$BC:$BC,"완료")</f>
        <v>0</v>
      </c>
      <c r="CS111"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분석_15일'!$F111,'2023년 신조차 고장관리 세부현황'!$BC:$BC,"완료")</f>
        <v>0</v>
      </c>
      <c r="CT111"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분석_15일'!$F111,'2023년 신조차 고장관리 세부현황'!$BC:$BC,"완료")</f>
        <v>0</v>
      </c>
      <c r="CU111"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분석_15일'!$F111,'2023년 신조차 고장관리 세부현황'!$BC:$BC,"완료")</f>
        <v>0</v>
      </c>
      <c r="CV111"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분석_15일'!$F111,'2023년 신조차 고장관리 세부현황'!$BC:$BC,"완료")</f>
        <v>0</v>
      </c>
      <c r="CW111"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분석_15일'!$F111,'2023년 신조차 고장관리 세부현황'!$BC:$BC,"완료")</f>
        <v>0</v>
      </c>
      <c r="CX111">
        <f t="shared" ca="1" si="288"/>
        <v>17</v>
      </c>
    </row>
    <row r="112" spans="6:102" x14ac:dyDescent="0.4">
      <c r="F112" s="85" t="s">
        <v>243</v>
      </c>
      <c r="G112" s="85">
        <f>G110+G111</f>
        <v>0</v>
      </c>
      <c r="H112" s="85">
        <f t="shared" ref="H112:BS112" si="289">H110+H111</f>
        <v>0</v>
      </c>
      <c r="I112" s="85">
        <f t="shared" si="289"/>
        <v>0</v>
      </c>
      <c r="J112" s="85">
        <f t="shared" si="289"/>
        <v>0</v>
      </c>
      <c r="K112" s="85">
        <f t="shared" si="289"/>
        <v>0</v>
      </c>
      <c r="L112" s="85">
        <f t="shared" si="289"/>
        <v>0</v>
      </c>
      <c r="M112" s="85">
        <f t="shared" si="289"/>
        <v>0</v>
      </c>
      <c r="N112" s="85">
        <f t="shared" si="289"/>
        <v>0</v>
      </c>
      <c r="O112" s="85">
        <f t="shared" si="289"/>
        <v>0</v>
      </c>
      <c r="P112" s="85">
        <f t="shared" ca="1" si="289"/>
        <v>0</v>
      </c>
      <c r="Q112" s="85">
        <f t="shared" si="289"/>
        <v>0</v>
      </c>
      <c r="R112" s="85">
        <f t="shared" ca="1" si="289"/>
        <v>2</v>
      </c>
      <c r="S112" s="85">
        <f t="shared" ca="1" si="289"/>
        <v>2</v>
      </c>
      <c r="T112" s="85">
        <f t="shared" si="289"/>
        <v>0</v>
      </c>
      <c r="U112" s="85">
        <f t="shared" si="289"/>
        <v>0</v>
      </c>
      <c r="V112" s="85">
        <f t="shared" si="289"/>
        <v>0</v>
      </c>
      <c r="W112" s="85">
        <f t="shared" ca="1" si="289"/>
        <v>2</v>
      </c>
      <c r="X112" s="85">
        <f t="shared" si="289"/>
        <v>0</v>
      </c>
      <c r="Y112" s="85">
        <f t="shared" ca="1" si="289"/>
        <v>2</v>
      </c>
      <c r="Z112" s="85">
        <f t="shared" ca="1" si="289"/>
        <v>3</v>
      </c>
      <c r="AA112" s="85">
        <f t="shared" si="289"/>
        <v>0</v>
      </c>
      <c r="AB112" s="85">
        <f t="shared" ca="1" si="289"/>
        <v>2</v>
      </c>
      <c r="AC112" s="85">
        <f t="shared" ca="1" si="289"/>
        <v>1</v>
      </c>
      <c r="AD112" s="85">
        <f t="shared" si="289"/>
        <v>0</v>
      </c>
      <c r="AE112" s="85">
        <f t="shared" ca="1" si="289"/>
        <v>1</v>
      </c>
      <c r="AF112" s="85">
        <f t="shared" ca="1" si="289"/>
        <v>2</v>
      </c>
      <c r="AG112" s="85">
        <f t="shared" si="289"/>
        <v>0</v>
      </c>
      <c r="AH112" s="85">
        <f t="shared" si="289"/>
        <v>0</v>
      </c>
      <c r="AI112" s="85">
        <f t="shared" si="289"/>
        <v>0</v>
      </c>
      <c r="AJ112" s="85">
        <f t="shared" si="289"/>
        <v>0</v>
      </c>
      <c r="AK112" s="85">
        <f t="shared" si="289"/>
        <v>0</v>
      </c>
      <c r="AL112" s="85">
        <f t="shared" si="289"/>
        <v>0</v>
      </c>
      <c r="AM112" s="85">
        <f t="shared" si="289"/>
        <v>0</v>
      </c>
      <c r="AN112" s="85">
        <f t="shared" si="289"/>
        <v>0</v>
      </c>
      <c r="AO112" s="85">
        <f t="shared" si="289"/>
        <v>0</v>
      </c>
      <c r="AP112" s="85">
        <f t="shared" si="289"/>
        <v>0</v>
      </c>
      <c r="AQ112" s="85">
        <f t="shared" si="289"/>
        <v>0</v>
      </c>
      <c r="AR112" s="85">
        <f t="shared" si="289"/>
        <v>0</v>
      </c>
      <c r="AS112" s="85">
        <f t="shared" si="289"/>
        <v>0</v>
      </c>
      <c r="AT112" s="85">
        <f t="shared" si="289"/>
        <v>0</v>
      </c>
      <c r="AU112" s="85">
        <f t="shared" si="289"/>
        <v>0</v>
      </c>
      <c r="AV112" s="85">
        <f t="shared" si="289"/>
        <v>0</v>
      </c>
      <c r="AW112" s="85">
        <f t="shared" si="289"/>
        <v>0</v>
      </c>
      <c r="AX112" s="85">
        <f t="shared" si="289"/>
        <v>0</v>
      </c>
      <c r="AY112" s="85">
        <f t="shared" si="289"/>
        <v>0</v>
      </c>
      <c r="AZ112" s="85">
        <f t="shared" si="289"/>
        <v>0</v>
      </c>
      <c r="BA112" s="85">
        <f t="shared" si="289"/>
        <v>0</v>
      </c>
      <c r="BB112" s="85">
        <f t="shared" si="289"/>
        <v>0</v>
      </c>
      <c r="BC112" s="85">
        <f t="shared" si="289"/>
        <v>0</v>
      </c>
      <c r="BD112" s="85">
        <f t="shared" si="289"/>
        <v>0</v>
      </c>
      <c r="BE112" s="85">
        <f t="shared" si="289"/>
        <v>0</v>
      </c>
      <c r="BF112" s="85">
        <f t="shared" si="289"/>
        <v>0</v>
      </c>
      <c r="BG112" s="85">
        <f t="shared" si="289"/>
        <v>0</v>
      </c>
      <c r="BH112" s="85">
        <f t="shared" si="289"/>
        <v>0</v>
      </c>
      <c r="BI112" s="85">
        <f t="shared" si="289"/>
        <v>0</v>
      </c>
      <c r="BJ112" s="85">
        <f t="shared" si="289"/>
        <v>0</v>
      </c>
      <c r="BK112" s="85">
        <f t="shared" si="289"/>
        <v>0</v>
      </c>
      <c r="BL112" s="85">
        <f t="shared" si="289"/>
        <v>0</v>
      </c>
      <c r="BM112" s="85">
        <f t="shared" si="289"/>
        <v>0</v>
      </c>
      <c r="BN112" s="85">
        <f t="shared" si="289"/>
        <v>0</v>
      </c>
      <c r="BO112" s="85">
        <f t="shared" si="289"/>
        <v>0</v>
      </c>
      <c r="BP112" s="85">
        <f t="shared" si="289"/>
        <v>0</v>
      </c>
      <c r="BQ112" s="85">
        <f t="shared" si="289"/>
        <v>0</v>
      </c>
      <c r="BR112" s="85">
        <f t="shared" si="289"/>
        <v>0</v>
      </c>
      <c r="BS112" s="85">
        <f t="shared" si="289"/>
        <v>0</v>
      </c>
      <c r="BT112" s="85">
        <f t="shared" ref="BT112:CH112" si="290">BT110+BT111</f>
        <v>0</v>
      </c>
      <c r="BU112" s="85">
        <f t="shared" si="290"/>
        <v>0</v>
      </c>
      <c r="BV112" s="85">
        <f t="shared" si="290"/>
        <v>0</v>
      </c>
      <c r="BW112" s="85">
        <f t="shared" si="290"/>
        <v>0</v>
      </c>
      <c r="BX112" s="85">
        <f t="shared" si="290"/>
        <v>0</v>
      </c>
      <c r="BY112" s="85">
        <f t="shared" si="290"/>
        <v>0</v>
      </c>
      <c r="BZ112" s="85">
        <f t="shared" si="290"/>
        <v>0</v>
      </c>
      <c r="CA112" s="85">
        <f t="shared" si="290"/>
        <v>0</v>
      </c>
      <c r="CB112" s="85">
        <f t="shared" si="290"/>
        <v>0</v>
      </c>
      <c r="CC112" s="85">
        <f t="shared" si="290"/>
        <v>0</v>
      </c>
      <c r="CD112" s="85">
        <f t="shared" si="290"/>
        <v>0</v>
      </c>
      <c r="CE112" s="85">
        <f t="shared" si="290"/>
        <v>0</v>
      </c>
      <c r="CF112" s="85">
        <f t="shared" si="290"/>
        <v>0</v>
      </c>
      <c r="CG112" s="85">
        <f t="shared" si="290"/>
        <v>0</v>
      </c>
      <c r="CH112" s="85">
        <f t="shared" si="290"/>
        <v>0</v>
      </c>
      <c r="CI112" s="85">
        <f t="shared" ref="CI112:CO112" si="291">CI110+CI111</f>
        <v>0</v>
      </c>
      <c r="CJ112" s="85">
        <f t="shared" si="291"/>
        <v>0</v>
      </c>
      <c r="CK112" s="85">
        <f t="shared" si="291"/>
        <v>0</v>
      </c>
      <c r="CL112" s="85">
        <f t="shared" si="291"/>
        <v>0</v>
      </c>
      <c r="CM112" s="85">
        <f t="shared" si="291"/>
        <v>0</v>
      </c>
      <c r="CN112" s="85">
        <f t="shared" si="291"/>
        <v>0</v>
      </c>
      <c r="CO112" s="85">
        <f t="shared" si="291"/>
        <v>0</v>
      </c>
      <c r="CP112" s="85">
        <f t="shared" ref="CP112:CW112" si="292">CP110+CP111</f>
        <v>0</v>
      </c>
      <c r="CQ112" s="85">
        <f t="shared" si="292"/>
        <v>0</v>
      </c>
      <c r="CR112" s="85">
        <f t="shared" si="292"/>
        <v>0</v>
      </c>
      <c r="CS112" s="85">
        <f t="shared" si="292"/>
        <v>0</v>
      </c>
      <c r="CT112" s="85">
        <f t="shared" si="292"/>
        <v>0</v>
      </c>
      <c r="CU112" s="85">
        <f t="shared" si="292"/>
        <v>0</v>
      </c>
      <c r="CV112" s="85">
        <f t="shared" si="292"/>
        <v>0</v>
      </c>
      <c r="CW112" s="85">
        <f t="shared" si="292"/>
        <v>0</v>
      </c>
      <c r="CX112">
        <f t="shared" ca="1" si="288"/>
        <v>17</v>
      </c>
    </row>
    <row r="113" spans="6:102" x14ac:dyDescent="0.4">
      <c r="F113" s="86" t="s">
        <v>222</v>
      </c>
      <c r="G113" s="85">
        <f>COUNTIFS('2023년 신조차 고장관리 세부현황'!$K:$K,"448R",'2023년 신조차 고장관리 세부현황'!$P:$P,"&gt;="&amp;$G$26,'2023년 신조차 고장관리 세부현황'!$P:$P,"&lt;"&amp;'트랜드 분석_15일'!G$27,'2023년 신조차 고장관리 세부현황'!$S:$S,'트랜드 분석_15일'!$F113,'2023년 신조차 고장관리 세부현황'!$BC:$BC,"완료")</f>
        <v>0</v>
      </c>
      <c r="H113"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분석_15일'!$F113,'2023년 신조차 고장관리 세부현황'!$BC:$BC,"완료")</f>
        <v>0</v>
      </c>
      <c r="I113"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분석_15일'!$F113,'2023년 신조차 고장관리 세부현황'!$BC:$BC,"완료")</f>
        <v>0</v>
      </c>
      <c r="J113"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분석_15일'!$F113,'2023년 신조차 고장관리 세부현황'!$BC:$BC,"완료")</f>
        <v>0</v>
      </c>
      <c r="K113"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분석_15일'!$F113,'2023년 신조차 고장관리 세부현황'!$BC:$BC,"완료")</f>
        <v>0</v>
      </c>
      <c r="L113"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분석_15일'!$F113,'2023년 신조차 고장관리 세부현황'!$BC:$BC,"완료")</f>
        <v>0</v>
      </c>
      <c r="M113"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분석_15일'!$F113,'2023년 신조차 고장관리 세부현황'!$BC:$BC,"완료")</f>
        <v>0</v>
      </c>
      <c r="N113"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분석_15일'!$F113,'2023년 신조차 고장관리 세부현황'!$BC:$BC,"완료")</f>
        <v>0</v>
      </c>
      <c r="O113"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분석_15일'!$F113,'2023년 신조차 고장관리 세부현황'!$BC:$BC,"완료")</f>
        <v>0</v>
      </c>
      <c r="P113"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분석_15일'!$F113,'2023년 신조차 고장관리 세부현황'!$BC:$BC,"완료")</f>
        <v>0</v>
      </c>
      <c r="Q113"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분석_15일'!$F113,'2023년 신조차 고장관리 세부현황'!$BC:$BC,"완료")</f>
        <v>0</v>
      </c>
      <c r="R113"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분석_15일'!$F113,'2023년 신조차 고장관리 세부현황'!$BC:$BC,"완료")</f>
        <v>0</v>
      </c>
      <c r="S113"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분석_15일'!$F113,'2023년 신조차 고장관리 세부현황'!$BC:$BC,"완료")</f>
        <v>0</v>
      </c>
      <c r="T113"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분석_15일'!$F113,'2023년 신조차 고장관리 세부현황'!$BC:$BC,"완료")</f>
        <v>0</v>
      </c>
      <c r="U113"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분석_15일'!$F113,'2023년 신조차 고장관리 세부현황'!$BC:$BC,"완료")</f>
        <v>0</v>
      </c>
      <c r="V113"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분석_15일'!$F113,'2023년 신조차 고장관리 세부현황'!$BC:$BC,"완료")</f>
        <v>0</v>
      </c>
      <c r="W113"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분석_15일'!$F113,'2023년 신조차 고장관리 세부현황'!$BC:$BC,"완료")</f>
        <v>0</v>
      </c>
      <c r="X113"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분석_15일'!$F113,'2023년 신조차 고장관리 세부현황'!$BC:$BC,"완료")</f>
        <v>0</v>
      </c>
      <c r="Y113"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분석_15일'!$F113,'2023년 신조차 고장관리 세부현황'!$BC:$BC,"완료")</f>
        <v>0</v>
      </c>
      <c r="Z113"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분석_15일'!$F113,'2023년 신조차 고장관리 세부현황'!$BC:$BC,"완료")</f>
        <v>0</v>
      </c>
      <c r="AA113"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분석_15일'!$F113,'2023년 신조차 고장관리 세부현황'!$BC:$BC,"완료")</f>
        <v>0</v>
      </c>
      <c r="AB113"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분석_15일'!$F113,'2023년 신조차 고장관리 세부현황'!$BC:$BC,"완료")</f>
        <v>0</v>
      </c>
      <c r="AC113"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분석_15일'!$F113,'2023년 신조차 고장관리 세부현황'!$BC:$BC,"완료")</f>
        <v>0</v>
      </c>
      <c r="AD113"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분석_15일'!$F113,'2023년 신조차 고장관리 세부현황'!$BC:$BC,"완료")</f>
        <v>0</v>
      </c>
      <c r="AE113"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분석_15일'!$F113,'2023년 신조차 고장관리 세부현황'!$BC:$BC,"완료")</f>
        <v>0</v>
      </c>
      <c r="AF113"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분석_15일'!$F113,'2023년 신조차 고장관리 세부현황'!$BC:$BC,"완료")</f>
        <v>0</v>
      </c>
      <c r="AG113"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분석_15일'!$F113,'2023년 신조차 고장관리 세부현황'!$BC:$BC,"완료")</f>
        <v>0</v>
      </c>
      <c r="AH113"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분석_15일'!$F113,'2023년 신조차 고장관리 세부현황'!$BC:$BC,"완료")</f>
        <v>0</v>
      </c>
      <c r="AI113"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분석_15일'!$F113,'2023년 신조차 고장관리 세부현황'!$BC:$BC,"완료")</f>
        <v>0</v>
      </c>
      <c r="AJ113"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분석_15일'!$F113,'2023년 신조차 고장관리 세부현황'!$BC:$BC,"완료")</f>
        <v>0</v>
      </c>
      <c r="AK113"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분석_15일'!$F113,'2023년 신조차 고장관리 세부현황'!$BC:$BC,"완료")</f>
        <v>0</v>
      </c>
      <c r="AL113"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분석_15일'!$F113,'2023년 신조차 고장관리 세부현황'!$BC:$BC,"완료")</f>
        <v>0</v>
      </c>
      <c r="AM113"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분석_15일'!$F113,'2023년 신조차 고장관리 세부현황'!$BC:$BC,"완료")</f>
        <v>0</v>
      </c>
      <c r="AN113"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분석_15일'!$F113,'2023년 신조차 고장관리 세부현황'!$BC:$BC,"완료")</f>
        <v>0</v>
      </c>
      <c r="AO113"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분석_15일'!$F113,'2023년 신조차 고장관리 세부현황'!$BC:$BC,"완료")</f>
        <v>0</v>
      </c>
      <c r="AP113"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분석_15일'!$F113,'2023년 신조차 고장관리 세부현황'!$BC:$BC,"완료")</f>
        <v>0</v>
      </c>
      <c r="AQ113"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분석_15일'!$F113,'2023년 신조차 고장관리 세부현황'!$BC:$BC,"완료")</f>
        <v>0</v>
      </c>
      <c r="AR113"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분석_15일'!$F113,'2023년 신조차 고장관리 세부현황'!$BC:$BC,"완료")</f>
        <v>0</v>
      </c>
      <c r="AS113"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분석_15일'!$F113,'2023년 신조차 고장관리 세부현황'!$BC:$BC,"완료")</f>
        <v>0</v>
      </c>
      <c r="AT113"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분석_15일'!$F113,'2023년 신조차 고장관리 세부현황'!$BC:$BC,"완료")</f>
        <v>0</v>
      </c>
      <c r="AU113"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분석_15일'!$F113,'2023년 신조차 고장관리 세부현황'!$BC:$BC,"완료")</f>
        <v>0</v>
      </c>
      <c r="AV113"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분석_15일'!$F113,'2023년 신조차 고장관리 세부현황'!$BC:$BC,"완료")</f>
        <v>0</v>
      </c>
      <c r="AW113"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분석_15일'!$F113,'2023년 신조차 고장관리 세부현황'!$BC:$BC,"완료")</f>
        <v>0</v>
      </c>
      <c r="AX113"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분석_15일'!$F113,'2023년 신조차 고장관리 세부현황'!$BC:$BC,"완료")</f>
        <v>0</v>
      </c>
      <c r="AY113"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분석_15일'!$F113,'2023년 신조차 고장관리 세부현황'!$BC:$BC,"완료")</f>
        <v>0</v>
      </c>
      <c r="AZ113"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분석_15일'!$F113,'2023년 신조차 고장관리 세부현황'!$BC:$BC,"완료")</f>
        <v>0</v>
      </c>
      <c r="BA113"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분석_15일'!$F113,'2023년 신조차 고장관리 세부현황'!$BC:$BC,"완료")</f>
        <v>0</v>
      </c>
      <c r="BB113"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분석_15일'!$F113,'2023년 신조차 고장관리 세부현황'!$BC:$BC,"완료")</f>
        <v>0</v>
      </c>
      <c r="BC113"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분석_15일'!$F113,'2023년 신조차 고장관리 세부현황'!$BC:$BC,"완료")</f>
        <v>0</v>
      </c>
      <c r="BD113"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분석_15일'!$F113,'2023년 신조차 고장관리 세부현황'!$BC:$BC,"완료")</f>
        <v>0</v>
      </c>
      <c r="BE113"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분석_15일'!$F113,'2023년 신조차 고장관리 세부현황'!$BC:$BC,"완료")</f>
        <v>0</v>
      </c>
      <c r="BF113"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분석_15일'!$F113,'2023년 신조차 고장관리 세부현황'!$BC:$BC,"완료")</f>
        <v>0</v>
      </c>
      <c r="BG113"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분석_15일'!$F113,'2023년 신조차 고장관리 세부현황'!$BC:$BC,"완료")</f>
        <v>0</v>
      </c>
      <c r="BH113"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분석_15일'!$F113,'2023년 신조차 고장관리 세부현황'!$BC:$BC,"완료")</f>
        <v>0</v>
      </c>
      <c r="BI113"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분석_15일'!$F113,'2023년 신조차 고장관리 세부현황'!$BC:$BC,"완료")</f>
        <v>0</v>
      </c>
      <c r="BJ113"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분석_15일'!$F113,'2023년 신조차 고장관리 세부현황'!$BC:$BC,"완료")</f>
        <v>0</v>
      </c>
      <c r="BK113"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분석_15일'!$F113,'2023년 신조차 고장관리 세부현황'!$BC:$BC,"완료")</f>
        <v>0</v>
      </c>
      <c r="BL113"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분석_15일'!$F113,'2023년 신조차 고장관리 세부현황'!$BC:$BC,"완료")</f>
        <v>0</v>
      </c>
      <c r="BM113"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분석_15일'!$F113,'2023년 신조차 고장관리 세부현황'!$BC:$BC,"완료")</f>
        <v>0</v>
      </c>
      <c r="BN113"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분석_15일'!$F113,'2023년 신조차 고장관리 세부현황'!$BC:$BC,"완료")</f>
        <v>0</v>
      </c>
      <c r="BO113"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분석_15일'!$F113,'2023년 신조차 고장관리 세부현황'!$BC:$BC,"완료")</f>
        <v>0</v>
      </c>
      <c r="BP113"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분석_15일'!$F113,'2023년 신조차 고장관리 세부현황'!$BC:$BC,"완료")</f>
        <v>0</v>
      </c>
      <c r="BQ113"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분석_15일'!$F113,'2023년 신조차 고장관리 세부현황'!$BC:$BC,"완료")</f>
        <v>0</v>
      </c>
      <c r="BR113"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분석_15일'!$F113,'2023년 신조차 고장관리 세부현황'!$BC:$BC,"완료")</f>
        <v>0</v>
      </c>
      <c r="BS113"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분석_15일'!$F113,'2023년 신조차 고장관리 세부현황'!$BC:$BC,"완료")</f>
        <v>0</v>
      </c>
      <c r="BT113"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분석_15일'!$F113,'2023년 신조차 고장관리 세부현황'!$BC:$BC,"완료")</f>
        <v>0</v>
      </c>
      <c r="BU113"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분석_15일'!$F113,'2023년 신조차 고장관리 세부현황'!$BC:$BC,"완료")</f>
        <v>0</v>
      </c>
      <c r="BV113"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분석_15일'!$F113,'2023년 신조차 고장관리 세부현황'!$BC:$BC,"완료")</f>
        <v>0</v>
      </c>
      <c r="BW113"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분석_15일'!$F113,'2023년 신조차 고장관리 세부현황'!$BC:$BC,"완료")</f>
        <v>0</v>
      </c>
      <c r="BX113"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분석_15일'!$F113,'2023년 신조차 고장관리 세부현황'!$BC:$BC,"완료")</f>
        <v>0</v>
      </c>
      <c r="BY113"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분석_15일'!$F113,'2023년 신조차 고장관리 세부현황'!$BC:$BC,"완료")</f>
        <v>0</v>
      </c>
      <c r="BZ113"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분석_15일'!$F113,'2023년 신조차 고장관리 세부현황'!$BC:$BC,"완료")</f>
        <v>0</v>
      </c>
      <c r="CA113"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분석_15일'!$F113,'2023년 신조차 고장관리 세부현황'!$BC:$BC,"완료")</f>
        <v>0</v>
      </c>
      <c r="CB113"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분석_15일'!$F113,'2023년 신조차 고장관리 세부현황'!$BC:$BC,"완료")</f>
        <v>0</v>
      </c>
      <c r="CC113"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분석_15일'!$F113,'2023년 신조차 고장관리 세부현황'!$BC:$BC,"완료")</f>
        <v>0</v>
      </c>
      <c r="CD113"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분석_15일'!$F113,'2023년 신조차 고장관리 세부현황'!$BC:$BC,"완료")</f>
        <v>0</v>
      </c>
      <c r="CE113"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분석_15일'!$F113,'2023년 신조차 고장관리 세부현황'!$BC:$BC,"완료")</f>
        <v>0</v>
      </c>
      <c r="CF113"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분석_15일'!$F113,'2023년 신조차 고장관리 세부현황'!$BC:$BC,"완료")</f>
        <v>0</v>
      </c>
      <c r="CG113"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분석_15일'!$F113,'2023년 신조차 고장관리 세부현황'!$BC:$BC,"완료")</f>
        <v>0</v>
      </c>
      <c r="CH113"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분석_15일'!$F113,'2023년 신조차 고장관리 세부현황'!$BC:$BC,"완료")</f>
        <v>0</v>
      </c>
      <c r="CI113"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분석_15일'!$F113,'2023년 신조차 고장관리 세부현황'!$BC:$BC,"완료")</f>
        <v>0</v>
      </c>
      <c r="CJ113"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분석_15일'!$F113,'2023년 신조차 고장관리 세부현황'!$BC:$BC,"완료")</f>
        <v>0</v>
      </c>
      <c r="CK113"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분석_15일'!$F113,'2023년 신조차 고장관리 세부현황'!$BC:$BC,"완료")</f>
        <v>0</v>
      </c>
      <c r="CL113"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분석_15일'!$F113,'2023년 신조차 고장관리 세부현황'!$BC:$BC,"완료")</f>
        <v>0</v>
      </c>
      <c r="CM113"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분석_15일'!$F113,'2023년 신조차 고장관리 세부현황'!$BC:$BC,"완료")</f>
        <v>0</v>
      </c>
      <c r="CN113"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분석_15일'!$F113,'2023년 신조차 고장관리 세부현황'!$BC:$BC,"완료")</f>
        <v>0</v>
      </c>
      <c r="CO113"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분석_15일'!$F113,'2023년 신조차 고장관리 세부현황'!$BC:$BC,"완료")</f>
        <v>0</v>
      </c>
      <c r="CP113"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분석_15일'!$F113,'2023년 신조차 고장관리 세부현황'!$BC:$BC,"완료")</f>
        <v>0</v>
      </c>
      <c r="CQ113"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분석_15일'!$F113,'2023년 신조차 고장관리 세부현황'!$BC:$BC,"완료")</f>
        <v>0</v>
      </c>
      <c r="CR113"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분석_15일'!$F113,'2023년 신조차 고장관리 세부현황'!$BC:$BC,"완료")</f>
        <v>0</v>
      </c>
      <c r="CS113"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분석_15일'!$F113,'2023년 신조차 고장관리 세부현황'!$BC:$BC,"완료")</f>
        <v>0</v>
      </c>
      <c r="CT113"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분석_15일'!$F113,'2023년 신조차 고장관리 세부현황'!$BC:$BC,"완료")</f>
        <v>0</v>
      </c>
      <c r="CU113"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분석_15일'!$F113,'2023년 신조차 고장관리 세부현황'!$BC:$BC,"완료")</f>
        <v>0</v>
      </c>
      <c r="CV113"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분석_15일'!$F113,'2023년 신조차 고장관리 세부현황'!$BC:$BC,"완료")</f>
        <v>0</v>
      </c>
      <c r="CW113"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분석_15일'!$F113,'2023년 신조차 고장관리 세부현황'!$BC:$BC,"완료")</f>
        <v>0</v>
      </c>
      <c r="CX113">
        <f t="shared" si="288"/>
        <v>0</v>
      </c>
    </row>
    <row r="217" spans="1:102" x14ac:dyDescent="0.4">
      <c r="A217" s="168"/>
      <c r="B217" s="168"/>
      <c r="C217" s="168"/>
      <c r="D217" s="168"/>
      <c r="E217" s="168"/>
    </row>
    <row r="218" spans="1:102" x14ac:dyDescent="0.4">
      <c r="A218" s="168"/>
      <c r="B218" s="168"/>
      <c r="C218" s="168"/>
      <c r="D218" s="168"/>
      <c r="E218" s="168"/>
      <c r="F218" t="s">
        <v>354</v>
      </c>
    </row>
    <row r="219" spans="1:102" x14ac:dyDescent="0.4">
      <c r="F219" t="s">
        <v>256</v>
      </c>
      <c r="CX219" t="s">
        <v>390</v>
      </c>
    </row>
    <row r="220" spans="1:102" x14ac:dyDescent="0.4">
      <c r="F220" s="85" t="s">
        <v>242</v>
      </c>
      <c r="G220" s="85">
        <v>1</v>
      </c>
      <c r="H220" s="85">
        <v>2</v>
      </c>
      <c r="I220" s="85">
        <v>3</v>
      </c>
      <c r="J220" s="85">
        <v>4</v>
      </c>
      <c r="K220" s="85">
        <v>5</v>
      </c>
      <c r="L220" s="85">
        <v>6</v>
      </c>
      <c r="M220" s="85">
        <v>7</v>
      </c>
      <c r="N220" s="85">
        <v>8</v>
      </c>
      <c r="O220" s="85">
        <v>9</v>
      </c>
      <c r="P220" s="85">
        <v>10</v>
      </c>
      <c r="Q220" s="85">
        <v>11</v>
      </c>
      <c r="R220" s="85">
        <v>12</v>
      </c>
      <c r="S220" s="85">
        <v>13</v>
      </c>
      <c r="T220" s="85">
        <v>14</v>
      </c>
      <c r="U220" s="85">
        <v>15</v>
      </c>
      <c r="V220" s="85">
        <v>16</v>
      </c>
      <c r="W220" s="85">
        <v>17</v>
      </c>
      <c r="X220" s="85">
        <v>18</v>
      </c>
      <c r="Y220" s="85">
        <v>19</v>
      </c>
      <c r="Z220" s="85">
        <v>20</v>
      </c>
      <c r="AA220" s="85">
        <v>21</v>
      </c>
      <c r="AB220" s="85">
        <v>22</v>
      </c>
      <c r="AC220" s="85">
        <v>23</v>
      </c>
      <c r="AD220" s="85">
        <v>24</v>
      </c>
      <c r="AE220" s="85">
        <v>25</v>
      </c>
      <c r="AF220" s="85">
        <v>26</v>
      </c>
      <c r="AG220" s="85">
        <v>27</v>
      </c>
      <c r="AH220" s="85">
        <v>28</v>
      </c>
      <c r="AI220" s="85">
        <v>29</v>
      </c>
      <c r="AJ220" s="85">
        <v>30</v>
      </c>
      <c r="AK220" s="85">
        <v>31</v>
      </c>
      <c r="AL220" s="85">
        <v>32</v>
      </c>
      <c r="AM220" s="85">
        <v>33</v>
      </c>
      <c r="AN220" s="85">
        <v>34</v>
      </c>
      <c r="AO220" s="85">
        <v>35</v>
      </c>
      <c r="AP220" s="85">
        <v>36</v>
      </c>
      <c r="AQ220" s="85">
        <v>37</v>
      </c>
      <c r="AR220" s="85">
        <v>38</v>
      </c>
      <c r="AS220" s="85">
        <v>39</v>
      </c>
      <c r="AT220" s="85">
        <v>40</v>
      </c>
      <c r="AU220" s="85">
        <v>41</v>
      </c>
      <c r="AV220" s="85">
        <v>42</v>
      </c>
      <c r="AW220" s="85">
        <v>43</v>
      </c>
      <c r="AX220" s="85">
        <v>44</v>
      </c>
      <c r="AY220" s="85">
        <v>45</v>
      </c>
      <c r="AZ220" s="85">
        <v>46</v>
      </c>
      <c r="BA220" s="85">
        <v>47</v>
      </c>
      <c r="BB220" s="85">
        <v>48</v>
      </c>
      <c r="BC220" s="85">
        <v>49</v>
      </c>
      <c r="BD220" s="85">
        <v>50</v>
      </c>
      <c r="BE220" s="85">
        <v>51</v>
      </c>
      <c r="BF220" s="85">
        <v>52</v>
      </c>
      <c r="BG220" s="85">
        <v>53</v>
      </c>
      <c r="BH220" s="85">
        <v>54</v>
      </c>
      <c r="BI220" s="85">
        <v>55</v>
      </c>
      <c r="BJ220" s="85">
        <v>56</v>
      </c>
      <c r="BK220" s="85">
        <v>57</v>
      </c>
      <c r="BL220" s="85">
        <v>58</v>
      </c>
      <c r="BM220" s="85">
        <v>59</v>
      </c>
      <c r="BN220" s="85">
        <v>60</v>
      </c>
      <c r="BO220" s="85">
        <v>61</v>
      </c>
      <c r="BP220" s="85">
        <v>62</v>
      </c>
      <c r="BQ220" s="85">
        <v>63</v>
      </c>
      <c r="BR220" s="85">
        <v>64</v>
      </c>
      <c r="BS220" s="85">
        <v>65</v>
      </c>
      <c r="BT220" s="85">
        <v>66</v>
      </c>
      <c r="BU220" s="85">
        <v>67</v>
      </c>
      <c r="BV220" s="85">
        <v>68</v>
      </c>
      <c r="BW220" s="85">
        <v>69</v>
      </c>
      <c r="BX220" s="85">
        <v>70</v>
      </c>
      <c r="BY220" s="85">
        <v>71</v>
      </c>
      <c r="BZ220" s="85">
        <v>72</v>
      </c>
      <c r="CA220" s="85">
        <v>73</v>
      </c>
      <c r="CB220" s="85">
        <v>74</v>
      </c>
      <c r="CC220" s="85">
        <v>75</v>
      </c>
      <c r="CD220" s="85">
        <v>76</v>
      </c>
      <c r="CE220" s="85">
        <v>77</v>
      </c>
      <c r="CF220" s="85">
        <v>78</v>
      </c>
      <c r="CG220" s="85">
        <v>79</v>
      </c>
      <c r="CH220" s="85">
        <v>80</v>
      </c>
      <c r="CI220" s="85">
        <v>81</v>
      </c>
      <c r="CJ220" s="85">
        <v>82</v>
      </c>
      <c r="CK220" s="85">
        <v>83</v>
      </c>
      <c r="CL220" s="85">
        <v>84</v>
      </c>
      <c r="CM220" s="85">
        <v>85</v>
      </c>
      <c r="CN220" s="85">
        <v>86</v>
      </c>
      <c r="CO220" s="85">
        <v>87</v>
      </c>
      <c r="CP220" s="85">
        <v>88</v>
      </c>
      <c r="CQ220" s="85">
        <v>89</v>
      </c>
      <c r="CR220" s="85">
        <v>90</v>
      </c>
      <c r="CS220" s="85">
        <v>91</v>
      </c>
      <c r="CT220" s="85">
        <v>92</v>
      </c>
      <c r="CU220" s="85">
        <v>93</v>
      </c>
      <c r="CV220" s="85">
        <v>94</v>
      </c>
      <c r="CW220" s="85">
        <v>95</v>
      </c>
    </row>
    <row r="221" spans="1:102" x14ac:dyDescent="0.4">
      <c r="F221" s="85" t="s">
        <v>239</v>
      </c>
      <c r="G221" s="139">
        <f>15*G220</f>
        <v>15</v>
      </c>
      <c r="H221" s="139">
        <f t="shared" ref="H221:BS221" si="293">15*H220</f>
        <v>30</v>
      </c>
      <c r="I221" s="139">
        <f t="shared" si="293"/>
        <v>45</v>
      </c>
      <c r="J221" s="139">
        <f t="shared" si="293"/>
        <v>60</v>
      </c>
      <c r="K221" s="139">
        <f t="shared" si="293"/>
        <v>75</v>
      </c>
      <c r="L221" s="139">
        <f t="shared" si="293"/>
        <v>90</v>
      </c>
      <c r="M221" s="139">
        <f t="shared" si="293"/>
        <v>105</v>
      </c>
      <c r="N221" s="139">
        <f t="shared" si="293"/>
        <v>120</v>
      </c>
      <c r="O221" s="139">
        <f t="shared" si="293"/>
        <v>135</v>
      </c>
      <c r="P221" s="139">
        <f t="shared" si="293"/>
        <v>150</v>
      </c>
      <c r="Q221" s="139">
        <f t="shared" si="293"/>
        <v>165</v>
      </c>
      <c r="R221" s="139">
        <f t="shared" si="293"/>
        <v>180</v>
      </c>
      <c r="S221" s="139">
        <f t="shared" si="293"/>
        <v>195</v>
      </c>
      <c r="T221" s="139">
        <f t="shared" si="293"/>
        <v>210</v>
      </c>
      <c r="U221" s="139">
        <f t="shared" si="293"/>
        <v>225</v>
      </c>
      <c r="V221" s="139">
        <f t="shared" si="293"/>
        <v>240</v>
      </c>
      <c r="W221" s="139">
        <f t="shared" si="293"/>
        <v>255</v>
      </c>
      <c r="X221" s="139">
        <f t="shared" si="293"/>
        <v>270</v>
      </c>
      <c r="Y221" s="139">
        <f t="shared" si="293"/>
        <v>285</v>
      </c>
      <c r="Z221" s="139">
        <f t="shared" si="293"/>
        <v>300</v>
      </c>
      <c r="AA221" s="139">
        <f t="shared" si="293"/>
        <v>315</v>
      </c>
      <c r="AB221" s="139">
        <f t="shared" si="293"/>
        <v>330</v>
      </c>
      <c r="AC221" s="139">
        <f t="shared" si="293"/>
        <v>345</v>
      </c>
      <c r="AD221" s="139">
        <f t="shared" si="293"/>
        <v>360</v>
      </c>
      <c r="AE221" s="139">
        <f t="shared" si="293"/>
        <v>375</v>
      </c>
      <c r="AF221" s="139">
        <f t="shared" si="293"/>
        <v>390</v>
      </c>
      <c r="AG221" s="139">
        <f t="shared" si="293"/>
        <v>405</v>
      </c>
      <c r="AH221" s="139">
        <f t="shared" si="293"/>
        <v>420</v>
      </c>
      <c r="AI221" s="139">
        <f t="shared" si="293"/>
        <v>435</v>
      </c>
      <c r="AJ221" s="139">
        <f t="shared" si="293"/>
        <v>450</v>
      </c>
      <c r="AK221" s="139">
        <f t="shared" si="293"/>
        <v>465</v>
      </c>
      <c r="AL221" s="139">
        <f t="shared" si="293"/>
        <v>480</v>
      </c>
      <c r="AM221" s="139">
        <f t="shared" si="293"/>
        <v>495</v>
      </c>
      <c r="AN221" s="139">
        <f t="shared" si="293"/>
        <v>510</v>
      </c>
      <c r="AO221" s="139">
        <f t="shared" si="293"/>
        <v>525</v>
      </c>
      <c r="AP221" s="139">
        <f t="shared" si="293"/>
        <v>540</v>
      </c>
      <c r="AQ221" s="139">
        <f t="shared" si="293"/>
        <v>555</v>
      </c>
      <c r="AR221" s="139">
        <f t="shared" si="293"/>
        <v>570</v>
      </c>
      <c r="AS221" s="139">
        <f t="shared" si="293"/>
        <v>585</v>
      </c>
      <c r="AT221" s="139">
        <f t="shared" si="293"/>
        <v>600</v>
      </c>
      <c r="AU221" s="139">
        <f t="shared" si="293"/>
        <v>615</v>
      </c>
      <c r="AV221" s="139">
        <f t="shared" si="293"/>
        <v>630</v>
      </c>
      <c r="AW221" s="139">
        <f t="shared" si="293"/>
        <v>645</v>
      </c>
      <c r="AX221" s="139">
        <f t="shared" si="293"/>
        <v>660</v>
      </c>
      <c r="AY221" s="139">
        <f t="shared" si="293"/>
        <v>675</v>
      </c>
      <c r="AZ221" s="139">
        <f t="shared" si="293"/>
        <v>690</v>
      </c>
      <c r="BA221" s="139">
        <f t="shared" si="293"/>
        <v>705</v>
      </c>
      <c r="BB221" s="139">
        <f t="shared" si="293"/>
        <v>720</v>
      </c>
      <c r="BC221" s="139">
        <f t="shared" si="293"/>
        <v>735</v>
      </c>
      <c r="BD221" s="139">
        <f t="shared" si="293"/>
        <v>750</v>
      </c>
      <c r="BE221" s="139">
        <f t="shared" si="293"/>
        <v>765</v>
      </c>
      <c r="BF221" s="139">
        <f t="shared" si="293"/>
        <v>780</v>
      </c>
      <c r="BG221" s="139">
        <f t="shared" si="293"/>
        <v>795</v>
      </c>
      <c r="BH221" s="139">
        <f t="shared" si="293"/>
        <v>810</v>
      </c>
      <c r="BI221" s="139">
        <f t="shared" si="293"/>
        <v>825</v>
      </c>
      <c r="BJ221" s="139">
        <f t="shared" si="293"/>
        <v>840</v>
      </c>
      <c r="BK221" s="139">
        <f t="shared" si="293"/>
        <v>855</v>
      </c>
      <c r="BL221" s="139">
        <f t="shared" si="293"/>
        <v>870</v>
      </c>
      <c r="BM221" s="139">
        <f t="shared" si="293"/>
        <v>885</v>
      </c>
      <c r="BN221" s="139">
        <f t="shared" si="293"/>
        <v>900</v>
      </c>
      <c r="BO221" s="139">
        <f t="shared" si="293"/>
        <v>915</v>
      </c>
      <c r="BP221" s="139">
        <f t="shared" si="293"/>
        <v>930</v>
      </c>
      <c r="BQ221" s="139">
        <f t="shared" si="293"/>
        <v>945</v>
      </c>
      <c r="BR221" s="139">
        <f t="shared" si="293"/>
        <v>960</v>
      </c>
      <c r="BS221" s="139">
        <f t="shared" si="293"/>
        <v>975</v>
      </c>
      <c r="BT221" s="139">
        <f t="shared" ref="BT221:CW221" si="294">15*BT220</f>
        <v>990</v>
      </c>
      <c r="BU221" s="139">
        <f t="shared" si="294"/>
        <v>1005</v>
      </c>
      <c r="BV221" s="139">
        <f t="shared" si="294"/>
        <v>1020</v>
      </c>
      <c r="BW221" s="139">
        <f t="shared" si="294"/>
        <v>1035</v>
      </c>
      <c r="BX221" s="139">
        <f t="shared" si="294"/>
        <v>1050</v>
      </c>
      <c r="BY221" s="139">
        <f t="shared" si="294"/>
        <v>1065</v>
      </c>
      <c r="BZ221" s="139">
        <f t="shared" si="294"/>
        <v>1080</v>
      </c>
      <c r="CA221" s="139">
        <f t="shared" si="294"/>
        <v>1095</v>
      </c>
      <c r="CB221" s="139">
        <f t="shared" si="294"/>
        <v>1110</v>
      </c>
      <c r="CC221" s="139">
        <f t="shared" si="294"/>
        <v>1125</v>
      </c>
      <c r="CD221" s="139">
        <f t="shared" si="294"/>
        <v>1140</v>
      </c>
      <c r="CE221" s="139">
        <f t="shared" si="294"/>
        <v>1155</v>
      </c>
      <c r="CF221" s="139">
        <f t="shared" si="294"/>
        <v>1170</v>
      </c>
      <c r="CG221" s="139">
        <f t="shared" si="294"/>
        <v>1185</v>
      </c>
      <c r="CH221" s="139">
        <f t="shared" si="294"/>
        <v>1200</v>
      </c>
      <c r="CI221" s="139">
        <f t="shared" si="294"/>
        <v>1215</v>
      </c>
      <c r="CJ221" s="139">
        <f t="shared" si="294"/>
        <v>1230</v>
      </c>
      <c r="CK221" s="139">
        <f t="shared" si="294"/>
        <v>1245</v>
      </c>
      <c r="CL221" s="139">
        <f t="shared" si="294"/>
        <v>1260</v>
      </c>
      <c r="CM221" s="139">
        <f t="shared" si="294"/>
        <v>1275</v>
      </c>
      <c r="CN221" s="139">
        <f t="shared" si="294"/>
        <v>1290</v>
      </c>
      <c r="CO221" s="139">
        <f t="shared" si="294"/>
        <v>1305</v>
      </c>
      <c r="CP221" s="139">
        <f t="shared" si="294"/>
        <v>1320</v>
      </c>
      <c r="CQ221" s="139">
        <f t="shared" si="294"/>
        <v>1335</v>
      </c>
      <c r="CR221" s="139">
        <f t="shared" si="294"/>
        <v>1350</v>
      </c>
      <c r="CS221" s="139">
        <f t="shared" si="294"/>
        <v>1365</v>
      </c>
      <c r="CT221" s="139">
        <f t="shared" si="294"/>
        <v>1380</v>
      </c>
      <c r="CU221" s="139">
        <f t="shared" si="294"/>
        <v>1395</v>
      </c>
      <c r="CV221" s="139">
        <f t="shared" si="294"/>
        <v>1410</v>
      </c>
      <c r="CW221" s="139">
        <f t="shared" si="294"/>
        <v>1425</v>
      </c>
    </row>
    <row r="222" spans="1:102" x14ac:dyDescent="0.4">
      <c r="F222" s="85" t="s">
        <v>154</v>
      </c>
      <c r="G222" s="85">
        <f>COUNTIFS('2023년 신조차 고장관리 세부현황'!$K:$K,"128R",'2023년 신조차 고장관리 세부현황'!$P:$P,"&gt;="&amp;G220,'2023년 신조차 고장관리 세부현황'!$P:$P,"&lt;"&amp;'트랜드 분석_15일'!G221,'2023년 신조차 고장관리 세부현황'!$BC:$BC,"완료",'2023년 신조차 고장관리 세부현황'!$CY:$CY,"TCMS")</f>
        <v>0</v>
      </c>
      <c r="H222" s="85">
        <f>COUNTIFS('2023년 신조차 고장관리 세부현황'!$K:$K,"128R",'2023년 신조차 고장관리 세부현황'!$P:$P,"&gt;="&amp;'트랜드 분석_15일'!G$18,'2023년 신조차 고장관리 세부현황'!$P:$P,"&lt;"&amp;'트랜드 분석_15일'!H$18,'2023년 신조차 고장관리 세부현황'!$BC:$BC,"완료",'2023년 신조차 고장관리 세부현황'!$CY:$CY,"TCMS")</f>
        <v>0</v>
      </c>
      <c r="I222" s="85">
        <f>COUNTIFS('2023년 신조차 고장관리 세부현황'!$K:$K,"128R",'2023년 신조차 고장관리 세부현황'!$P:$P,"&gt;="&amp;'트랜드 분석_15일'!H$18,'2023년 신조차 고장관리 세부현황'!$P:$P,"&lt;"&amp;'트랜드 분석_15일'!I$18,'2023년 신조차 고장관리 세부현황'!$BC:$BC,"완료",'2023년 신조차 고장관리 세부현황'!$CY:$CY,"TCMS")</f>
        <v>0</v>
      </c>
      <c r="J222" s="85">
        <f>COUNTIFS('2023년 신조차 고장관리 세부현황'!$K:$K,"128R",'2023년 신조차 고장관리 세부현황'!$P:$P,"&gt;="&amp;'트랜드 분석_15일'!I$18,'2023년 신조차 고장관리 세부현황'!$P:$P,"&lt;"&amp;'트랜드 분석_15일'!J$18,'2023년 신조차 고장관리 세부현황'!$BC:$BC,"완료",'2023년 신조차 고장관리 세부현황'!$CY:$CY,"TCMS")</f>
        <v>0</v>
      </c>
      <c r="K222" s="85">
        <f>COUNTIFS('2023년 신조차 고장관리 세부현황'!$K:$K,"128R",'2023년 신조차 고장관리 세부현황'!$P:$P,"&gt;="&amp;'트랜드 분석_15일'!J$18,'2023년 신조차 고장관리 세부현황'!$P:$P,"&lt;"&amp;'트랜드 분석_15일'!K$18,'2023년 신조차 고장관리 세부현황'!$BC:$BC,"완료",'2023년 신조차 고장관리 세부현황'!$CY:$CY,"TCMS")</f>
        <v>0</v>
      </c>
      <c r="L222" s="85">
        <f>COUNTIFS('2023년 신조차 고장관리 세부현황'!$K:$K,"128R",'2023년 신조차 고장관리 세부현황'!$P:$P,"&gt;="&amp;'트랜드 분석_15일'!K$18,'2023년 신조차 고장관리 세부현황'!$P:$P,"&lt;"&amp;'트랜드 분석_15일'!L$18,'2023년 신조차 고장관리 세부현황'!$BC:$BC,"완료",'2023년 신조차 고장관리 세부현황'!$CY:$CY,"TCMS")</f>
        <v>0</v>
      </c>
      <c r="M222" s="85">
        <f>COUNTIFS('2023년 신조차 고장관리 세부현황'!$K:$K,"128R",'2023년 신조차 고장관리 세부현황'!$P:$P,"&gt;="&amp;'트랜드 분석_15일'!L$18,'2023년 신조차 고장관리 세부현황'!$P:$P,"&lt;"&amp;'트랜드 분석_15일'!M$18,'2023년 신조차 고장관리 세부현황'!$BC:$BC,"완료",'2023년 신조차 고장관리 세부현황'!$CY:$CY,"TCMS")</f>
        <v>0</v>
      </c>
      <c r="N222" s="85">
        <f>COUNTIFS('2023년 신조차 고장관리 세부현황'!$K:$K,"128R",'2023년 신조차 고장관리 세부현황'!$P:$P,"&gt;="&amp;'트랜드 분석_15일'!M$18,'2023년 신조차 고장관리 세부현황'!$P:$P,"&lt;"&amp;'트랜드 분석_15일'!N$18,'2023년 신조차 고장관리 세부현황'!$BC:$BC,"완료",'2023년 신조차 고장관리 세부현황'!$CY:$CY,"TCMS")</f>
        <v>0</v>
      </c>
      <c r="O222" s="85">
        <f>COUNTIFS('2023년 신조차 고장관리 세부현황'!$K:$K,"128R",'2023년 신조차 고장관리 세부현황'!$P:$P,"&gt;="&amp;'트랜드 분석_15일'!N$18,'2023년 신조차 고장관리 세부현황'!$P:$P,"&lt;"&amp;'트랜드 분석_15일'!O$18,'2023년 신조차 고장관리 세부현황'!$BC:$BC,"완료",'2023년 신조차 고장관리 세부현황'!$CY:$CY,"TCMS")</f>
        <v>0</v>
      </c>
      <c r="P222" s="85">
        <f>COUNTIFS('2023년 신조차 고장관리 세부현황'!$K:$K,"128R",'2023년 신조차 고장관리 세부현황'!$P:$P,"&gt;="&amp;'트랜드 분석_15일'!O$18,'2023년 신조차 고장관리 세부현황'!$P:$P,"&lt;"&amp;'트랜드 분석_15일'!P$18,'2023년 신조차 고장관리 세부현황'!$BC:$BC,"완료",'2023년 신조차 고장관리 세부현황'!$CY:$CY,"TCMS")</f>
        <v>0</v>
      </c>
      <c r="Q222" s="85">
        <f>COUNTIFS('2023년 신조차 고장관리 세부현황'!$K:$K,"128R",'2023년 신조차 고장관리 세부현황'!$P:$P,"&gt;="&amp;'트랜드 분석_15일'!P$18,'2023년 신조차 고장관리 세부현황'!$P:$P,"&lt;"&amp;'트랜드 분석_15일'!Q$18,'2023년 신조차 고장관리 세부현황'!$BC:$BC,"완료",'2023년 신조차 고장관리 세부현황'!$CY:$CY,"TCMS")</f>
        <v>0</v>
      </c>
      <c r="R222" s="85">
        <f>COUNTIFS('2023년 신조차 고장관리 세부현황'!$K:$K,"128R",'2023년 신조차 고장관리 세부현황'!$P:$P,"&gt;="&amp;'트랜드 분석_15일'!Q$18,'2023년 신조차 고장관리 세부현황'!$P:$P,"&lt;"&amp;'트랜드 분석_15일'!R$18,'2023년 신조차 고장관리 세부현황'!$BC:$BC,"완료",'2023년 신조차 고장관리 세부현황'!$CY:$CY,"TCMS")</f>
        <v>0</v>
      </c>
      <c r="S222" s="85">
        <f>COUNTIFS('2023년 신조차 고장관리 세부현황'!$K:$K,"128R",'2023년 신조차 고장관리 세부현황'!$P:$P,"&gt;="&amp;'트랜드 분석_15일'!R$18,'2023년 신조차 고장관리 세부현황'!$P:$P,"&lt;"&amp;'트랜드 분석_15일'!S$18,'2023년 신조차 고장관리 세부현황'!$BC:$BC,"완료",'2023년 신조차 고장관리 세부현황'!$CY:$CY,"TCMS")</f>
        <v>0</v>
      </c>
      <c r="T222" s="85">
        <f>COUNTIFS('2023년 신조차 고장관리 세부현황'!$K:$K,"128R",'2023년 신조차 고장관리 세부현황'!$P:$P,"&gt;="&amp;'트랜드 분석_15일'!S$18,'2023년 신조차 고장관리 세부현황'!$P:$P,"&lt;"&amp;'트랜드 분석_15일'!T$18,'2023년 신조차 고장관리 세부현황'!$BC:$BC,"완료",'2023년 신조차 고장관리 세부현황'!$CY:$CY,"TCMS")</f>
        <v>0</v>
      </c>
      <c r="U222" s="85">
        <f>COUNTIFS('2023년 신조차 고장관리 세부현황'!$K:$K,"128R",'2023년 신조차 고장관리 세부현황'!$P:$P,"&gt;="&amp;'트랜드 분석_15일'!T$18,'2023년 신조차 고장관리 세부현황'!$P:$P,"&lt;"&amp;'트랜드 분석_15일'!U$18,'2023년 신조차 고장관리 세부현황'!$BC:$BC,"완료",'2023년 신조차 고장관리 세부현황'!$CY:$CY,"TCMS")</f>
        <v>0</v>
      </c>
      <c r="V222" s="85">
        <f>COUNTIFS('2023년 신조차 고장관리 세부현황'!$K:$K,"128R",'2023년 신조차 고장관리 세부현황'!$P:$P,"&gt;="&amp;'트랜드 분석_15일'!U$18,'2023년 신조차 고장관리 세부현황'!$P:$P,"&lt;"&amp;'트랜드 분석_15일'!V$18,'2023년 신조차 고장관리 세부현황'!$BC:$BC,"완료",'2023년 신조차 고장관리 세부현황'!$CY:$CY,"TCMS")</f>
        <v>0</v>
      </c>
      <c r="W222" s="85">
        <f>COUNTIFS('2023년 신조차 고장관리 세부현황'!$K:$K,"128R",'2023년 신조차 고장관리 세부현황'!$P:$P,"&gt;="&amp;'트랜드 분석_15일'!V$18,'2023년 신조차 고장관리 세부현황'!$P:$P,"&lt;"&amp;'트랜드 분석_15일'!W$18,'2023년 신조차 고장관리 세부현황'!$BC:$BC,"완료",'2023년 신조차 고장관리 세부현황'!$CY:$CY,"TCMS")</f>
        <v>0</v>
      </c>
      <c r="X222" s="85">
        <f>COUNTIFS('2023년 신조차 고장관리 세부현황'!$K:$K,"128R",'2023년 신조차 고장관리 세부현황'!$P:$P,"&gt;="&amp;'트랜드 분석_15일'!W$18,'2023년 신조차 고장관리 세부현황'!$P:$P,"&lt;"&amp;'트랜드 분석_15일'!X$18,'2023년 신조차 고장관리 세부현황'!$BC:$BC,"완료",'2023년 신조차 고장관리 세부현황'!$CY:$CY,"TCMS")</f>
        <v>0</v>
      </c>
      <c r="Y222" s="85">
        <f>COUNTIFS('2023년 신조차 고장관리 세부현황'!$K:$K,"128R",'2023년 신조차 고장관리 세부현황'!$P:$P,"&gt;="&amp;'트랜드 분석_15일'!X$18,'2023년 신조차 고장관리 세부현황'!$P:$P,"&lt;"&amp;'트랜드 분석_15일'!Y$18,'2023년 신조차 고장관리 세부현황'!$BC:$BC,"완료",'2023년 신조차 고장관리 세부현황'!$CY:$CY,"TCMS")</f>
        <v>0</v>
      </c>
      <c r="Z222" s="85">
        <f>COUNTIFS('2023년 신조차 고장관리 세부현황'!$K:$K,"128R",'2023년 신조차 고장관리 세부현황'!$P:$P,"&gt;="&amp;'트랜드 분석_15일'!Y$18,'2023년 신조차 고장관리 세부현황'!$P:$P,"&lt;"&amp;'트랜드 분석_15일'!Z$18,'2023년 신조차 고장관리 세부현황'!$BC:$BC,"완료",'2023년 신조차 고장관리 세부현황'!$CY:$CY,"TCMS")</f>
        <v>0</v>
      </c>
      <c r="AA222" s="85">
        <f>COUNTIFS('2023년 신조차 고장관리 세부현황'!$K:$K,"128R",'2023년 신조차 고장관리 세부현황'!$P:$P,"&gt;="&amp;'트랜드 분석_15일'!Z$18,'2023년 신조차 고장관리 세부현황'!$P:$P,"&lt;"&amp;'트랜드 분석_15일'!AA$18,'2023년 신조차 고장관리 세부현황'!$BC:$BC,"완료",'2023년 신조차 고장관리 세부현황'!$CY:$CY,"TCMS")</f>
        <v>0</v>
      </c>
      <c r="AB222" s="85">
        <f>COUNTIFS('2023년 신조차 고장관리 세부현황'!$K:$K,"128R",'2023년 신조차 고장관리 세부현황'!$P:$P,"&gt;="&amp;'트랜드 분석_15일'!AA$18,'2023년 신조차 고장관리 세부현황'!$P:$P,"&lt;"&amp;'트랜드 분석_15일'!AB$18,'2023년 신조차 고장관리 세부현황'!$BC:$BC,"완료",'2023년 신조차 고장관리 세부현황'!$CY:$CY,"TCMS")</f>
        <v>0</v>
      </c>
      <c r="AC222" s="85">
        <f>COUNTIFS('2023년 신조차 고장관리 세부현황'!$K:$K,"128R",'2023년 신조차 고장관리 세부현황'!$P:$P,"&gt;="&amp;'트랜드 분석_15일'!AB$18,'2023년 신조차 고장관리 세부현황'!$P:$P,"&lt;"&amp;'트랜드 분석_15일'!AC$18,'2023년 신조차 고장관리 세부현황'!$BC:$BC,"완료",'2023년 신조차 고장관리 세부현황'!$CY:$CY,"TCMS")</f>
        <v>0</v>
      </c>
      <c r="AD222" s="85">
        <f>COUNTIFS('2023년 신조차 고장관리 세부현황'!$K:$K,"128R",'2023년 신조차 고장관리 세부현황'!$P:$P,"&gt;="&amp;'트랜드 분석_15일'!AC$18,'2023년 신조차 고장관리 세부현황'!$P:$P,"&lt;"&amp;'트랜드 분석_15일'!AD$18,'2023년 신조차 고장관리 세부현황'!$BC:$BC,"완료",'2023년 신조차 고장관리 세부현황'!$CY:$CY,"TCMS")</f>
        <v>0</v>
      </c>
      <c r="AE222" s="85">
        <f>COUNTIFS('2023년 신조차 고장관리 세부현황'!$K:$K,"128R",'2023년 신조차 고장관리 세부현황'!$P:$P,"&gt;="&amp;'트랜드 분석_15일'!AD$18,'2023년 신조차 고장관리 세부현황'!$P:$P,"&lt;"&amp;'트랜드 분석_15일'!AE$18,'2023년 신조차 고장관리 세부현황'!$BC:$BC,"완료",'2023년 신조차 고장관리 세부현황'!$CY:$CY,"TCMS")</f>
        <v>0</v>
      </c>
      <c r="AF222" s="85">
        <f>COUNTIFS('2023년 신조차 고장관리 세부현황'!$K:$K,"128R",'2023년 신조차 고장관리 세부현황'!$P:$P,"&gt;="&amp;'트랜드 분석_15일'!AE$18,'2023년 신조차 고장관리 세부현황'!$P:$P,"&lt;"&amp;'트랜드 분석_15일'!AF$18,'2023년 신조차 고장관리 세부현황'!$BC:$BC,"완료",'2023년 신조차 고장관리 세부현황'!$CY:$CY,"TCMS")</f>
        <v>0</v>
      </c>
      <c r="AG222" s="85">
        <f>COUNTIFS('2023년 신조차 고장관리 세부현황'!$K:$K,"128R",'2023년 신조차 고장관리 세부현황'!$P:$P,"&gt;="&amp;'트랜드 분석_15일'!AF$18,'2023년 신조차 고장관리 세부현황'!$P:$P,"&lt;"&amp;'트랜드 분석_15일'!AG$18,'2023년 신조차 고장관리 세부현황'!$BC:$BC,"완료",'2023년 신조차 고장관리 세부현황'!$CY:$CY,"TCMS")</f>
        <v>0</v>
      </c>
      <c r="AH222" s="85">
        <f>COUNTIFS('2023년 신조차 고장관리 세부현황'!$K:$K,"128R",'2023년 신조차 고장관리 세부현황'!$P:$P,"&gt;="&amp;'트랜드 분석_15일'!AG$18,'2023년 신조차 고장관리 세부현황'!$P:$P,"&lt;"&amp;'트랜드 분석_15일'!AH$18,'2023년 신조차 고장관리 세부현황'!$BC:$BC,"완료",'2023년 신조차 고장관리 세부현황'!$CY:$CY,"TCMS")</f>
        <v>0</v>
      </c>
      <c r="AI222" s="85">
        <f>COUNTIFS('2023년 신조차 고장관리 세부현황'!$K:$K,"128R",'2023년 신조차 고장관리 세부현황'!$P:$P,"&gt;="&amp;'트랜드 분석_15일'!AH$18,'2023년 신조차 고장관리 세부현황'!$P:$P,"&lt;"&amp;'트랜드 분석_15일'!AI$18,'2023년 신조차 고장관리 세부현황'!$BC:$BC,"완료",'2023년 신조차 고장관리 세부현황'!$CY:$CY,"TCMS")</f>
        <v>0</v>
      </c>
      <c r="AJ222" s="85">
        <f>COUNTIFS('2023년 신조차 고장관리 세부현황'!$K:$K,"128R",'2023년 신조차 고장관리 세부현황'!$P:$P,"&gt;="&amp;'트랜드 분석_15일'!AI$18,'2023년 신조차 고장관리 세부현황'!$P:$P,"&lt;"&amp;'트랜드 분석_15일'!AJ$18,'2023년 신조차 고장관리 세부현황'!$BC:$BC,"완료",'2023년 신조차 고장관리 세부현황'!$CY:$CY,"TCMS")</f>
        <v>0</v>
      </c>
      <c r="AK222" s="85">
        <f>COUNTIFS('2023년 신조차 고장관리 세부현황'!$K:$K,"128R",'2023년 신조차 고장관리 세부현황'!$P:$P,"&gt;="&amp;'트랜드 분석_15일'!AJ$18,'2023년 신조차 고장관리 세부현황'!$P:$P,"&lt;"&amp;'트랜드 분석_15일'!AK$18,'2023년 신조차 고장관리 세부현황'!$BC:$BC,"완료",'2023년 신조차 고장관리 세부현황'!$CY:$CY,"TCMS")</f>
        <v>0</v>
      </c>
      <c r="AL222" s="85">
        <f>COUNTIFS('2023년 신조차 고장관리 세부현황'!$K:$K,"128R",'2023년 신조차 고장관리 세부현황'!$P:$P,"&gt;="&amp;'트랜드 분석_15일'!AK$18,'2023년 신조차 고장관리 세부현황'!$P:$P,"&lt;"&amp;'트랜드 분석_15일'!AL$18,'2023년 신조차 고장관리 세부현황'!$BC:$BC,"완료",'2023년 신조차 고장관리 세부현황'!$CY:$CY,"TCMS")</f>
        <v>0</v>
      </c>
      <c r="AM222" s="85">
        <f>COUNTIFS('2023년 신조차 고장관리 세부현황'!$K:$K,"128R",'2023년 신조차 고장관리 세부현황'!$P:$P,"&gt;="&amp;'트랜드 분석_15일'!AL$18,'2023년 신조차 고장관리 세부현황'!$P:$P,"&lt;"&amp;'트랜드 분석_15일'!AM$18,'2023년 신조차 고장관리 세부현황'!$BC:$BC,"완료",'2023년 신조차 고장관리 세부현황'!$CY:$CY,"TCMS")</f>
        <v>0</v>
      </c>
      <c r="AN222" s="85">
        <f>COUNTIFS('2023년 신조차 고장관리 세부현황'!$K:$K,"128R",'2023년 신조차 고장관리 세부현황'!$P:$P,"&gt;="&amp;'트랜드 분석_15일'!AM$18,'2023년 신조차 고장관리 세부현황'!$P:$P,"&lt;"&amp;'트랜드 분석_15일'!AN$18,'2023년 신조차 고장관리 세부현황'!$BC:$BC,"완료",'2023년 신조차 고장관리 세부현황'!$CY:$CY,"TCMS")</f>
        <v>0</v>
      </c>
      <c r="AO222" s="85">
        <f>COUNTIFS('2023년 신조차 고장관리 세부현황'!$K:$K,"128R",'2023년 신조차 고장관리 세부현황'!$P:$P,"&gt;="&amp;'트랜드 분석_15일'!AN$18,'2023년 신조차 고장관리 세부현황'!$P:$P,"&lt;"&amp;'트랜드 분석_15일'!AO$18,'2023년 신조차 고장관리 세부현황'!$BC:$BC,"완료",'2023년 신조차 고장관리 세부현황'!$CY:$CY,"TCMS")</f>
        <v>0</v>
      </c>
      <c r="AP222" s="85">
        <f>COUNTIFS('2023년 신조차 고장관리 세부현황'!$K:$K,"128R",'2023년 신조차 고장관리 세부현황'!$P:$P,"&gt;="&amp;'트랜드 분석_15일'!AO$18,'2023년 신조차 고장관리 세부현황'!$P:$P,"&lt;"&amp;'트랜드 분석_15일'!AP$18,'2023년 신조차 고장관리 세부현황'!$BC:$BC,"완료",'2023년 신조차 고장관리 세부현황'!$CY:$CY,"TCMS")</f>
        <v>0</v>
      </c>
      <c r="AQ222" s="85">
        <f>COUNTIFS('2023년 신조차 고장관리 세부현황'!$K:$K,"128R",'2023년 신조차 고장관리 세부현황'!$P:$P,"&gt;="&amp;'트랜드 분석_15일'!AP$18,'2023년 신조차 고장관리 세부현황'!$P:$P,"&lt;"&amp;'트랜드 분석_15일'!AQ$18,'2023년 신조차 고장관리 세부현황'!$BC:$BC,"완료",'2023년 신조차 고장관리 세부현황'!$CY:$CY,"TCMS")</f>
        <v>0</v>
      </c>
      <c r="AR222" s="85">
        <f>COUNTIFS('2023년 신조차 고장관리 세부현황'!$K:$K,"128R",'2023년 신조차 고장관리 세부현황'!$P:$P,"&gt;="&amp;'트랜드 분석_15일'!AQ$18,'2023년 신조차 고장관리 세부현황'!$P:$P,"&lt;"&amp;'트랜드 분석_15일'!AR$18,'2023년 신조차 고장관리 세부현황'!$BC:$BC,"완료",'2023년 신조차 고장관리 세부현황'!$CY:$CY,"TCMS")</f>
        <v>0</v>
      </c>
      <c r="AS222" s="85">
        <f>COUNTIFS('2023년 신조차 고장관리 세부현황'!$K:$K,"128R",'2023년 신조차 고장관리 세부현황'!$P:$P,"&gt;="&amp;'트랜드 분석_15일'!AR$18,'2023년 신조차 고장관리 세부현황'!$P:$P,"&lt;"&amp;'트랜드 분석_15일'!AS$18,'2023년 신조차 고장관리 세부현황'!$BC:$BC,"완료",'2023년 신조차 고장관리 세부현황'!$CY:$CY,"TCMS")</f>
        <v>0</v>
      </c>
      <c r="AT222" s="85">
        <f>COUNTIFS('2023년 신조차 고장관리 세부현황'!$K:$K,"128R",'2023년 신조차 고장관리 세부현황'!$P:$P,"&gt;="&amp;'트랜드 분석_15일'!AS$18,'2023년 신조차 고장관리 세부현황'!$P:$P,"&lt;"&amp;'트랜드 분석_15일'!AT$18,'2023년 신조차 고장관리 세부현황'!$BC:$BC,"완료",'2023년 신조차 고장관리 세부현황'!$CY:$CY,"TCMS")</f>
        <v>0</v>
      </c>
      <c r="AU222" s="85">
        <f>COUNTIFS('2023년 신조차 고장관리 세부현황'!$K:$K,"128R",'2023년 신조차 고장관리 세부현황'!$P:$P,"&gt;="&amp;'트랜드 분석_15일'!AT$18,'2023년 신조차 고장관리 세부현황'!$P:$P,"&lt;"&amp;'트랜드 분석_15일'!AU$18,'2023년 신조차 고장관리 세부현황'!$BC:$BC,"완료",'2023년 신조차 고장관리 세부현황'!$CY:$CY,"TCMS")</f>
        <v>0</v>
      </c>
      <c r="AV222" s="85">
        <f>COUNTIFS('2023년 신조차 고장관리 세부현황'!$K:$K,"128R",'2023년 신조차 고장관리 세부현황'!$P:$P,"&gt;="&amp;'트랜드 분석_15일'!AU$18,'2023년 신조차 고장관리 세부현황'!$P:$P,"&lt;"&amp;'트랜드 분석_15일'!AV$18,'2023년 신조차 고장관리 세부현황'!$BC:$BC,"완료",'2023년 신조차 고장관리 세부현황'!$CY:$CY,"TCMS")</f>
        <v>0</v>
      </c>
      <c r="AW222" s="85">
        <f>COUNTIFS('2023년 신조차 고장관리 세부현황'!$K:$K,"128R",'2023년 신조차 고장관리 세부현황'!$P:$P,"&gt;="&amp;'트랜드 분석_15일'!AV$18,'2023년 신조차 고장관리 세부현황'!$P:$P,"&lt;"&amp;'트랜드 분석_15일'!AW$18,'2023년 신조차 고장관리 세부현황'!$BC:$BC,"완료",'2023년 신조차 고장관리 세부현황'!$CY:$CY,"TCMS")</f>
        <v>0</v>
      </c>
      <c r="AX222" s="85">
        <f>COUNTIFS('2023년 신조차 고장관리 세부현황'!$K:$K,"128R",'2023년 신조차 고장관리 세부현황'!$P:$P,"&gt;="&amp;'트랜드 분석_15일'!AW$18,'2023년 신조차 고장관리 세부현황'!$P:$P,"&lt;"&amp;'트랜드 분석_15일'!AX$18,'2023년 신조차 고장관리 세부현황'!$BC:$BC,"완료",'2023년 신조차 고장관리 세부현황'!$CY:$CY,"TCMS")</f>
        <v>0</v>
      </c>
      <c r="AY222" s="85">
        <f>COUNTIFS('2023년 신조차 고장관리 세부현황'!$K:$K,"128R",'2023년 신조차 고장관리 세부현황'!$P:$P,"&gt;="&amp;'트랜드 분석_15일'!AX$18,'2023년 신조차 고장관리 세부현황'!$P:$P,"&lt;"&amp;'트랜드 분석_15일'!AY$18,'2023년 신조차 고장관리 세부현황'!$BC:$BC,"완료",'2023년 신조차 고장관리 세부현황'!$CY:$CY,"TCMS")</f>
        <v>0</v>
      </c>
      <c r="AZ222" s="85">
        <f>COUNTIFS('2023년 신조차 고장관리 세부현황'!$K:$K,"128R",'2023년 신조차 고장관리 세부현황'!$P:$P,"&gt;="&amp;'트랜드 분석_15일'!AY$18,'2023년 신조차 고장관리 세부현황'!$P:$P,"&lt;"&amp;'트랜드 분석_15일'!AZ$18,'2023년 신조차 고장관리 세부현황'!$BC:$BC,"완료",'2023년 신조차 고장관리 세부현황'!$CY:$CY,"TCMS")</f>
        <v>0</v>
      </c>
      <c r="BA222" s="85">
        <f>COUNTIFS('2023년 신조차 고장관리 세부현황'!$K:$K,"128R",'2023년 신조차 고장관리 세부현황'!$P:$P,"&gt;="&amp;'트랜드 분석_15일'!AZ$18,'2023년 신조차 고장관리 세부현황'!$P:$P,"&lt;"&amp;'트랜드 분석_15일'!BA$18,'2023년 신조차 고장관리 세부현황'!$BC:$BC,"완료",'2023년 신조차 고장관리 세부현황'!$CY:$CY,"TCMS")</f>
        <v>0</v>
      </c>
      <c r="BB222" s="85">
        <f>COUNTIFS('2023년 신조차 고장관리 세부현황'!$K:$K,"128R",'2023년 신조차 고장관리 세부현황'!$P:$P,"&gt;="&amp;'트랜드 분석_15일'!BA$18,'2023년 신조차 고장관리 세부현황'!$P:$P,"&lt;"&amp;'트랜드 분석_15일'!BB$18,'2023년 신조차 고장관리 세부현황'!$BC:$BC,"완료",'2023년 신조차 고장관리 세부현황'!$CY:$CY,"TCMS")</f>
        <v>0</v>
      </c>
      <c r="BC222" s="85">
        <f>COUNTIFS('2023년 신조차 고장관리 세부현황'!$K:$K,"128R",'2023년 신조차 고장관리 세부현황'!$P:$P,"&gt;="&amp;'트랜드 분석_15일'!BB$18,'2023년 신조차 고장관리 세부현황'!$P:$P,"&lt;"&amp;'트랜드 분석_15일'!BC$18,'2023년 신조차 고장관리 세부현황'!$BC:$BC,"완료",'2023년 신조차 고장관리 세부현황'!$CY:$CY,"TCMS")</f>
        <v>0</v>
      </c>
      <c r="BD222" s="85">
        <f>COUNTIFS('2023년 신조차 고장관리 세부현황'!$K:$K,"128R",'2023년 신조차 고장관리 세부현황'!$P:$P,"&gt;="&amp;'트랜드 분석_15일'!BC$18,'2023년 신조차 고장관리 세부현황'!$P:$P,"&lt;"&amp;'트랜드 분석_15일'!BD$18,'2023년 신조차 고장관리 세부현황'!$BC:$BC,"완료",'2023년 신조차 고장관리 세부현황'!$CY:$CY,"TCMS")</f>
        <v>0</v>
      </c>
      <c r="BE222" s="85">
        <f>COUNTIFS('2023년 신조차 고장관리 세부현황'!$K:$K,"128R",'2023년 신조차 고장관리 세부현황'!$P:$P,"&gt;="&amp;'트랜드 분석_15일'!BD$18,'2023년 신조차 고장관리 세부현황'!$P:$P,"&lt;"&amp;'트랜드 분석_15일'!BE$18,'2023년 신조차 고장관리 세부현황'!$BC:$BC,"완료",'2023년 신조차 고장관리 세부현황'!$CY:$CY,"TCMS")</f>
        <v>0</v>
      </c>
      <c r="BF222" s="85">
        <f>COUNTIFS('2023년 신조차 고장관리 세부현황'!$K:$K,"128R",'2023년 신조차 고장관리 세부현황'!$P:$P,"&gt;="&amp;'트랜드 분석_15일'!BE$18,'2023년 신조차 고장관리 세부현황'!$P:$P,"&lt;"&amp;'트랜드 분석_15일'!BF$18,'2023년 신조차 고장관리 세부현황'!$BC:$BC,"완료",'2023년 신조차 고장관리 세부현황'!$CY:$CY,"TCMS")</f>
        <v>0</v>
      </c>
      <c r="BG222" s="85">
        <f>COUNTIFS('2023년 신조차 고장관리 세부현황'!$K:$K,"128R",'2023년 신조차 고장관리 세부현황'!$P:$P,"&gt;="&amp;'트랜드 분석_15일'!BF$18,'2023년 신조차 고장관리 세부현황'!$P:$P,"&lt;"&amp;'트랜드 분석_15일'!BG$18,'2023년 신조차 고장관리 세부현황'!$BC:$BC,"완료",'2023년 신조차 고장관리 세부현황'!$CY:$CY,"TCMS")</f>
        <v>0</v>
      </c>
      <c r="BH222" s="85">
        <f>COUNTIFS('2023년 신조차 고장관리 세부현황'!$K:$K,"128R",'2023년 신조차 고장관리 세부현황'!$P:$P,"&gt;="&amp;'트랜드 분석_15일'!BG$18,'2023년 신조차 고장관리 세부현황'!$P:$P,"&lt;"&amp;'트랜드 분석_15일'!BH$18,'2023년 신조차 고장관리 세부현황'!$BC:$BC,"완료",'2023년 신조차 고장관리 세부현황'!$CY:$CY,"TCMS")</f>
        <v>0</v>
      </c>
      <c r="BI222" s="85">
        <f>COUNTIFS('2023년 신조차 고장관리 세부현황'!$K:$K,"128R",'2023년 신조차 고장관리 세부현황'!$P:$P,"&gt;="&amp;'트랜드 분석_15일'!BH$18,'2023년 신조차 고장관리 세부현황'!$P:$P,"&lt;"&amp;'트랜드 분석_15일'!BI$18,'2023년 신조차 고장관리 세부현황'!$BC:$BC,"완료",'2023년 신조차 고장관리 세부현황'!$CY:$CY,"TCMS")</f>
        <v>0</v>
      </c>
      <c r="BJ222" s="85">
        <f>COUNTIFS('2023년 신조차 고장관리 세부현황'!$K:$K,"128R",'2023년 신조차 고장관리 세부현황'!$P:$P,"&gt;="&amp;'트랜드 분석_15일'!BI$18,'2023년 신조차 고장관리 세부현황'!$P:$P,"&lt;"&amp;'트랜드 분석_15일'!BJ$18,'2023년 신조차 고장관리 세부현황'!$BC:$BC,"완료",'2023년 신조차 고장관리 세부현황'!$CY:$CY,"TCMS")</f>
        <v>0</v>
      </c>
      <c r="BK222" s="85">
        <f>COUNTIFS('2023년 신조차 고장관리 세부현황'!$K:$K,"128R",'2023년 신조차 고장관리 세부현황'!$P:$P,"&gt;="&amp;'트랜드 분석_15일'!BJ$18,'2023년 신조차 고장관리 세부현황'!$P:$P,"&lt;"&amp;'트랜드 분석_15일'!BK$18,'2023년 신조차 고장관리 세부현황'!$BC:$BC,"완료",'2023년 신조차 고장관리 세부현황'!$CY:$CY,"TCMS")</f>
        <v>0</v>
      </c>
      <c r="BL222" s="85">
        <f>COUNTIFS('2023년 신조차 고장관리 세부현황'!$K:$K,"128R",'2023년 신조차 고장관리 세부현황'!$P:$P,"&gt;="&amp;'트랜드 분석_15일'!BK$18,'2023년 신조차 고장관리 세부현황'!$P:$P,"&lt;"&amp;'트랜드 분석_15일'!BL$18,'2023년 신조차 고장관리 세부현황'!$BC:$BC,"완료",'2023년 신조차 고장관리 세부현황'!$CY:$CY,"TCMS")</f>
        <v>0</v>
      </c>
      <c r="BM222" s="85">
        <f>COUNTIFS('2023년 신조차 고장관리 세부현황'!$K:$K,"128R",'2023년 신조차 고장관리 세부현황'!$P:$P,"&gt;="&amp;'트랜드 분석_15일'!BL$18,'2023년 신조차 고장관리 세부현황'!$P:$P,"&lt;"&amp;'트랜드 분석_15일'!BM$18,'2023년 신조차 고장관리 세부현황'!$BC:$BC,"완료",'2023년 신조차 고장관리 세부현황'!$CY:$CY,"TCMS")</f>
        <v>0</v>
      </c>
      <c r="BN222" s="85">
        <f>COUNTIFS('2023년 신조차 고장관리 세부현황'!$K:$K,"128R",'2023년 신조차 고장관리 세부현황'!$P:$P,"&gt;="&amp;'트랜드 분석_15일'!BM$18,'2023년 신조차 고장관리 세부현황'!$P:$P,"&lt;"&amp;'트랜드 분석_15일'!BN$18,'2023년 신조차 고장관리 세부현황'!$BC:$BC,"완료",'2023년 신조차 고장관리 세부현황'!$CY:$CY,"TCMS")</f>
        <v>0</v>
      </c>
      <c r="BO222" s="85">
        <f>COUNTIFS('2023년 신조차 고장관리 세부현황'!$K:$K,"128R",'2023년 신조차 고장관리 세부현황'!$P:$P,"&gt;="&amp;'트랜드 분석_15일'!BN$18,'2023년 신조차 고장관리 세부현황'!$P:$P,"&lt;"&amp;'트랜드 분석_15일'!BO$18,'2023년 신조차 고장관리 세부현황'!$BC:$BC,"완료",'2023년 신조차 고장관리 세부현황'!$CY:$CY,"TCMS")</f>
        <v>0</v>
      </c>
      <c r="BP222" s="85">
        <f>COUNTIFS('2023년 신조차 고장관리 세부현황'!$K:$K,"128R",'2023년 신조차 고장관리 세부현황'!$P:$P,"&gt;="&amp;'트랜드 분석_15일'!BO$18,'2023년 신조차 고장관리 세부현황'!$P:$P,"&lt;"&amp;'트랜드 분석_15일'!BP$18,'2023년 신조차 고장관리 세부현황'!$BC:$BC,"완료",'2023년 신조차 고장관리 세부현황'!$CY:$CY,"TCMS")</f>
        <v>0</v>
      </c>
      <c r="BQ222" s="85">
        <f>COUNTIFS('2023년 신조차 고장관리 세부현황'!$K:$K,"128R",'2023년 신조차 고장관리 세부현황'!$P:$P,"&gt;="&amp;'트랜드 분석_15일'!BP$18,'2023년 신조차 고장관리 세부현황'!$P:$P,"&lt;"&amp;'트랜드 분석_15일'!BQ$18,'2023년 신조차 고장관리 세부현황'!$BC:$BC,"완료",'2023년 신조차 고장관리 세부현황'!$CY:$CY,"TCMS")</f>
        <v>0</v>
      </c>
      <c r="BR222" s="85">
        <f>COUNTIFS('2023년 신조차 고장관리 세부현황'!$K:$K,"128R",'2023년 신조차 고장관리 세부현황'!$P:$P,"&gt;="&amp;'트랜드 분석_15일'!BQ$18,'2023년 신조차 고장관리 세부현황'!$P:$P,"&lt;"&amp;'트랜드 분석_15일'!BR$18,'2023년 신조차 고장관리 세부현황'!$BC:$BC,"완료",'2023년 신조차 고장관리 세부현황'!$CY:$CY,"TCMS")</f>
        <v>0</v>
      </c>
      <c r="BS222" s="85">
        <f>COUNTIFS('2023년 신조차 고장관리 세부현황'!$K:$K,"128R",'2023년 신조차 고장관리 세부현황'!$P:$P,"&gt;="&amp;'트랜드 분석_15일'!BR$18,'2023년 신조차 고장관리 세부현황'!$P:$P,"&lt;"&amp;'트랜드 분석_15일'!BS$18,'2023년 신조차 고장관리 세부현황'!$BC:$BC,"완료",'2023년 신조차 고장관리 세부현황'!$CY:$CY,"TCMS")</f>
        <v>0</v>
      </c>
      <c r="BT222" s="85">
        <f>COUNTIFS('2023년 신조차 고장관리 세부현황'!$K:$K,"128R",'2023년 신조차 고장관리 세부현황'!$P:$P,"&gt;="&amp;'트랜드 분석_15일'!BS$18,'2023년 신조차 고장관리 세부현황'!$P:$P,"&lt;"&amp;'트랜드 분석_15일'!BT$18,'2023년 신조차 고장관리 세부현황'!$BC:$BC,"완료",'2023년 신조차 고장관리 세부현황'!$CY:$CY,"TCMS")</f>
        <v>0</v>
      </c>
      <c r="BU222" s="85">
        <f>COUNTIFS('2023년 신조차 고장관리 세부현황'!$K:$K,"128R",'2023년 신조차 고장관리 세부현황'!$P:$P,"&gt;="&amp;'트랜드 분석_15일'!BT$18,'2023년 신조차 고장관리 세부현황'!$P:$P,"&lt;"&amp;'트랜드 분석_15일'!BU$18,'2023년 신조차 고장관리 세부현황'!$BC:$BC,"완료",'2023년 신조차 고장관리 세부현황'!$CY:$CY,"TCMS")</f>
        <v>0</v>
      </c>
      <c r="BV222" s="85">
        <f>COUNTIFS('2023년 신조차 고장관리 세부현황'!$K:$K,"128R",'2023년 신조차 고장관리 세부현황'!$P:$P,"&gt;="&amp;'트랜드 분석_15일'!BU$18,'2023년 신조차 고장관리 세부현황'!$P:$P,"&lt;"&amp;'트랜드 분석_15일'!BV$18,'2023년 신조차 고장관리 세부현황'!$BC:$BC,"완료",'2023년 신조차 고장관리 세부현황'!$CY:$CY,"TCMS")</f>
        <v>0</v>
      </c>
      <c r="BW222" s="85">
        <f>COUNTIFS('2023년 신조차 고장관리 세부현황'!$K:$K,"128R",'2023년 신조차 고장관리 세부현황'!$P:$P,"&gt;="&amp;'트랜드 분석_15일'!BV$18,'2023년 신조차 고장관리 세부현황'!$P:$P,"&lt;"&amp;'트랜드 분석_15일'!BW$18,'2023년 신조차 고장관리 세부현황'!$BC:$BC,"완료",'2023년 신조차 고장관리 세부현황'!$CY:$CY,"TCMS")</f>
        <v>0</v>
      </c>
      <c r="BX222" s="85">
        <f>COUNTIFS('2023년 신조차 고장관리 세부현황'!$K:$K,"128R",'2023년 신조차 고장관리 세부현황'!$P:$P,"&gt;="&amp;'트랜드 분석_15일'!BW$18,'2023년 신조차 고장관리 세부현황'!$P:$P,"&lt;"&amp;'트랜드 분석_15일'!BX$18,'2023년 신조차 고장관리 세부현황'!$BC:$BC,"완료",'2023년 신조차 고장관리 세부현황'!$CY:$CY,"TCMS")</f>
        <v>0</v>
      </c>
      <c r="BY222" s="85">
        <f>COUNTIFS('2023년 신조차 고장관리 세부현황'!$K:$K,"128R",'2023년 신조차 고장관리 세부현황'!$P:$P,"&gt;="&amp;'트랜드 분석_15일'!BX$18,'2023년 신조차 고장관리 세부현황'!$P:$P,"&lt;"&amp;'트랜드 분석_15일'!BY$18,'2023년 신조차 고장관리 세부현황'!$BC:$BC,"완료",'2023년 신조차 고장관리 세부현황'!$CY:$CY,"TCMS")</f>
        <v>0</v>
      </c>
      <c r="BZ222" s="85">
        <f>COUNTIFS('2023년 신조차 고장관리 세부현황'!$K:$K,"128R",'2023년 신조차 고장관리 세부현황'!$P:$P,"&gt;="&amp;'트랜드 분석_15일'!BY$18,'2023년 신조차 고장관리 세부현황'!$P:$P,"&lt;"&amp;'트랜드 분석_15일'!BZ$18,'2023년 신조차 고장관리 세부현황'!$BC:$BC,"완료",'2023년 신조차 고장관리 세부현황'!$CY:$CY,"TCMS")</f>
        <v>0</v>
      </c>
      <c r="CA222" s="85">
        <f>COUNTIFS('2023년 신조차 고장관리 세부현황'!$K:$K,"128R",'2023년 신조차 고장관리 세부현황'!$P:$P,"&gt;="&amp;'트랜드 분석_15일'!BZ$18,'2023년 신조차 고장관리 세부현황'!$P:$P,"&lt;"&amp;'트랜드 분석_15일'!CA$18,'2023년 신조차 고장관리 세부현황'!$BC:$BC,"완료",'2023년 신조차 고장관리 세부현황'!$CY:$CY,"TCMS")</f>
        <v>0</v>
      </c>
      <c r="CB222" s="85">
        <f>COUNTIFS('2023년 신조차 고장관리 세부현황'!$K:$K,"128R",'2023년 신조차 고장관리 세부현황'!$P:$P,"&gt;="&amp;'트랜드 분석_15일'!CA$18,'2023년 신조차 고장관리 세부현황'!$P:$P,"&lt;"&amp;'트랜드 분석_15일'!CB$18,'2023년 신조차 고장관리 세부현황'!$BC:$BC,"완료",'2023년 신조차 고장관리 세부현황'!$CY:$CY,"TCMS")</f>
        <v>0</v>
      </c>
      <c r="CC222" s="85">
        <f>COUNTIFS('2023년 신조차 고장관리 세부현황'!$K:$K,"128R",'2023년 신조차 고장관리 세부현황'!$P:$P,"&gt;="&amp;'트랜드 분석_15일'!CB$18,'2023년 신조차 고장관리 세부현황'!$P:$P,"&lt;"&amp;'트랜드 분석_15일'!CC$18,'2023년 신조차 고장관리 세부현황'!$BC:$BC,"완료",'2023년 신조차 고장관리 세부현황'!$CY:$CY,"TCMS")</f>
        <v>0</v>
      </c>
      <c r="CD222" s="85">
        <f>COUNTIFS('2023년 신조차 고장관리 세부현황'!$K:$K,"128R",'2023년 신조차 고장관리 세부현황'!$P:$P,"&gt;="&amp;'트랜드 분석_15일'!CC$18,'2023년 신조차 고장관리 세부현황'!$P:$P,"&lt;"&amp;'트랜드 분석_15일'!CD$18,'2023년 신조차 고장관리 세부현황'!$BC:$BC,"완료",'2023년 신조차 고장관리 세부현황'!$CY:$CY,"TCMS")</f>
        <v>0</v>
      </c>
      <c r="CE222" s="85">
        <f>COUNTIFS('2023년 신조차 고장관리 세부현황'!$K:$K,"128R",'2023년 신조차 고장관리 세부현황'!$P:$P,"&gt;="&amp;'트랜드 분석_15일'!CD$18,'2023년 신조차 고장관리 세부현황'!$P:$P,"&lt;"&amp;'트랜드 분석_15일'!CE$18,'2023년 신조차 고장관리 세부현황'!$BC:$BC,"완료",'2023년 신조차 고장관리 세부현황'!$CY:$CY,"TCMS")</f>
        <v>0</v>
      </c>
      <c r="CF222" s="85">
        <f>COUNTIFS('2023년 신조차 고장관리 세부현황'!$K:$K,"128R",'2023년 신조차 고장관리 세부현황'!$P:$P,"&gt;="&amp;'트랜드 분석_15일'!CE$18,'2023년 신조차 고장관리 세부현황'!$P:$P,"&lt;"&amp;'트랜드 분석_15일'!CF$18,'2023년 신조차 고장관리 세부현황'!$BC:$BC,"완료",'2023년 신조차 고장관리 세부현황'!$CY:$CY,"TCMS")</f>
        <v>0</v>
      </c>
      <c r="CG222" s="85">
        <f>COUNTIFS('2023년 신조차 고장관리 세부현황'!$K:$K,"128R",'2023년 신조차 고장관리 세부현황'!$P:$P,"&gt;="&amp;'트랜드 분석_15일'!CF$18,'2023년 신조차 고장관리 세부현황'!$P:$P,"&lt;"&amp;'트랜드 분석_15일'!CG$18,'2023년 신조차 고장관리 세부현황'!$BC:$BC,"완료",'2023년 신조차 고장관리 세부현황'!$CY:$CY,"TCMS")</f>
        <v>0</v>
      </c>
      <c r="CH222" s="85">
        <f ca="1">COUNTIFS('2023년 신조차 고장관리 세부현황'!$K:$K,"128R",'2023년 신조차 고장관리 세부현황'!$P:$P,"&gt;="&amp;'트랜드 분석_15일'!CG$18,'2023년 신조차 고장관리 세부현황'!$P:$P,"&lt;"&amp;'트랜드 분석_15일'!CH$18,'2023년 신조차 고장관리 세부현황'!$BC:$BC,"완료",'2023년 신조차 고장관리 세부현황'!$CY:$CY,"TCMS")</f>
        <v>0</v>
      </c>
      <c r="CI222" s="85">
        <f>COUNTIFS('2023년 신조차 고장관리 세부현황'!$K:$K,"128R",'2023년 신조차 고장관리 세부현황'!$P:$P,"&gt;="&amp;'트랜드 분석_15일'!CH$18,'2023년 신조차 고장관리 세부현황'!$P:$P,"&lt;"&amp;'트랜드 분석_15일'!CI$18,'2023년 신조차 고장관리 세부현황'!$BC:$BC,"완료",'2023년 신조차 고장관리 세부현황'!$CY:$CY,"TCMS")</f>
        <v>0</v>
      </c>
      <c r="CJ222" s="85">
        <f ca="1">COUNTIFS('2023년 신조차 고장관리 세부현황'!$K:$K,"128R",'2023년 신조차 고장관리 세부현황'!$P:$P,"&gt;="&amp;'트랜드 분석_15일'!CI$18,'2023년 신조차 고장관리 세부현황'!$P:$P,"&lt;"&amp;'트랜드 분석_15일'!CJ$18,'2023년 신조차 고장관리 세부현황'!$BC:$BC,"완료",'2023년 신조차 고장관리 세부현황'!$CY:$CY,"TCMS")</f>
        <v>0</v>
      </c>
      <c r="CK222" s="85">
        <f>COUNTIFS('2023년 신조차 고장관리 세부현황'!$K:$K,"128R",'2023년 신조차 고장관리 세부현황'!$P:$P,"&gt;="&amp;'트랜드 분석_15일'!CJ$18,'2023년 신조차 고장관리 세부현황'!$P:$P,"&lt;"&amp;'트랜드 분석_15일'!CK$18,'2023년 신조차 고장관리 세부현황'!$BC:$BC,"완료",'2023년 신조차 고장관리 세부현황'!$CY:$CY,"TCMS")</f>
        <v>0</v>
      </c>
      <c r="CL222" s="85">
        <f>COUNTIFS('2023년 신조차 고장관리 세부현황'!$K:$K,"128R",'2023년 신조차 고장관리 세부현황'!$P:$P,"&gt;="&amp;'트랜드 분석_15일'!CK$18,'2023년 신조차 고장관리 세부현황'!$P:$P,"&lt;"&amp;'트랜드 분석_15일'!CL$18,'2023년 신조차 고장관리 세부현황'!$BC:$BC,"완료",'2023년 신조차 고장관리 세부현황'!$CY:$CY,"TCMS")</f>
        <v>0</v>
      </c>
      <c r="CM222" s="85">
        <f>COUNTIFS('2023년 신조차 고장관리 세부현황'!$K:$K,"128R",'2023년 신조차 고장관리 세부현황'!$P:$P,"&gt;="&amp;'트랜드 분석_15일'!CL$18,'2023년 신조차 고장관리 세부현황'!$P:$P,"&lt;"&amp;'트랜드 분석_15일'!CM$18,'2023년 신조차 고장관리 세부현황'!$BC:$BC,"완료",'2023년 신조차 고장관리 세부현황'!$CY:$CY,"TCMS")</f>
        <v>0</v>
      </c>
      <c r="CN222" s="85">
        <f>COUNTIFS('2023년 신조차 고장관리 세부현황'!$K:$K,"128R",'2023년 신조차 고장관리 세부현황'!$P:$P,"&gt;="&amp;'트랜드 분석_15일'!CM$18,'2023년 신조차 고장관리 세부현황'!$P:$P,"&lt;"&amp;'트랜드 분석_15일'!CN$18,'2023년 신조차 고장관리 세부현황'!$BC:$BC,"완료",'2023년 신조차 고장관리 세부현황'!$CY:$CY,"TCMS")</f>
        <v>0</v>
      </c>
      <c r="CO222" s="85">
        <f>COUNTIFS('2023년 신조차 고장관리 세부현황'!$K:$K,"128R",'2023년 신조차 고장관리 세부현황'!$P:$P,"&gt;="&amp;'트랜드 분석_15일'!CN$18,'2023년 신조차 고장관리 세부현황'!$P:$P,"&lt;"&amp;'트랜드 분석_15일'!CO$18,'2023년 신조차 고장관리 세부현황'!$BC:$BC,"완료",'2023년 신조차 고장관리 세부현황'!$CY:$CY,"TCMS")</f>
        <v>0</v>
      </c>
      <c r="CP222" s="85">
        <f>COUNTIFS('2023년 신조차 고장관리 세부현황'!$K:$K,"128R",'2023년 신조차 고장관리 세부현황'!$P:$P,"&gt;="&amp;'트랜드 분석_15일'!CO$18,'2023년 신조차 고장관리 세부현황'!$P:$P,"&lt;"&amp;'트랜드 분석_15일'!CP$18,'2023년 신조차 고장관리 세부현황'!$BC:$BC,"완료",'2023년 신조차 고장관리 세부현황'!$CY:$CY,"TCMS")</f>
        <v>0</v>
      </c>
      <c r="CQ222" s="85">
        <f>COUNTIFS('2023년 신조차 고장관리 세부현황'!$K:$K,"128R",'2023년 신조차 고장관리 세부현황'!$P:$P,"&gt;="&amp;'트랜드 분석_15일'!CP$18,'2023년 신조차 고장관리 세부현황'!$P:$P,"&lt;"&amp;'트랜드 분석_15일'!CQ$18,'2023년 신조차 고장관리 세부현황'!$BC:$BC,"완료",'2023년 신조차 고장관리 세부현황'!$CY:$CY,"TCMS")</f>
        <v>0</v>
      </c>
      <c r="CR222" s="85">
        <f>COUNTIFS('2023년 신조차 고장관리 세부현황'!$K:$K,"128R",'2023년 신조차 고장관리 세부현황'!$P:$P,"&gt;="&amp;'트랜드 분석_15일'!CQ$18,'2023년 신조차 고장관리 세부현황'!$P:$P,"&lt;"&amp;'트랜드 분석_15일'!CR$18,'2023년 신조차 고장관리 세부현황'!$BC:$BC,"완료",'2023년 신조차 고장관리 세부현황'!$CY:$CY,"TCMS")</f>
        <v>0</v>
      </c>
      <c r="CS222" s="85">
        <f>COUNTIFS('2023년 신조차 고장관리 세부현황'!$K:$K,"128R",'2023년 신조차 고장관리 세부현황'!$P:$P,"&gt;="&amp;'트랜드 분석_15일'!CR$18,'2023년 신조차 고장관리 세부현황'!$P:$P,"&lt;"&amp;'트랜드 분석_15일'!CS$18,'2023년 신조차 고장관리 세부현황'!$BC:$BC,"완료",'2023년 신조차 고장관리 세부현황'!$CY:$CY,"TCMS")</f>
        <v>0</v>
      </c>
      <c r="CT222" s="85">
        <f>COUNTIFS('2023년 신조차 고장관리 세부현황'!$K:$K,"128R",'2023년 신조차 고장관리 세부현황'!$P:$P,"&gt;="&amp;'트랜드 분석_15일'!CS$18,'2023년 신조차 고장관리 세부현황'!$P:$P,"&lt;"&amp;'트랜드 분석_15일'!CT$18,'2023년 신조차 고장관리 세부현황'!$BC:$BC,"완료",'2023년 신조차 고장관리 세부현황'!$CY:$CY,"TCMS")</f>
        <v>0</v>
      </c>
      <c r="CU222" s="85">
        <f>COUNTIFS('2023년 신조차 고장관리 세부현황'!$K:$K,"128R",'2023년 신조차 고장관리 세부현황'!$P:$P,"&gt;="&amp;'트랜드 분석_15일'!CT$18,'2023년 신조차 고장관리 세부현황'!$P:$P,"&lt;"&amp;'트랜드 분석_15일'!CU$18,'2023년 신조차 고장관리 세부현황'!$BC:$BC,"완료",'2023년 신조차 고장관리 세부현황'!$CY:$CY,"TCMS")</f>
        <v>0</v>
      </c>
      <c r="CV222" s="85">
        <f>COUNTIFS('2023년 신조차 고장관리 세부현황'!$K:$K,"128R",'2023년 신조차 고장관리 세부현황'!$P:$P,"&gt;="&amp;'트랜드 분석_15일'!CU$18,'2023년 신조차 고장관리 세부현황'!$P:$P,"&lt;"&amp;'트랜드 분석_15일'!CV$18,'2023년 신조차 고장관리 세부현황'!$BC:$BC,"완료",'2023년 신조차 고장관리 세부현황'!$CY:$CY,"TCMS")</f>
        <v>0</v>
      </c>
      <c r="CW222" s="85">
        <f>COUNTIFS('2023년 신조차 고장관리 세부현황'!$K:$K,"128R",'2023년 신조차 고장관리 세부현황'!$P:$P,"&gt;="&amp;'트랜드 분석_15일'!CV$18,'2023년 신조차 고장관리 세부현황'!$P:$P,"&lt;"&amp;'트랜드 분석_15일'!CW$18,'2023년 신조차 고장관리 세부현황'!$BC:$BC,"완료",'2023년 신조차 고장관리 세부현황'!$CY:$CY,"TCMS")</f>
        <v>0</v>
      </c>
      <c r="CX222">
        <f ca="1">SUM(G222:CW222)</f>
        <v>0</v>
      </c>
    </row>
    <row r="223" spans="1:102" x14ac:dyDescent="0.4">
      <c r="F223" s="85" t="s">
        <v>164</v>
      </c>
      <c r="G223" s="85">
        <f>COUNTIFS('2023년 신조차 고장관리 세부현황'!$K:$K,"128R",'2023년 신조차 고장관리 세부현황'!$P:$P,"&gt;="&amp;$G$17,'2023년 신조차 고장관리 세부현황'!$P:$P,"&lt;"&amp;'트랜드 분석_15일'!G$18,'2023년 신조차 고장관리 세부현황'!$S:$S,'트랜드 분석_15일'!$F223,'2023년 신조차 고장관리 세부현황'!$BC:$BC,"완료",'2023년 신조차 고장관리 세부현황'!$CY:$CY,"TCMS")</f>
        <v>0</v>
      </c>
      <c r="H223"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분석_15일'!$F223,'2023년 신조차 고장관리 세부현황'!$BC:$BC,"완료",'2023년 신조차 고장관리 세부현황'!$CY:$CY,"TCMS")</f>
        <v>0</v>
      </c>
      <c r="I223"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분석_15일'!$F223,'2023년 신조차 고장관리 세부현황'!$BC:$BC,"완료",'2023년 신조차 고장관리 세부현황'!$CY:$CY,"TCMS")</f>
        <v>0</v>
      </c>
      <c r="J223"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분석_15일'!$F223,'2023년 신조차 고장관리 세부현황'!$BC:$BC,"완료",'2023년 신조차 고장관리 세부현황'!$CY:$CY,"TCMS")</f>
        <v>0</v>
      </c>
      <c r="K223"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분석_15일'!$F223,'2023년 신조차 고장관리 세부현황'!$BC:$BC,"완료",'2023년 신조차 고장관리 세부현황'!$CY:$CY,"TCMS")</f>
        <v>0</v>
      </c>
      <c r="L223"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분석_15일'!$F223,'2023년 신조차 고장관리 세부현황'!$BC:$BC,"완료",'2023년 신조차 고장관리 세부현황'!$CY:$CY,"TCMS")</f>
        <v>0</v>
      </c>
      <c r="M223"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분석_15일'!$F223,'2023년 신조차 고장관리 세부현황'!$BC:$BC,"완료",'2023년 신조차 고장관리 세부현황'!$CY:$CY,"TCMS")</f>
        <v>0</v>
      </c>
      <c r="N223"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분석_15일'!$F223,'2023년 신조차 고장관리 세부현황'!$BC:$BC,"완료",'2023년 신조차 고장관리 세부현황'!$CY:$CY,"TCMS")</f>
        <v>0</v>
      </c>
      <c r="O223"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분석_15일'!$F223,'2023년 신조차 고장관리 세부현황'!$BC:$BC,"완료",'2023년 신조차 고장관리 세부현황'!$CY:$CY,"TCMS")</f>
        <v>0</v>
      </c>
      <c r="P223"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분석_15일'!$F223,'2023년 신조차 고장관리 세부현황'!$BC:$BC,"완료",'2023년 신조차 고장관리 세부현황'!$CY:$CY,"TCMS")</f>
        <v>0</v>
      </c>
      <c r="Q223"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분석_15일'!$F223,'2023년 신조차 고장관리 세부현황'!$BC:$BC,"완료",'2023년 신조차 고장관리 세부현황'!$CY:$CY,"TCMS")</f>
        <v>0</v>
      </c>
      <c r="R223"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분석_15일'!$F223,'2023년 신조차 고장관리 세부현황'!$BC:$BC,"완료",'2023년 신조차 고장관리 세부현황'!$CY:$CY,"TCMS")</f>
        <v>0</v>
      </c>
      <c r="S223"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분석_15일'!$F223,'2023년 신조차 고장관리 세부현황'!$BC:$BC,"완료",'2023년 신조차 고장관리 세부현황'!$CY:$CY,"TCMS")</f>
        <v>0</v>
      </c>
      <c r="T223"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분석_15일'!$F223,'2023년 신조차 고장관리 세부현황'!$BC:$BC,"완료",'2023년 신조차 고장관리 세부현황'!$CY:$CY,"TCMS")</f>
        <v>0</v>
      </c>
      <c r="U223"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분석_15일'!$F223,'2023년 신조차 고장관리 세부현황'!$BC:$BC,"완료",'2023년 신조차 고장관리 세부현황'!$CY:$CY,"TCMS")</f>
        <v>0</v>
      </c>
      <c r="V223"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분석_15일'!$F223,'2023년 신조차 고장관리 세부현황'!$BC:$BC,"완료",'2023년 신조차 고장관리 세부현황'!$CY:$CY,"TCMS")</f>
        <v>0</v>
      </c>
      <c r="W223"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분석_15일'!$F223,'2023년 신조차 고장관리 세부현황'!$BC:$BC,"완료",'2023년 신조차 고장관리 세부현황'!$CY:$CY,"TCMS")</f>
        <v>0</v>
      </c>
      <c r="X223"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분석_15일'!$F223,'2023년 신조차 고장관리 세부현황'!$BC:$BC,"완료",'2023년 신조차 고장관리 세부현황'!$CY:$CY,"TCMS")</f>
        <v>0</v>
      </c>
      <c r="Y223"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분석_15일'!$F223,'2023년 신조차 고장관리 세부현황'!$BC:$BC,"완료",'2023년 신조차 고장관리 세부현황'!$CY:$CY,"TCMS")</f>
        <v>0</v>
      </c>
      <c r="Z223"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분석_15일'!$F223,'2023년 신조차 고장관리 세부현황'!$BC:$BC,"완료",'2023년 신조차 고장관리 세부현황'!$CY:$CY,"TCMS")</f>
        <v>0</v>
      </c>
      <c r="AA223"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분석_15일'!$F223,'2023년 신조차 고장관리 세부현황'!$BC:$BC,"완료",'2023년 신조차 고장관리 세부현황'!$CY:$CY,"TCMS")</f>
        <v>0</v>
      </c>
      <c r="AB223"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분석_15일'!$F223,'2023년 신조차 고장관리 세부현황'!$BC:$BC,"완료",'2023년 신조차 고장관리 세부현황'!$CY:$CY,"TCMS")</f>
        <v>0</v>
      </c>
      <c r="AC223"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분석_15일'!$F223,'2023년 신조차 고장관리 세부현황'!$BC:$BC,"완료",'2023년 신조차 고장관리 세부현황'!$CY:$CY,"TCMS")</f>
        <v>0</v>
      </c>
      <c r="AD223"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분석_15일'!$F223,'2023년 신조차 고장관리 세부현황'!$BC:$BC,"완료",'2023년 신조차 고장관리 세부현황'!$CY:$CY,"TCMS")</f>
        <v>0</v>
      </c>
      <c r="AE223"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분석_15일'!$F223,'2023년 신조차 고장관리 세부현황'!$BC:$BC,"완료",'2023년 신조차 고장관리 세부현황'!$CY:$CY,"TCMS")</f>
        <v>0</v>
      </c>
      <c r="AF223"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분석_15일'!$F223,'2023년 신조차 고장관리 세부현황'!$BC:$BC,"완료",'2023년 신조차 고장관리 세부현황'!$CY:$CY,"TCMS")</f>
        <v>0</v>
      </c>
      <c r="AG223"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분석_15일'!$F223,'2023년 신조차 고장관리 세부현황'!$BC:$BC,"완료",'2023년 신조차 고장관리 세부현황'!$CY:$CY,"TCMS")</f>
        <v>0</v>
      </c>
      <c r="AH223"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분석_15일'!$F223,'2023년 신조차 고장관리 세부현황'!$BC:$BC,"완료",'2023년 신조차 고장관리 세부현황'!$CY:$CY,"TCMS")</f>
        <v>0</v>
      </c>
      <c r="AI223"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분석_15일'!$F223,'2023년 신조차 고장관리 세부현황'!$BC:$BC,"완료",'2023년 신조차 고장관리 세부현황'!$CY:$CY,"TCMS")</f>
        <v>0</v>
      </c>
      <c r="AJ223"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분석_15일'!$F223,'2023년 신조차 고장관리 세부현황'!$BC:$BC,"완료",'2023년 신조차 고장관리 세부현황'!$CY:$CY,"TCMS")</f>
        <v>0</v>
      </c>
      <c r="AK223"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분석_15일'!$F223,'2023년 신조차 고장관리 세부현황'!$BC:$BC,"완료",'2023년 신조차 고장관리 세부현황'!$CY:$CY,"TCMS")</f>
        <v>0</v>
      </c>
      <c r="AL223"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분석_15일'!$F223,'2023년 신조차 고장관리 세부현황'!$BC:$BC,"완료",'2023년 신조차 고장관리 세부현황'!$CY:$CY,"TCMS")</f>
        <v>0</v>
      </c>
      <c r="AM223"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분석_15일'!$F223,'2023년 신조차 고장관리 세부현황'!$BC:$BC,"완료",'2023년 신조차 고장관리 세부현황'!$CY:$CY,"TCMS")</f>
        <v>0</v>
      </c>
      <c r="AN223"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분석_15일'!$F223,'2023년 신조차 고장관리 세부현황'!$BC:$BC,"완료",'2023년 신조차 고장관리 세부현황'!$CY:$CY,"TCMS")</f>
        <v>0</v>
      </c>
      <c r="AO223"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분석_15일'!$F223,'2023년 신조차 고장관리 세부현황'!$BC:$BC,"완료",'2023년 신조차 고장관리 세부현황'!$CY:$CY,"TCMS")</f>
        <v>0</v>
      </c>
      <c r="AP223"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분석_15일'!$F223,'2023년 신조차 고장관리 세부현황'!$BC:$BC,"완료",'2023년 신조차 고장관리 세부현황'!$CY:$CY,"TCMS")</f>
        <v>0</v>
      </c>
      <c r="AQ223"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분석_15일'!$F223,'2023년 신조차 고장관리 세부현황'!$BC:$BC,"완료",'2023년 신조차 고장관리 세부현황'!$CY:$CY,"TCMS")</f>
        <v>0</v>
      </c>
      <c r="AR223"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분석_15일'!$F223,'2023년 신조차 고장관리 세부현황'!$BC:$BC,"완료",'2023년 신조차 고장관리 세부현황'!$CY:$CY,"TCMS")</f>
        <v>0</v>
      </c>
      <c r="AS223"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분석_15일'!$F223,'2023년 신조차 고장관리 세부현황'!$BC:$BC,"완료",'2023년 신조차 고장관리 세부현황'!$CY:$CY,"TCMS")</f>
        <v>0</v>
      </c>
      <c r="AT223"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분석_15일'!$F223,'2023년 신조차 고장관리 세부현황'!$BC:$BC,"완료",'2023년 신조차 고장관리 세부현황'!$CY:$CY,"TCMS")</f>
        <v>0</v>
      </c>
      <c r="AU223"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분석_15일'!$F223,'2023년 신조차 고장관리 세부현황'!$BC:$BC,"완료",'2023년 신조차 고장관리 세부현황'!$CY:$CY,"TCMS")</f>
        <v>0</v>
      </c>
      <c r="AV223"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분석_15일'!$F223,'2023년 신조차 고장관리 세부현황'!$BC:$BC,"완료",'2023년 신조차 고장관리 세부현황'!$CY:$CY,"TCMS")</f>
        <v>0</v>
      </c>
      <c r="AW223"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분석_15일'!$F223,'2023년 신조차 고장관리 세부현황'!$BC:$BC,"완료",'2023년 신조차 고장관리 세부현황'!$CY:$CY,"TCMS")</f>
        <v>0</v>
      </c>
      <c r="AX223"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분석_15일'!$F223,'2023년 신조차 고장관리 세부현황'!$BC:$BC,"완료",'2023년 신조차 고장관리 세부현황'!$CY:$CY,"TCMS")</f>
        <v>0</v>
      </c>
      <c r="AY223"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분석_15일'!$F223,'2023년 신조차 고장관리 세부현황'!$BC:$BC,"완료",'2023년 신조차 고장관리 세부현황'!$CY:$CY,"TCMS")</f>
        <v>0</v>
      </c>
      <c r="AZ223"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분석_15일'!$F223,'2023년 신조차 고장관리 세부현황'!$BC:$BC,"완료",'2023년 신조차 고장관리 세부현황'!$CY:$CY,"TCMS")</f>
        <v>0</v>
      </c>
      <c r="BA223"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분석_15일'!$F223,'2023년 신조차 고장관리 세부현황'!$BC:$BC,"완료",'2023년 신조차 고장관리 세부현황'!$CY:$CY,"TCMS")</f>
        <v>0</v>
      </c>
      <c r="BB223"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분석_15일'!$F223,'2023년 신조차 고장관리 세부현황'!$BC:$BC,"완료",'2023년 신조차 고장관리 세부현황'!$CY:$CY,"TCMS")</f>
        <v>0</v>
      </c>
      <c r="BC223"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분석_15일'!$F223,'2023년 신조차 고장관리 세부현황'!$BC:$BC,"완료",'2023년 신조차 고장관리 세부현황'!$CY:$CY,"TCMS")</f>
        <v>0</v>
      </c>
      <c r="BD223"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분석_15일'!$F223,'2023년 신조차 고장관리 세부현황'!$BC:$BC,"완료",'2023년 신조차 고장관리 세부현황'!$CY:$CY,"TCMS")</f>
        <v>0</v>
      </c>
      <c r="BE223"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분석_15일'!$F223,'2023년 신조차 고장관리 세부현황'!$BC:$BC,"완료",'2023년 신조차 고장관리 세부현황'!$CY:$CY,"TCMS")</f>
        <v>0</v>
      </c>
      <c r="BF223"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분석_15일'!$F223,'2023년 신조차 고장관리 세부현황'!$BC:$BC,"완료",'2023년 신조차 고장관리 세부현황'!$CY:$CY,"TCMS")</f>
        <v>0</v>
      </c>
      <c r="BG223"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분석_15일'!$F223,'2023년 신조차 고장관리 세부현황'!$BC:$BC,"완료",'2023년 신조차 고장관리 세부현황'!$CY:$CY,"TCMS")</f>
        <v>0</v>
      </c>
      <c r="BH223"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분석_15일'!$F223,'2023년 신조차 고장관리 세부현황'!$BC:$BC,"완료",'2023년 신조차 고장관리 세부현황'!$CY:$CY,"TCMS")</f>
        <v>0</v>
      </c>
      <c r="BI223"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분석_15일'!$F223,'2023년 신조차 고장관리 세부현황'!$BC:$BC,"완료",'2023년 신조차 고장관리 세부현황'!$CY:$CY,"TCMS")</f>
        <v>0</v>
      </c>
      <c r="BJ223"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분석_15일'!$F223,'2023년 신조차 고장관리 세부현황'!$BC:$BC,"완료",'2023년 신조차 고장관리 세부현황'!$CY:$CY,"TCMS")</f>
        <v>0</v>
      </c>
      <c r="BK223"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분석_15일'!$F223,'2023년 신조차 고장관리 세부현황'!$BC:$BC,"완료",'2023년 신조차 고장관리 세부현황'!$CY:$CY,"TCMS")</f>
        <v>0</v>
      </c>
      <c r="BL223"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분석_15일'!$F223,'2023년 신조차 고장관리 세부현황'!$BC:$BC,"완료",'2023년 신조차 고장관리 세부현황'!$CY:$CY,"TCMS")</f>
        <v>0</v>
      </c>
      <c r="BM223"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분석_15일'!$F223,'2023년 신조차 고장관리 세부현황'!$BC:$BC,"완료",'2023년 신조차 고장관리 세부현황'!$CY:$CY,"TCMS")</f>
        <v>0</v>
      </c>
      <c r="BN223"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분석_15일'!$F223,'2023년 신조차 고장관리 세부현황'!$BC:$BC,"완료",'2023년 신조차 고장관리 세부현황'!$CY:$CY,"TCMS")</f>
        <v>0</v>
      </c>
      <c r="BO223"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분석_15일'!$F223,'2023년 신조차 고장관리 세부현황'!$BC:$BC,"완료",'2023년 신조차 고장관리 세부현황'!$CY:$CY,"TCMS")</f>
        <v>0</v>
      </c>
      <c r="BP223"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분석_15일'!$F223,'2023년 신조차 고장관리 세부현황'!$BC:$BC,"완료",'2023년 신조차 고장관리 세부현황'!$CY:$CY,"TCMS")</f>
        <v>0</v>
      </c>
      <c r="BQ223"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분석_15일'!$F223,'2023년 신조차 고장관리 세부현황'!$BC:$BC,"완료",'2023년 신조차 고장관리 세부현황'!$CY:$CY,"TCMS")</f>
        <v>0</v>
      </c>
      <c r="BR223"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분석_15일'!$F223,'2023년 신조차 고장관리 세부현황'!$BC:$BC,"완료",'2023년 신조차 고장관리 세부현황'!$CY:$CY,"TCMS")</f>
        <v>0</v>
      </c>
      <c r="BS223"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분석_15일'!$F223,'2023년 신조차 고장관리 세부현황'!$BC:$BC,"완료",'2023년 신조차 고장관리 세부현황'!$CY:$CY,"TCMS")</f>
        <v>0</v>
      </c>
      <c r="BT223"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분석_15일'!$F223,'2023년 신조차 고장관리 세부현황'!$BC:$BC,"완료",'2023년 신조차 고장관리 세부현황'!$CY:$CY,"TCMS")</f>
        <v>0</v>
      </c>
      <c r="BU223"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분석_15일'!$F223,'2023년 신조차 고장관리 세부현황'!$BC:$BC,"완료",'2023년 신조차 고장관리 세부현황'!$CY:$CY,"TCMS")</f>
        <v>0</v>
      </c>
      <c r="BV223"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분석_15일'!$F223,'2023년 신조차 고장관리 세부현황'!$BC:$BC,"완료",'2023년 신조차 고장관리 세부현황'!$CY:$CY,"TCMS")</f>
        <v>0</v>
      </c>
      <c r="BW223"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분석_15일'!$F223,'2023년 신조차 고장관리 세부현황'!$BC:$BC,"완료",'2023년 신조차 고장관리 세부현황'!$CY:$CY,"TCMS")</f>
        <v>0</v>
      </c>
      <c r="BX223"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분석_15일'!$F223,'2023년 신조차 고장관리 세부현황'!$BC:$BC,"완료",'2023년 신조차 고장관리 세부현황'!$CY:$CY,"TCMS")</f>
        <v>0</v>
      </c>
      <c r="BY223"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분석_15일'!$F223,'2023년 신조차 고장관리 세부현황'!$BC:$BC,"완료",'2023년 신조차 고장관리 세부현황'!$CY:$CY,"TCMS")</f>
        <v>0</v>
      </c>
      <c r="BZ223"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분석_15일'!$F223,'2023년 신조차 고장관리 세부현황'!$BC:$BC,"완료",'2023년 신조차 고장관리 세부현황'!$CY:$CY,"TCMS")</f>
        <v>0</v>
      </c>
      <c r="CA223"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분석_15일'!$F223,'2023년 신조차 고장관리 세부현황'!$BC:$BC,"완료",'2023년 신조차 고장관리 세부현황'!$CY:$CY,"TCMS")</f>
        <v>0</v>
      </c>
      <c r="CB223"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분석_15일'!$F223,'2023년 신조차 고장관리 세부현황'!$BC:$BC,"완료",'2023년 신조차 고장관리 세부현황'!$CY:$CY,"TCMS")</f>
        <v>0</v>
      </c>
      <c r="CC223"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분석_15일'!$F223,'2023년 신조차 고장관리 세부현황'!$BC:$BC,"완료",'2023년 신조차 고장관리 세부현황'!$CY:$CY,"TCMS")</f>
        <v>0</v>
      </c>
      <c r="CD223"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분석_15일'!$F223,'2023년 신조차 고장관리 세부현황'!$BC:$BC,"완료",'2023년 신조차 고장관리 세부현황'!$CY:$CY,"TCMS")</f>
        <v>0</v>
      </c>
      <c r="CE223"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분석_15일'!$F223,'2023년 신조차 고장관리 세부현황'!$BC:$BC,"완료",'2023년 신조차 고장관리 세부현황'!$CY:$CY,"TCMS")</f>
        <v>0</v>
      </c>
      <c r="CF223"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분석_15일'!$F223,'2023년 신조차 고장관리 세부현황'!$BC:$BC,"완료",'2023년 신조차 고장관리 세부현황'!$CY:$CY,"TCMS")</f>
        <v>0</v>
      </c>
      <c r="CG223"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분석_15일'!$F223,'2023년 신조차 고장관리 세부현황'!$BC:$BC,"완료",'2023년 신조차 고장관리 세부현황'!$CY:$CY,"TCMS")</f>
        <v>0</v>
      </c>
      <c r="CH223"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분석_15일'!$F223,'2023년 신조차 고장관리 세부현황'!$BC:$BC,"완료",'2023년 신조차 고장관리 세부현황'!$CY:$CY,"TCMS")</f>
        <v>0</v>
      </c>
      <c r="CI223"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분석_15일'!$F223,'2023년 신조차 고장관리 세부현황'!$BC:$BC,"완료",'2023년 신조차 고장관리 세부현황'!$CY:$CY,"TCMS")</f>
        <v>0</v>
      </c>
      <c r="CJ223"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분석_15일'!$F223,'2023년 신조차 고장관리 세부현황'!$BC:$BC,"완료",'2023년 신조차 고장관리 세부현황'!$CY:$CY,"TCMS")</f>
        <v>0</v>
      </c>
      <c r="CK223"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분석_15일'!$F223,'2023년 신조차 고장관리 세부현황'!$BC:$BC,"완료",'2023년 신조차 고장관리 세부현황'!$CY:$CY,"TCMS")</f>
        <v>0</v>
      </c>
      <c r="CL223"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분석_15일'!$F223,'2023년 신조차 고장관리 세부현황'!$BC:$BC,"완료",'2023년 신조차 고장관리 세부현황'!$CY:$CY,"TCMS")</f>
        <v>0</v>
      </c>
      <c r="CM223"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분석_15일'!$F223,'2023년 신조차 고장관리 세부현황'!$BC:$BC,"완료",'2023년 신조차 고장관리 세부현황'!$CY:$CY,"TCMS")</f>
        <v>0</v>
      </c>
      <c r="CN223"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분석_15일'!$F223,'2023년 신조차 고장관리 세부현황'!$BC:$BC,"완료",'2023년 신조차 고장관리 세부현황'!$CY:$CY,"TCMS")</f>
        <v>0</v>
      </c>
      <c r="CO223"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분석_15일'!$F223,'2023년 신조차 고장관리 세부현황'!$BC:$BC,"완료",'2023년 신조차 고장관리 세부현황'!$CY:$CY,"TCMS")</f>
        <v>0</v>
      </c>
      <c r="CP223"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분석_15일'!$F223,'2023년 신조차 고장관리 세부현황'!$BC:$BC,"완료",'2023년 신조차 고장관리 세부현황'!$CY:$CY,"TCMS")</f>
        <v>0</v>
      </c>
      <c r="CQ223"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분석_15일'!$F223,'2023년 신조차 고장관리 세부현황'!$BC:$BC,"완료",'2023년 신조차 고장관리 세부현황'!$CY:$CY,"TCMS")</f>
        <v>0</v>
      </c>
      <c r="CR223"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분석_15일'!$F223,'2023년 신조차 고장관리 세부현황'!$BC:$BC,"완료",'2023년 신조차 고장관리 세부현황'!$CY:$CY,"TCMS")</f>
        <v>0</v>
      </c>
      <c r="CS223"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분석_15일'!$F223,'2023년 신조차 고장관리 세부현황'!$BC:$BC,"완료",'2023년 신조차 고장관리 세부현황'!$CY:$CY,"TCMS")</f>
        <v>0</v>
      </c>
      <c r="CT223"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분석_15일'!$F223,'2023년 신조차 고장관리 세부현황'!$BC:$BC,"완료",'2023년 신조차 고장관리 세부현황'!$CY:$CY,"TCMS")</f>
        <v>0</v>
      </c>
      <c r="CU223"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분석_15일'!$F223,'2023년 신조차 고장관리 세부현황'!$BC:$BC,"완료",'2023년 신조차 고장관리 세부현황'!$CY:$CY,"TCMS")</f>
        <v>0</v>
      </c>
      <c r="CV223"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분석_15일'!$F223,'2023년 신조차 고장관리 세부현황'!$BC:$BC,"완료",'2023년 신조차 고장관리 세부현황'!$CY:$CY,"TCMS")</f>
        <v>0</v>
      </c>
      <c r="CW223"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분석_15일'!$F223,'2023년 신조차 고장관리 세부현황'!$BC:$BC,"완료",'2023년 신조차 고장관리 세부현황'!$CY:$CY,"TCMS")</f>
        <v>0</v>
      </c>
      <c r="CX223">
        <f>SUM(G223:CW223)</f>
        <v>0</v>
      </c>
    </row>
    <row r="224" spans="1:102" x14ac:dyDescent="0.4">
      <c r="F224" s="85" t="s">
        <v>223</v>
      </c>
      <c r="G224" s="85">
        <f>COUNTIFS('2023년 신조차 고장관리 세부현황'!$K:$K,"128R",'2023년 신조차 고장관리 세부현황'!$P:$P,"&gt;="&amp;$G$17,'2023년 신조차 고장관리 세부현황'!$P:$P,"&lt;"&amp;'트랜드 분석_15일'!G$18,'2023년 신조차 고장관리 세부현황'!$S:$S,'트랜드 분석_15일'!$F224,'2023년 신조차 고장관리 세부현황'!$BC:$BC,"완료",'2023년 신조차 고장관리 세부현황'!$CY:$CY,"TCMS")</f>
        <v>0</v>
      </c>
      <c r="H224"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분석_15일'!$F224,'2023년 신조차 고장관리 세부현황'!$BC:$BC,"완료",'2023년 신조차 고장관리 세부현황'!$CY:$CY,"TCMS")</f>
        <v>0</v>
      </c>
      <c r="I224"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분석_15일'!$F224,'2023년 신조차 고장관리 세부현황'!$BC:$BC,"완료",'2023년 신조차 고장관리 세부현황'!$CY:$CY,"TCMS")</f>
        <v>0</v>
      </c>
      <c r="J224"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분석_15일'!$F224,'2023년 신조차 고장관리 세부현황'!$BC:$BC,"완료",'2023년 신조차 고장관리 세부현황'!$CY:$CY,"TCMS")</f>
        <v>0</v>
      </c>
      <c r="K224"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분석_15일'!$F224,'2023년 신조차 고장관리 세부현황'!$BC:$BC,"완료",'2023년 신조차 고장관리 세부현황'!$CY:$CY,"TCMS")</f>
        <v>0</v>
      </c>
      <c r="L224"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분석_15일'!$F224,'2023년 신조차 고장관리 세부현황'!$BC:$BC,"완료",'2023년 신조차 고장관리 세부현황'!$CY:$CY,"TCMS")</f>
        <v>0</v>
      </c>
      <c r="M224"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분석_15일'!$F224,'2023년 신조차 고장관리 세부현황'!$BC:$BC,"완료",'2023년 신조차 고장관리 세부현황'!$CY:$CY,"TCMS")</f>
        <v>0</v>
      </c>
      <c r="N224"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분석_15일'!$F224,'2023년 신조차 고장관리 세부현황'!$BC:$BC,"완료",'2023년 신조차 고장관리 세부현황'!$CY:$CY,"TCMS")</f>
        <v>0</v>
      </c>
      <c r="O224"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분석_15일'!$F224,'2023년 신조차 고장관리 세부현황'!$BC:$BC,"완료",'2023년 신조차 고장관리 세부현황'!$CY:$CY,"TCMS")</f>
        <v>0</v>
      </c>
      <c r="P224"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분석_15일'!$F224,'2023년 신조차 고장관리 세부현황'!$BC:$BC,"완료",'2023년 신조차 고장관리 세부현황'!$CY:$CY,"TCMS")</f>
        <v>0</v>
      </c>
      <c r="Q224"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분석_15일'!$F224,'2023년 신조차 고장관리 세부현황'!$BC:$BC,"완료",'2023년 신조차 고장관리 세부현황'!$CY:$CY,"TCMS")</f>
        <v>0</v>
      </c>
      <c r="R224"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분석_15일'!$F224,'2023년 신조차 고장관리 세부현황'!$BC:$BC,"완료",'2023년 신조차 고장관리 세부현황'!$CY:$CY,"TCMS")</f>
        <v>0</v>
      </c>
      <c r="S224"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분석_15일'!$F224,'2023년 신조차 고장관리 세부현황'!$BC:$BC,"완료",'2023년 신조차 고장관리 세부현황'!$CY:$CY,"TCMS")</f>
        <v>0</v>
      </c>
      <c r="T224"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분석_15일'!$F224,'2023년 신조차 고장관리 세부현황'!$BC:$BC,"완료",'2023년 신조차 고장관리 세부현황'!$CY:$CY,"TCMS")</f>
        <v>0</v>
      </c>
      <c r="U224"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분석_15일'!$F224,'2023년 신조차 고장관리 세부현황'!$BC:$BC,"완료",'2023년 신조차 고장관리 세부현황'!$CY:$CY,"TCMS")</f>
        <v>0</v>
      </c>
      <c r="V224"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분석_15일'!$F224,'2023년 신조차 고장관리 세부현황'!$BC:$BC,"완료",'2023년 신조차 고장관리 세부현황'!$CY:$CY,"TCMS")</f>
        <v>0</v>
      </c>
      <c r="W224"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분석_15일'!$F224,'2023년 신조차 고장관리 세부현황'!$BC:$BC,"완료",'2023년 신조차 고장관리 세부현황'!$CY:$CY,"TCMS")</f>
        <v>0</v>
      </c>
      <c r="X224"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분석_15일'!$F224,'2023년 신조차 고장관리 세부현황'!$BC:$BC,"완료",'2023년 신조차 고장관리 세부현황'!$CY:$CY,"TCMS")</f>
        <v>0</v>
      </c>
      <c r="Y224"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분석_15일'!$F224,'2023년 신조차 고장관리 세부현황'!$BC:$BC,"완료",'2023년 신조차 고장관리 세부현황'!$CY:$CY,"TCMS")</f>
        <v>0</v>
      </c>
      <c r="Z224"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분석_15일'!$F224,'2023년 신조차 고장관리 세부현황'!$BC:$BC,"완료",'2023년 신조차 고장관리 세부현황'!$CY:$CY,"TCMS")</f>
        <v>0</v>
      </c>
      <c r="AA224"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분석_15일'!$F224,'2023년 신조차 고장관리 세부현황'!$BC:$BC,"완료",'2023년 신조차 고장관리 세부현황'!$CY:$CY,"TCMS")</f>
        <v>0</v>
      </c>
      <c r="AB224"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분석_15일'!$F224,'2023년 신조차 고장관리 세부현황'!$BC:$BC,"완료",'2023년 신조차 고장관리 세부현황'!$CY:$CY,"TCMS")</f>
        <v>0</v>
      </c>
      <c r="AC224"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분석_15일'!$F224,'2023년 신조차 고장관리 세부현황'!$BC:$BC,"완료",'2023년 신조차 고장관리 세부현황'!$CY:$CY,"TCMS")</f>
        <v>0</v>
      </c>
      <c r="AD224"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분석_15일'!$F224,'2023년 신조차 고장관리 세부현황'!$BC:$BC,"완료",'2023년 신조차 고장관리 세부현황'!$CY:$CY,"TCMS")</f>
        <v>0</v>
      </c>
      <c r="AE224"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분석_15일'!$F224,'2023년 신조차 고장관리 세부현황'!$BC:$BC,"완료",'2023년 신조차 고장관리 세부현황'!$CY:$CY,"TCMS")</f>
        <v>0</v>
      </c>
      <c r="AF224"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분석_15일'!$F224,'2023년 신조차 고장관리 세부현황'!$BC:$BC,"완료",'2023년 신조차 고장관리 세부현황'!$CY:$CY,"TCMS")</f>
        <v>0</v>
      </c>
      <c r="AG224"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분석_15일'!$F224,'2023년 신조차 고장관리 세부현황'!$BC:$BC,"완료",'2023년 신조차 고장관리 세부현황'!$CY:$CY,"TCMS")</f>
        <v>0</v>
      </c>
      <c r="AH224"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분석_15일'!$F224,'2023년 신조차 고장관리 세부현황'!$BC:$BC,"완료",'2023년 신조차 고장관리 세부현황'!$CY:$CY,"TCMS")</f>
        <v>0</v>
      </c>
      <c r="AI224"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분석_15일'!$F224,'2023년 신조차 고장관리 세부현황'!$BC:$BC,"완료",'2023년 신조차 고장관리 세부현황'!$CY:$CY,"TCMS")</f>
        <v>0</v>
      </c>
      <c r="AJ224"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분석_15일'!$F224,'2023년 신조차 고장관리 세부현황'!$BC:$BC,"완료",'2023년 신조차 고장관리 세부현황'!$CY:$CY,"TCMS")</f>
        <v>0</v>
      </c>
      <c r="AK224"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분석_15일'!$F224,'2023년 신조차 고장관리 세부현황'!$BC:$BC,"완료",'2023년 신조차 고장관리 세부현황'!$CY:$CY,"TCMS")</f>
        <v>0</v>
      </c>
      <c r="AL224"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분석_15일'!$F224,'2023년 신조차 고장관리 세부현황'!$BC:$BC,"완료",'2023년 신조차 고장관리 세부현황'!$CY:$CY,"TCMS")</f>
        <v>0</v>
      </c>
      <c r="AM224"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분석_15일'!$F224,'2023년 신조차 고장관리 세부현황'!$BC:$BC,"완료",'2023년 신조차 고장관리 세부현황'!$CY:$CY,"TCMS")</f>
        <v>0</v>
      </c>
      <c r="AN224"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분석_15일'!$F224,'2023년 신조차 고장관리 세부현황'!$BC:$BC,"완료",'2023년 신조차 고장관리 세부현황'!$CY:$CY,"TCMS")</f>
        <v>0</v>
      </c>
      <c r="AO224"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분석_15일'!$F224,'2023년 신조차 고장관리 세부현황'!$BC:$BC,"완료",'2023년 신조차 고장관리 세부현황'!$CY:$CY,"TCMS")</f>
        <v>0</v>
      </c>
      <c r="AP224"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분석_15일'!$F224,'2023년 신조차 고장관리 세부현황'!$BC:$BC,"완료",'2023년 신조차 고장관리 세부현황'!$CY:$CY,"TCMS")</f>
        <v>0</v>
      </c>
      <c r="AQ224"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분석_15일'!$F224,'2023년 신조차 고장관리 세부현황'!$BC:$BC,"완료",'2023년 신조차 고장관리 세부현황'!$CY:$CY,"TCMS")</f>
        <v>0</v>
      </c>
      <c r="AR224"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분석_15일'!$F224,'2023년 신조차 고장관리 세부현황'!$BC:$BC,"완료",'2023년 신조차 고장관리 세부현황'!$CY:$CY,"TCMS")</f>
        <v>0</v>
      </c>
      <c r="AS224"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분석_15일'!$F224,'2023년 신조차 고장관리 세부현황'!$BC:$BC,"완료",'2023년 신조차 고장관리 세부현황'!$CY:$CY,"TCMS")</f>
        <v>0</v>
      </c>
      <c r="AT224"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분석_15일'!$F224,'2023년 신조차 고장관리 세부현황'!$BC:$BC,"완료",'2023년 신조차 고장관리 세부현황'!$CY:$CY,"TCMS")</f>
        <v>0</v>
      </c>
      <c r="AU224"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분석_15일'!$F224,'2023년 신조차 고장관리 세부현황'!$BC:$BC,"완료",'2023년 신조차 고장관리 세부현황'!$CY:$CY,"TCMS")</f>
        <v>0</v>
      </c>
      <c r="AV224"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분석_15일'!$F224,'2023년 신조차 고장관리 세부현황'!$BC:$BC,"완료",'2023년 신조차 고장관리 세부현황'!$CY:$CY,"TCMS")</f>
        <v>0</v>
      </c>
      <c r="AW224"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분석_15일'!$F224,'2023년 신조차 고장관리 세부현황'!$BC:$BC,"완료",'2023년 신조차 고장관리 세부현황'!$CY:$CY,"TCMS")</f>
        <v>0</v>
      </c>
      <c r="AX224"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분석_15일'!$F224,'2023년 신조차 고장관리 세부현황'!$BC:$BC,"완료",'2023년 신조차 고장관리 세부현황'!$CY:$CY,"TCMS")</f>
        <v>0</v>
      </c>
      <c r="AY224"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분석_15일'!$F224,'2023년 신조차 고장관리 세부현황'!$BC:$BC,"완료",'2023년 신조차 고장관리 세부현황'!$CY:$CY,"TCMS")</f>
        <v>0</v>
      </c>
      <c r="AZ224"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분석_15일'!$F224,'2023년 신조차 고장관리 세부현황'!$BC:$BC,"완료",'2023년 신조차 고장관리 세부현황'!$CY:$CY,"TCMS")</f>
        <v>0</v>
      </c>
      <c r="BA224"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분석_15일'!$F224,'2023년 신조차 고장관리 세부현황'!$BC:$BC,"완료",'2023년 신조차 고장관리 세부현황'!$CY:$CY,"TCMS")</f>
        <v>0</v>
      </c>
      <c r="BB224"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분석_15일'!$F224,'2023년 신조차 고장관리 세부현황'!$BC:$BC,"완료",'2023년 신조차 고장관리 세부현황'!$CY:$CY,"TCMS")</f>
        <v>0</v>
      </c>
      <c r="BC224"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분석_15일'!$F224,'2023년 신조차 고장관리 세부현황'!$BC:$BC,"완료",'2023년 신조차 고장관리 세부현황'!$CY:$CY,"TCMS")</f>
        <v>0</v>
      </c>
      <c r="BD224"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분석_15일'!$F224,'2023년 신조차 고장관리 세부현황'!$BC:$BC,"완료",'2023년 신조차 고장관리 세부현황'!$CY:$CY,"TCMS")</f>
        <v>0</v>
      </c>
      <c r="BE224"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분석_15일'!$F224,'2023년 신조차 고장관리 세부현황'!$BC:$BC,"완료",'2023년 신조차 고장관리 세부현황'!$CY:$CY,"TCMS")</f>
        <v>0</v>
      </c>
      <c r="BF224"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분석_15일'!$F224,'2023년 신조차 고장관리 세부현황'!$BC:$BC,"완료",'2023년 신조차 고장관리 세부현황'!$CY:$CY,"TCMS")</f>
        <v>0</v>
      </c>
      <c r="BG224"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분석_15일'!$F224,'2023년 신조차 고장관리 세부현황'!$BC:$BC,"완료",'2023년 신조차 고장관리 세부현황'!$CY:$CY,"TCMS")</f>
        <v>0</v>
      </c>
      <c r="BH224"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분석_15일'!$F224,'2023년 신조차 고장관리 세부현황'!$BC:$BC,"완료",'2023년 신조차 고장관리 세부현황'!$CY:$CY,"TCMS")</f>
        <v>0</v>
      </c>
      <c r="BI224"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분석_15일'!$F224,'2023년 신조차 고장관리 세부현황'!$BC:$BC,"완료",'2023년 신조차 고장관리 세부현황'!$CY:$CY,"TCMS")</f>
        <v>0</v>
      </c>
      <c r="BJ224"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분석_15일'!$F224,'2023년 신조차 고장관리 세부현황'!$BC:$BC,"완료",'2023년 신조차 고장관리 세부현황'!$CY:$CY,"TCMS")</f>
        <v>0</v>
      </c>
      <c r="BK224"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분석_15일'!$F224,'2023년 신조차 고장관리 세부현황'!$BC:$BC,"완료",'2023년 신조차 고장관리 세부현황'!$CY:$CY,"TCMS")</f>
        <v>0</v>
      </c>
      <c r="BL224"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분석_15일'!$F224,'2023년 신조차 고장관리 세부현황'!$BC:$BC,"완료",'2023년 신조차 고장관리 세부현황'!$CY:$CY,"TCMS")</f>
        <v>0</v>
      </c>
      <c r="BM224"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분석_15일'!$F224,'2023년 신조차 고장관리 세부현황'!$BC:$BC,"완료",'2023년 신조차 고장관리 세부현황'!$CY:$CY,"TCMS")</f>
        <v>0</v>
      </c>
      <c r="BN224"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분석_15일'!$F224,'2023년 신조차 고장관리 세부현황'!$BC:$BC,"완료",'2023년 신조차 고장관리 세부현황'!$CY:$CY,"TCMS")</f>
        <v>0</v>
      </c>
      <c r="BO224"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분석_15일'!$F224,'2023년 신조차 고장관리 세부현황'!$BC:$BC,"완료",'2023년 신조차 고장관리 세부현황'!$CY:$CY,"TCMS")</f>
        <v>0</v>
      </c>
      <c r="BP224"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분석_15일'!$F224,'2023년 신조차 고장관리 세부현황'!$BC:$BC,"완료",'2023년 신조차 고장관리 세부현황'!$CY:$CY,"TCMS")</f>
        <v>0</v>
      </c>
      <c r="BQ224"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분석_15일'!$F224,'2023년 신조차 고장관리 세부현황'!$BC:$BC,"완료",'2023년 신조차 고장관리 세부현황'!$CY:$CY,"TCMS")</f>
        <v>0</v>
      </c>
      <c r="BR224"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분석_15일'!$F224,'2023년 신조차 고장관리 세부현황'!$BC:$BC,"완료",'2023년 신조차 고장관리 세부현황'!$CY:$CY,"TCMS")</f>
        <v>0</v>
      </c>
      <c r="BS224"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분석_15일'!$F224,'2023년 신조차 고장관리 세부현황'!$BC:$BC,"완료",'2023년 신조차 고장관리 세부현황'!$CY:$CY,"TCMS")</f>
        <v>0</v>
      </c>
      <c r="BT224"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분석_15일'!$F224,'2023년 신조차 고장관리 세부현황'!$BC:$BC,"완료",'2023년 신조차 고장관리 세부현황'!$CY:$CY,"TCMS")</f>
        <v>0</v>
      </c>
      <c r="BU224"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분석_15일'!$F224,'2023년 신조차 고장관리 세부현황'!$BC:$BC,"완료",'2023년 신조차 고장관리 세부현황'!$CY:$CY,"TCMS")</f>
        <v>0</v>
      </c>
      <c r="BV224"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분석_15일'!$F224,'2023년 신조차 고장관리 세부현황'!$BC:$BC,"완료",'2023년 신조차 고장관리 세부현황'!$CY:$CY,"TCMS")</f>
        <v>0</v>
      </c>
      <c r="BW224"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분석_15일'!$F224,'2023년 신조차 고장관리 세부현황'!$BC:$BC,"완료",'2023년 신조차 고장관리 세부현황'!$CY:$CY,"TCMS")</f>
        <v>0</v>
      </c>
      <c r="BX224"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분석_15일'!$F224,'2023년 신조차 고장관리 세부현황'!$BC:$BC,"완료",'2023년 신조차 고장관리 세부현황'!$CY:$CY,"TCMS")</f>
        <v>0</v>
      </c>
      <c r="BY224"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분석_15일'!$F224,'2023년 신조차 고장관리 세부현황'!$BC:$BC,"완료",'2023년 신조차 고장관리 세부현황'!$CY:$CY,"TCMS")</f>
        <v>0</v>
      </c>
      <c r="BZ224"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분석_15일'!$F224,'2023년 신조차 고장관리 세부현황'!$BC:$BC,"완료",'2023년 신조차 고장관리 세부현황'!$CY:$CY,"TCMS")</f>
        <v>0</v>
      </c>
      <c r="CA224"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분석_15일'!$F224,'2023년 신조차 고장관리 세부현황'!$BC:$BC,"완료",'2023년 신조차 고장관리 세부현황'!$CY:$CY,"TCMS")</f>
        <v>0</v>
      </c>
      <c r="CB224"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분석_15일'!$F224,'2023년 신조차 고장관리 세부현황'!$BC:$BC,"완료",'2023년 신조차 고장관리 세부현황'!$CY:$CY,"TCMS")</f>
        <v>0</v>
      </c>
      <c r="CC224"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분석_15일'!$F224,'2023년 신조차 고장관리 세부현황'!$BC:$BC,"완료",'2023년 신조차 고장관리 세부현황'!$CY:$CY,"TCMS")</f>
        <v>0</v>
      </c>
      <c r="CD224"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분석_15일'!$F224,'2023년 신조차 고장관리 세부현황'!$BC:$BC,"완료",'2023년 신조차 고장관리 세부현황'!$CY:$CY,"TCMS")</f>
        <v>0</v>
      </c>
      <c r="CE224"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분석_15일'!$F224,'2023년 신조차 고장관리 세부현황'!$BC:$BC,"완료",'2023년 신조차 고장관리 세부현황'!$CY:$CY,"TCMS")</f>
        <v>0</v>
      </c>
      <c r="CF224"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분석_15일'!$F224,'2023년 신조차 고장관리 세부현황'!$BC:$BC,"완료",'2023년 신조차 고장관리 세부현황'!$CY:$CY,"TCMS")</f>
        <v>0</v>
      </c>
      <c r="CG224"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분석_15일'!$F224,'2023년 신조차 고장관리 세부현황'!$BC:$BC,"완료",'2023년 신조차 고장관리 세부현황'!$CY:$CY,"TCMS")</f>
        <v>0</v>
      </c>
      <c r="CH224"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분석_15일'!$F224,'2023년 신조차 고장관리 세부현황'!$BC:$BC,"완료",'2023년 신조차 고장관리 세부현황'!$CY:$CY,"TCMS")</f>
        <v>0</v>
      </c>
      <c r="CI224"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분석_15일'!$F224,'2023년 신조차 고장관리 세부현황'!$BC:$BC,"완료",'2023년 신조차 고장관리 세부현황'!$CY:$CY,"TCMS")</f>
        <v>0</v>
      </c>
      <c r="CJ224"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분석_15일'!$F224,'2023년 신조차 고장관리 세부현황'!$BC:$BC,"완료",'2023년 신조차 고장관리 세부현황'!$CY:$CY,"TCMS")</f>
        <v>0</v>
      </c>
      <c r="CK224"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분석_15일'!$F224,'2023년 신조차 고장관리 세부현황'!$BC:$BC,"완료",'2023년 신조차 고장관리 세부현황'!$CY:$CY,"TCMS")</f>
        <v>0</v>
      </c>
      <c r="CL224"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분석_15일'!$F224,'2023년 신조차 고장관리 세부현황'!$BC:$BC,"완료",'2023년 신조차 고장관리 세부현황'!$CY:$CY,"TCMS")</f>
        <v>0</v>
      </c>
      <c r="CM224"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분석_15일'!$F224,'2023년 신조차 고장관리 세부현황'!$BC:$BC,"완료",'2023년 신조차 고장관리 세부현황'!$CY:$CY,"TCMS")</f>
        <v>0</v>
      </c>
      <c r="CN224"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분석_15일'!$F224,'2023년 신조차 고장관리 세부현황'!$BC:$BC,"완료",'2023년 신조차 고장관리 세부현황'!$CY:$CY,"TCMS")</f>
        <v>0</v>
      </c>
      <c r="CO224"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분석_15일'!$F224,'2023년 신조차 고장관리 세부현황'!$BC:$BC,"완료",'2023년 신조차 고장관리 세부현황'!$CY:$CY,"TCMS")</f>
        <v>0</v>
      </c>
      <c r="CP224"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분석_15일'!$F224,'2023년 신조차 고장관리 세부현황'!$BC:$BC,"완료",'2023년 신조차 고장관리 세부현황'!$CY:$CY,"TCMS")</f>
        <v>0</v>
      </c>
      <c r="CQ224"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분석_15일'!$F224,'2023년 신조차 고장관리 세부현황'!$BC:$BC,"완료",'2023년 신조차 고장관리 세부현황'!$CY:$CY,"TCMS")</f>
        <v>0</v>
      </c>
      <c r="CR224"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분석_15일'!$F224,'2023년 신조차 고장관리 세부현황'!$BC:$BC,"완료",'2023년 신조차 고장관리 세부현황'!$CY:$CY,"TCMS")</f>
        <v>0</v>
      </c>
      <c r="CS224"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분석_15일'!$F224,'2023년 신조차 고장관리 세부현황'!$BC:$BC,"완료",'2023년 신조차 고장관리 세부현황'!$CY:$CY,"TCMS")</f>
        <v>0</v>
      </c>
      <c r="CT224"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분석_15일'!$F224,'2023년 신조차 고장관리 세부현황'!$BC:$BC,"완료",'2023년 신조차 고장관리 세부현황'!$CY:$CY,"TCMS")</f>
        <v>0</v>
      </c>
      <c r="CU224"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분석_15일'!$F224,'2023년 신조차 고장관리 세부현황'!$BC:$BC,"완료",'2023년 신조차 고장관리 세부현황'!$CY:$CY,"TCMS")</f>
        <v>0</v>
      </c>
      <c r="CV224"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분석_15일'!$F224,'2023년 신조차 고장관리 세부현황'!$BC:$BC,"완료",'2023년 신조차 고장관리 세부현황'!$CY:$CY,"TCMS")</f>
        <v>0</v>
      </c>
      <c r="CW224"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분석_15일'!$F224,'2023년 신조차 고장관리 세부현황'!$BC:$BC,"완료",'2023년 신조차 고장관리 세부현황'!$CY:$CY,"TCMS")</f>
        <v>0</v>
      </c>
      <c r="CX224">
        <f>SUM(G224:CW224)</f>
        <v>0</v>
      </c>
    </row>
    <row r="225" spans="6:102" x14ac:dyDescent="0.4">
      <c r="F225" s="85" t="s">
        <v>243</v>
      </c>
      <c r="G225" s="85">
        <f>G223+G224</f>
        <v>0</v>
      </c>
      <c r="H225" s="85">
        <f t="shared" ref="H225" si="295">H223+H224</f>
        <v>0</v>
      </c>
      <c r="I225" s="85">
        <f t="shared" ref="I225:BT225" si="296">I223+I224</f>
        <v>0</v>
      </c>
      <c r="J225" s="85">
        <f t="shared" si="296"/>
        <v>0</v>
      </c>
      <c r="K225" s="85">
        <f t="shared" si="296"/>
        <v>0</v>
      </c>
      <c r="L225" s="85">
        <f t="shared" si="296"/>
        <v>0</v>
      </c>
      <c r="M225" s="85">
        <f t="shared" si="296"/>
        <v>0</v>
      </c>
      <c r="N225" s="85">
        <f t="shared" si="296"/>
        <v>0</v>
      </c>
      <c r="O225" s="85">
        <f t="shared" si="296"/>
        <v>0</v>
      </c>
      <c r="P225" s="85">
        <f t="shared" si="296"/>
        <v>0</v>
      </c>
      <c r="Q225" s="85">
        <f t="shared" si="296"/>
        <v>0</v>
      </c>
      <c r="R225" s="85">
        <f t="shared" si="296"/>
        <v>0</v>
      </c>
      <c r="S225" s="85">
        <f t="shared" si="296"/>
        <v>0</v>
      </c>
      <c r="T225" s="85">
        <f t="shared" si="296"/>
        <v>0</v>
      </c>
      <c r="U225" s="85">
        <f t="shared" si="296"/>
        <v>0</v>
      </c>
      <c r="V225" s="85">
        <f t="shared" si="296"/>
        <v>0</v>
      </c>
      <c r="W225" s="85">
        <f t="shared" si="296"/>
        <v>0</v>
      </c>
      <c r="X225" s="85">
        <f t="shared" si="296"/>
        <v>0</v>
      </c>
      <c r="Y225" s="85">
        <f t="shared" si="296"/>
        <v>0</v>
      </c>
      <c r="Z225" s="85">
        <f t="shared" si="296"/>
        <v>0</v>
      </c>
      <c r="AA225" s="85">
        <f t="shared" si="296"/>
        <v>0</v>
      </c>
      <c r="AB225" s="85">
        <f t="shared" si="296"/>
        <v>0</v>
      </c>
      <c r="AC225" s="85">
        <f t="shared" si="296"/>
        <v>0</v>
      </c>
      <c r="AD225" s="85">
        <f t="shared" si="296"/>
        <v>0</v>
      </c>
      <c r="AE225" s="85">
        <f t="shared" si="296"/>
        <v>0</v>
      </c>
      <c r="AF225" s="85">
        <f t="shared" si="296"/>
        <v>0</v>
      </c>
      <c r="AG225" s="85">
        <f t="shared" si="296"/>
        <v>0</v>
      </c>
      <c r="AH225" s="85">
        <f t="shared" si="296"/>
        <v>0</v>
      </c>
      <c r="AI225" s="85">
        <f t="shared" si="296"/>
        <v>0</v>
      </c>
      <c r="AJ225" s="85">
        <f t="shared" si="296"/>
        <v>0</v>
      </c>
      <c r="AK225" s="85">
        <f t="shared" si="296"/>
        <v>0</v>
      </c>
      <c r="AL225" s="85">
        <f t="shared" si="296"/>
        <v>0</v>
      </c>
      <c r="AM225" s="85">
        <f t="shared" si="296"/>
        <v>0</v>
      </c>
      <c r="AN225" s="85">
        <f t="shared" si="296"/>
        <v>0</v>
      </c>
      <c r="AO225" s="85">
        <f t="shared" si="296"/>
        <v>0</v>
      </c>
      <c r="AP225" s="85">
        <f t="shared" si="296"/>
        <v>0</v>
      </c>
      <c r="AQ225" s="85">
        <f t="shared" si="296"/>
        <v>0</v>
      </c>
      <c r="AR225" s="85">
        <f t="shared" si="296"/>
        <v>0</v>
      </c>
      <c r="AS225" s="85">
        <f t="shared" si="296"/>
        <v>0</v>
      </c>
      <c r="AT225" s="85">
        <f t="shared" si="296"/>
        <v>0</v>
      </c>
      <c r="AU225" s="85">
        <f t="shared" si="296"/>
        <v>0</v>
      </c>
      <c r="AV225" s="85">
        <f t="shared" si="296"/>
        <v>0</v>
      </c>
      <c r="AW225" s="85">
        <f t="shared" si="296"/>
        <v>0</v>
      </c>
      <c r="AX225" s="85">
        <f t="shared" si="296"/>
        <v>0</v>
      </c>
      <c r="AY225" s="85">
        <f t="shared" si="296"/>
        <v>0</v>
      </c>
      <c r="AZ225" s="85">
        <f t="shared" si="296"/>
        <v>0</v>
      </c>
      <c r="BA225" s="85">
        <f t="shared" si="296"/>
        <v>0</v>
      </c>
      <c r="BB225" s="85">
        <f t="shared" si="296"/>
        <v>0</v>
      </c>
      <c r="BC225" s="85">
        <f t="shared" si="296"/>
        <v>0</v>
      </c>
      <c r="BD225" s="85">
        <f t="shared" si="296"/>
        <v>0</v>
      </c>
      <c r="BE225" s="85">
        <f t="shared" si="296"/>
        <v>0</v>
      </c>
      <c r="BF225" s="85">
        <f t="shared" si="296"/>
        <v>0</v>
      </c>
      <c r="BG225" s="85">
        <f t="shared" si="296"/>
        <v>0</v>
      </c>
      <c r="BH225" s="85">
        <f t="shared" si="296"/>
        <v>0</v>
      </c>
      <c r="BI225" s="85">
        <f t="shared" si="296"/>
        <v>0</v>
      </c>
      <c r="BJ225" s="85">
        <f t="shared" si="296"/>
        <v>0</v>
      </c>
      <c r="BK225" s="85">
        <f t="shared" si="296"/>
        <v>0</v>
      </c>
      <c r="BL225" s="85">
        <f t="shared" si="296"/>
        <v>0</v>
      </c>
      <c r="BM225" s="85">
        <f t="shared" si="296"/>
        <v>0</v>
      </c>
      <c r="BN225" s="85">
        <f t="shared" si="296"/>
        <v>0</v>
      </c>
      <c r="BO225" s="85">
        <f t="shared" si="296"/>
        <v>0</v>
      </c>
      <c r="BP225" s="85">
        <f t="shared" si="296"/>
        <v>0</v>
      </c>
      <c r="BQ225" s="85">
        <f t="shared" si="296"/>
        <v>0</v>
      </c>
      <c r="BR225" s="85">
        <f t="shared" si="296"/>
        <v>0</v>
      </c>
      <c r="BS225" s="85">
        <f t="shared" si="296"/>
        <v>0</v>
      </c>
      <c r="BT225" s="85">
        <f t="shared" si="296"/>
        <v>0</v>
      </c>
      <c r="BU225" s="85">
        <f t="shared" ref="BU225:CH225" si="297">BU223+BU224</f>
        <v>0</v>
      </c>
      <c r="BV225" s="85">
        <f t="shared" si="297"/>
        <v>0</v>
      </c>
      <c r="BW225" s="85">
        <f t="shared" si="297"/>
        <v>0</v>
      </c>
      <c r="BX225" s="85">
        <f t="shared" si="297"/>
        <v>0</v>
      </c>
      <c r="BY225" s="85">
        <f t="shared" si="297"/>
        <v>0</v>
      </c>
      <c r="BZ225" s="85">
        <f t="shared" si="297"/>
        <v>0</v>
      </c>
      <c r="CA225" s="85">
        <f t="shared" si="297"/>
        <v>0</v>
      </c>
      <c r="CB225" s="85">
        <f t="shared" si="297"/>
        <v>0</v>
      </c>
      <c r="CC225" s="85">
        <f t="shared" si="297"/>
        <v>0</v>
      </c>
      <c r="CD225" s="85">
        <f t="shared" si="297"/>
        <v>0</v>
      </c>
      <c r="CE225" s="85">
        <f t="shared" si="297"/>
        <v>0</v>
      </c>
      <c r="CF225" s="85">
        <f t="shared" si="297"/>
        <v>0</v>
      </c>
      <c r="CG225" s="85">
        <f t="shared" si="297"/>
        <v>0</v>
      </c>
      <c r="CH225" s="85">
        <f t="shared" si="297"/>
        <v>0</v>
      </c>
      <c r="CI225" s="85">
        <f t="shared" ref="CI225:CO225" si="298">CI223+CI224</f>
        <v>0</v>
      </c>
      <c r="CJ225" s="85">
        <f t="shared" si="298"/>
        <v>0</v>
      </c>
      <c r="CK225" s="85">
        <f t="shared" si="298"/>
        <v>0</v>
      </c>
      <c r="CL225" s="85">
        <f t="shared" si="298"/>
        <v>0</v>
      </c>
      <c r="CM225" s="85">
        <f t="shared" si="298"/>
        <v>0</v>
      </c>
      <c r="CN225" s="85">
        <f t="shared" si="298"/>
        <v>0</v>
      </c>
      <c r="CO225" s="85">
        <f t="shared" si="298"/>
        <v>0</v>
      </c>
      <c r="CP225" s="85">
        <f t="shared" ref="CP225:CW225" si="299">CP223+CP224</f>
        <v>0</v>
      </c>
      <c r="CQ225" s="85">
        <f t="shared" si="299"/>
        <v>0</v>
      </c>
      <c r="CR225" s="85">
        <f t="shared" si="299"/>
        <v>0</v>
      </c>
      <c r="CS225" s="85">
        <f t="shared" si="299"/>
        <v>0</v>
      </c>
      <c r="CT225" s="85">
        <f t="shared" si="299"/>
        <v>0</v>
      </c>
      <c r="CU225" s="85">
        <f t="shared" si="299"/>
        <v>0</v>
      </c>
      <c r="CV225" s="85">
        <f t="shared" si="299"/>
        <v>0</v>
      </c>
      <c r="CW225" s="85">
        <f t="shared" si="299"/>
        <v>0</v>
      </c>
      <c r="CX225">
        <f>SUM(G225:CW225)</f>
        <v>0</v>
      </c>
    </row>
    <row r="226" spans="6:102" x14ac:dyDescent="0.4">
      <c r="F226" s="86" t="s">
        <v>222</v>
      </c>
      <c r="G226" s="85">
        <f>COUNTIFS('2023년 신조차 고장관리 세부현황'!$K:$K,"128R",'2023년 신조차 고장관리 세부현황'!$P:$P,"&gt;="&amp;$G$17,'2023년 신조차 고장관리 세부현황'!$P:$P,"&lt;"&amp;'트랜드 분석_15일'!G$18,'2023년 신조차 고장관리 세부현황'!$S:$S,'트랜드 분석_15일'!$F226,'2023년 신조차 고장관리 세부현황'!$BC:$BC,"완료",'2023년 신조차 고장관리 세부현황'!$CY:$CY,"TCMS")</f>
        <v>0</v>
      </c>
      <c r="H226"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분석_15일'!$F226,'2023년 신조차 고장관리 세부현황'!$BC:$BC,"완료",'2023년 신조차 고장관리 세부현황'!$CY:$CY,"TCMS")</f>
        <v>0</v>
      </c>
      <c r="I226"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분석_15일'!$F226,'2023년 신조차 고장관리 세부현황'!$BC:$BC,"완료",'2023년 신조차 고장관리 세부현황'!$CY:$CY,"TCMS")</f>
        <v>0</v>
      </c>
      <c r="J226"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분석_15일'!$F226,'2023년 신조차 고장관리 세부현황'!$BC:$BC,"완료",'2023년 신조차 고장관리 세부현황'!$CY:$CY,"TCMS")</f>
        <v>0</v>
      </c>
      <c r="K226"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분석_15일'!$F226,'2023년 신조차 고장관리 세부현황'!$BC:$BC,"완료",'2023년 신조차 고장관리 세부현황'!$CY:$CY,"TCMS")</f>
        <v>0</v>
      </c>
      <c r="L226"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분석_15일'!$F226,'2023년 신조차 고장관리 세부현황'!$BC:$BC,"완료",'2023년 신조차 고장관리 세부현황'!$CY:$CY,"TCMS")</f>
        <v>0</v>
      </c>
      <c r="M226"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분석_15일'!$F226,'2023년 신조차 고장관리 세부현황'!$BC:$BC,"완료",'2023년 신조차 고장관리 세부현황'!$CY:$CY,"TCMS")</f>
        <v>0</v>
      </c>
      <c r="N226"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분석_15일'!$F226,'2023년 신조차 고장관리 세부현황'!$BC:$BC,"완료",'2023년 신조차 고장관리 세부현황'!$CY:$CY,"TCMS")</f>
        <v>0</v>
      </c>
      <c r="O226"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분석_15일'!$F226,'2023년 신조차 고장관리 세부현황'!$BC:$BC,"완료",'2023년 신조차 고장관리 세부현황'!$CY:$CY,"TCMS")</f>
        <v>0</v>
      </c>
      <c r="P226"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분석_15일'!$F226,'2023년 신조차 고장관리 세부현황'!$BC:$BC,"완료",'2023년 신조차 고장관리 세부현황'!$CY:$CY,"TCMS")</f>
        <v>0</v>
      </c>
      <c r="Q226"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분석_15일'!$F226,'2023년 신조차 고장관리 세부현황'!$BC:$BC,"완료",'2023년 신조차 고장관리 세부현황'!$CY:$CY,"TCMS")</f>
        <v>0</v>
      </c>
      <c r="R226"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분석_15일'!$F226,'2023년 신조차 고장관리 세부현황'!$BC:$BC,"완료",'2023년 신조차 고장관리 세부현황'!$CY:$CY,"TCMS")</f>
        <v>0</v>
      </c>
      <c r="S226"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분석_15일'!$F226,'2023년 신조차 고장관리 세부현황'!$BC:$BC,"완료",'2023년 신조차 고장관리 세부현황'!$CY:$CY,"TCMS")</f>
        <v>0</v>
      </c>
      <c r="T226"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분석_15일'!$F226,'2023년 신조차 고장관리 세부현황'!$BC:$BC,"완료",'2023년 신조차 고장관리 세부현황'!$CY:$CY,"TCMS")</f>
        <v>0</v>
      </c>
      <c r="U226"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분석_15일'!$F226,'2023년 신조차 고장관리 세부현황'!$BC:$BC,"완료",'2023년 신조차 고장관리 세부현황'!$CY:$CY,"TCMS")</f>
        <v>0</v>
      </c>
      <c r="V226"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분석_15일'!$F226,'2023년 신조차 고장관리 세부현황'!$BC:$BC,"완료",'2023년 신조차 고장관리 세부현황'!$CY:$CY,"TCMS")</f>
        <v>0</v>
      </c>
      <c r="W226"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분석_15일'!$F226,'2023년 신조차 고장관리 세부현황'!$BC:$BC,"완료",'2023년 신조차 고장관리 세부현황'!$CY:$CY,"TCMS")</f>
        <v>0</v>
      </c>
      <c r="X226"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분석_15일'!$F226,'2023년 신조차 고장관리 세부현황'!$BC:$BC,"완료",'2023년 신조차 고장관리 세부현황'!$CY:$CY,"TCMS")</f>
        <v>0</v>
      </c>
      <c r="Y226"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분석_15일'!$F226,'2023년 신조차 고장관리 세부현황'!$BC:$BC,"완료",'2023년 신조차 고장관리 세부현황'!$CY:$CY,"TCMS")</f>
        <v>0</v>
      </c>
      <c r="Z226"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분석_15일'!$F226,'2023년 신조차 고장관리 세부현황'!$BC:$BC,"완료",'2023년 신조차 고장관리 세부현황'!$CY:$CY,"TCMS")</f>
        <v>0</v>
      </c>
      <c r="AA226"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분석_15일'!$F226,'2023년 신조차 고장관리 세부현황'!$BC:$BC,"완료",'2023년 신조차 고장관리 세부현황'!$CY:$CY,"TCMS")</f>
        <v>0</v>
      </c>
      <c r="AB226"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분석_15일'!$F226,'2023년 신조차 고장관리 세부현황'!$BC:$BC,"완료",'2023년 신조차 고장관리 세부현황'!$CY:$CY,"TCMS")</f>
        <v>0</v>
      </c>
      <c r="AC226"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분석_15일'!$F226,'2023년 신조차 고장관리 세부현황'!$BC:$BC,"완료",'2023년 신조차 고장관리 세부현황'!$CY:$CY,"TCMS")</f>
        <v>0</v>
      </c>
      <c r="AD226"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분석_15일'!$F226,'2023년 신조차 고장관리 세부현황'!$BC:$BC,"완료",'2023년 신조차 고장관리 세부현황'!$CY:$CY,"TCMS")</f>
        <v>0</v>
      </c>
      <c r="AE226"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분석_15일'!$F226,'2023년 신조차 고장관리 세부현황'!$BC:$BC,"완료",'2023년 신조차 고장관리 세부현황'!$CY:$CY,"TCMS")</f>
        <v>0</v>
      </c>
      <c r="AF226"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분석_15일'!$F226,'2023년 신조차 고장관리 세부현황'!$BC:$BC,"완료",'2023년 신조차 고장관리 세부현황'!$CY:$CY,"TCMS")</f>
        <v>0</v>
      </c>
      <c r="AG226"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분석_15일'!$F226,'2023년 신조차 고장관리 세부현황'!$BC:$BC,"완료",'2023년 신조차 고장관리 세부현황'!$CY:$CY,"TCMS")</f>
        <v>0</v>
      </c>
      <c r="AH226"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분석_15일'!$F226,'2023년 신조차 고장관리 세부현황'!$BC:$BC,"완료",'2023년 신조차 고장관리 세부현황'!$CY:$CY,"TCMS")</f>
        <v>0</v>
      </c>
      <c r="AI226"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분석_15일'!$F226,'2023년 신조차 고장관리 세부현황'!$BC:$BC,"완료",'2023년 신조차 고장관리 세부현황'!$CY:$CY,"TCMS")</f>
        <v>0</v>
      </c>
      <c r="AJ226"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분석_15일'!$F226,'2023년 신조차 고장관리 세부현황'!$BC:$BC,"완료",'2023년 신조차 고장관리 세부현황'!$CY:$CY,"TCMS")</f>
        <v>0</v>
      </c>
      <c r="AK226"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분석_15일'!$F226,'2023년 신조차 고장관리 세부현황'!$BC:$BC,"완료",'2023년 신조차 고장관리 세부현황'!$CY:$CY,"TCMS")</f>
        <v>0</v>
      </c>
      <c r="AL226"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분석_15일'!$F226,'2023년 신조차 고장관리 세부현황'!$BC:$BC,"완료",'2023년 신조차 고장관리 세부현황'!$CY:$CY,"TCMS")</f>
        <v>0</v>
      </c>
      <c r="AM226"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분석_15일'!$F226,'2023년 신조차 고장관리 세부현황'!$BC:$BC,"완료",'2023년 신조차 고장관리 세부현황'!$CY:$CY,"TCMS")</f>
        <v>0</v>
      </c>
      <c r="AN226"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분석_15일'!$F226,'2023년 신조차 고장관리 세부현황'!$BC:$BC,"완료",'2023년 신조차 고장관리 세부현황'!$CY:$CY,"TCMS")</f>
        <v>0</v>
      </c>
      <c r="AO226"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분석_15일'!$F226,'2023년 신조차 고장관리 세부현황'!$BC:$BC,"완료",'2023년 신조차 고장관리 세부현황'!$CY:$CY,"TCMS")</f>
        <v>0</v>
      </c>
      <c r="AP226"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분석_15일'!$F226,'2023년 신조차 고장관리 세부현황'!$BC:$BC,"완료",'2023년 신조차 고장관리 세부현황'!$CY:$CY,"TCMS")</f>
        <v>0</v>
      </c>
      <c r="AQ226"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분석_15일'!$F226,'2023년 신조차 고장관리 세부현황'!$BC:$BC,"완료",'2023년 신조차 고장관리 세부현황'!$CY:$CY,"TCMS")</f>
        <v>0</v>
      </c>
      <c r="AR226"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분석_15일'!$F226,'2023년 신조차 고장관리 세부현황'!$BC:$BC,"완료",'2023년 신조차 고장관리 세부현황'!$CY:$CY,"TCMS")</f>
        <v>0</v>
      </c>
      <c r="AS226"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분석_15일'!$F226,'2023년 신조차 고장관리 세부현황'!$BC:$BC,"완료",'2023년 신조차 고장관리 세부현황'!$CY:$CY,"TCMS")</f>
        <v>0</v>
      </c>
      <c r="AT226"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분석_15일'!$F226,'2023년 신조차 고장관리 세부현황'!$BC:$BC,"완료",'2023년 신조차 고장관리 세부현황'!$CY:$CY,"TCMS")</f>
        <v>0</v>
      </c>
      <c r="AU226"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분석_15일'!$F226,'2023년 신조차 고장관리 세부현황'!$BC:$BC,"완료",'2023년 신조차 고장관리 세부현황'!$CY:$CY,"TCMS")</f>
        <v>0</v>
      </c>
      <c r="AV226"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분석_15일'!$F226,'2023년 신조차 고장관리 세부현황'!$BC:$BC,"완료",'2023년 신조차 고장관리 세부현황'!$CY:$CY,"TCMS")</f>
        <v>0</v>
      </c>
      <c r="AW226"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분석_15일'!$F226,'2023년 신조차 고장관리 세부현황'!$BC:$BC,"완료",'2023년 신조차 고장관리 세부현황'!$CY:$CY,"TCMS")</f>
        <v>0</v>
      </c>
      <c r="AX226"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분석_15일'!$F226,'2023년 신조차 고장관리 세부현황'!$BC:$BC,"완료",'2023년 신조차 고장관리 세부현황'!$CY:$CY,"TCMS")</f>
        <v>0</v>
      </c>
      <c r="AY226"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분석_15일'!$F226,'2023년 신조차 고장관리 세부현황'!$BC:$BC,"완료",'2023년 신조차 고장관리 세부현황'!$CY:$CY,"TCMS")</f>
        <v>0</v>
      </c>
      <c r="AZ226"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분석_15일'!$F226,'2023년 신조차 고장관리 세부현황'!$BC:$BC,"완료",'2023년 신조차 고장관리 세부현황'!$CY:$CY,"TCMS")</f>
        <v>0</v>
      </c>
      <c r="BA226"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분석_15일'!$F226,'2023년 신조차 고장관리 세부현황'!$BC:$BC,"완료",'2023년 신조차 고장관리 세부현황'!$CY:$CY,"TCMS")</f>
        <v>0</v>
      </c>
      <c r="BB226"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분석_15일'!$F226,'2023년 신조차 고장관리 세부현황'!$BC:$BC,"완료",'2023년 신조차 고장관리 세부현황'!$CY:$CY,"TCMS")</f>
        <v>0</v>
      </c>
      <c r="BC226"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분석_15일'!$F226,'2023년 신조차 고장관리 세부현황'!$BC:$BC,"완료",'2023년 신조차 고장관리 세부현황'!$CY:$CY,"TCMS")</f>
        <v>0</v>
      </c>
      <c r="BD226"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분석_15일'!$F226,'2023년 신조차 고장관리 세부현황'!$BC:$BC,"완료",'2023년 신조차 고장관리 세부현황'!$CY:$CY,"TCMS")</f>
        <v>0</v>
      </c>
      <c r="BE226"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분석_15일'!$F226,'2023년 신조차 고장관리 세부현황'!$BC:$BC,"완료",'2023년 신조차 고장관리 세부현황'!$CY:$CY,"TCMS")</f>
        <v>0</v>
      </c>
      <c r="BF226"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분석_15일'!$F226,'2023년 신조차 고장관리 세부현황'!$BC:$BC,"완료",'2023년 신조차 고장관리 세부현황'!$CY:$CY,"TCMS")</f>
        <v>0</v>
      </c>
      <c r="BG226"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분석_15일'!$F226,'2023년 신조차 고장관리 세부현황'!$BC:$BC,"완료",'2023년 신조차 고장관리 세부현황'!$CY:$CY,"TCMS")</f>
        <v>0</v>
      </c>
      <c r="BH226"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분석_15일'!$F226,'2023년 신조차 고장관리 세부현황'!$BC:$BC,"완료",'2023년 신조차 고장관리 세부현황'!$CY:$CY,"TCMS")</f>
        <v>0</v>
      </c>
      <c r="BI226"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분석_15일'!$F226,'2023년 신조차 고장관리 세부현황'!$BC:$BC,"완료",'2023년 신조차 고장관리 세부현황'!$CY:$CY,"TCMS")</f>
        <v>0</v>
      </c>
      <c r="BJ226"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분석_15일'!$F226,'2023년 신조차 고장관리 세부현황'!$BC:$BC,"완료",'2023년 신조차 고장관리 세부현황'!$CY:$CY,"TCMS")</f>
        <v>0</v>
      </c>
      <c r="BK226"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분석_15일'!$F226,'2023년 신조차 고장관리 세부현황'!$BC:$BC,"완료",'2023년 신조차 고장관리 세부현황'!$CY:$CY,"TCMS")</f>
        <v>0</v>
      </c>
      <c r="BL226"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분석_15일'!$F226,'2023년 신조차 고장관리 세부현황'!$BC:$BC,"완료",'2023년 신조차 고장관리 세부현황'!$CY:$CY,"TCMS")</f>
        <v>0</v>
      </c>
      <c r="BM226"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분석_15일'!$F226,'2023년 신조차 고장관리 세부현황'!$BC:$BC,"완료",'2023년 신조차 고장관리 세부현황'!$CY:$CY,"TCMS")</f>
        <v>0</v>
      </c>
      <c r="BN226"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분석_15일'!$F226,'2023년 신조차 고장관리 세부현황'!$BC:$BC,"완료",'2023년 신조차 고장관리 세부현황'!$CY:$CY,"TCMS")</f>
        <v>0</v>
      </c>
      <c r="BO226"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분석_15일'!$F226,'2023년 신조차 고장관리 세부현황'!$BC:$BC,"완료",'2023년 신조차 고장관리 세부현황'!$CY:$CY,"TCMS")</f>
        <v>0</v>
      </c>
      <c r="BP226"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분석_15일'!$F226,'2023년 신조차 고장관리 세부현황'!$BC:$BC,"완료",'2023년 신조차 고장관리 세부현황'!$CY:$CY,"TCMS")</f>
        <v>0</v>
      </c>
      <c r="BQ226"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분석_15일'!$F226,'2023년 신조차 고장관리 세부현황'!$BC:$BC,"완료",'2023년 신조차 고장관리 세부현황'!$CY:$CY,"TCMS")</f>
        <v>0</v>
      </c>
      <c r="BR226"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분석_15일'!$F226,'2023년 신조차 고장관리 세부현황'!$BC:$BC,"완료",'2023년 신조차 고장관리 세부현황'!$CY:$CY,"TCMS")</f>
        <v>0</v>
      </c>
      <c r="BS226"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분석_15일'!$F226,'2023년 신조차 고장관리 세부현황'!$BC:$BC,"완료",'2023년 신조차 고장관리 세부현황'!$CY:$CY,"TCMS")</f>
        <v>0</v>
      </c>
      <c r="BT226"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분석_15일'!$F226,'2023년 신조차 고장관리 세부현황'!$BC:$BC,"완료",'2023년 신조차 고장관리 세부현황'!$CY:$CY,"TCMS")</f>
        <v>0</v>
      </c>
      <c r="BU226"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분석_15일'!$F226,'2023년 신조차 고장관리 세부현황'!$BC:$BC,"완료",'2023년 신조차 고장관리 세부현황'!$CY:$CY,"TCMS")</f>
        <v>0</v>
      </c>
      <c r="BV226"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분석_15일'!$F226,'2023년 신조차 고장관리 세부현황'!$BC:$BC,"완료",'2023년 신조차 고장관리 세부현황'!$CY:$CY,"TCMS")</f>
        <v>0</v>
      </c>
      <c r="BW226"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분석_15일'!$F226,'2023년 신조차 고장관리 세부현황'!$BC:$BC,"완료",'2023년 신조차 고장관리 세부현황'!$CY:$CY,"TCMS")</f>
        <v>0</v>
      </c>
      <c r="BX226"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분석_15일'!$F226,'2023년 신조차 고장관리 세부현황'!$BC:$BC,"완료",'2023년 신조차 고장관리 세부현황'!$CY:$CY,"TCMS")</f>
        <v>0</v>
      </c>
      <c r="BY226"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분석_15일'!$F226,'2023년 신조차 고장관리 세부현황'!$BC:$BC,"완료",'2023년 신조차 고장관리 세부현황'!$CY:$CY,"TCMS")</f>
        <v>0</v>
      </c>
      <c r="BZ226"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분석_15일'!$F226,'2023년 신조차 고장관리 세부현황'!$BC:$BC,"완료",'2023년 신조차 고장관리 세부현황'!$CY:$CY,"TCMS")</f>
        <v>0</v>
      </c>
      <c r="CA226"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분석_15일'!$F226,'2023년 신조차 고장관리 세부현황'!$BC:$BC,"완료",'2023년 신조차 고장관리 세부현황'!$CY:$CY,"TCMS")</f>
        <v>0</v>
      </c>
      <c r="CB226"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분석_15일'!$F226,'2023년 신조차 고장관리 세부현황'!$BC:$BC,"완료",'2023년 신조차 고장관리 세부현황'!$CY:$CY,"TCMS")</f>
        <v>0</v>
      </c>
      <c r="CC226"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분석_15일'!$F226,'2023년 신조차 고장관리 세부현황'!$BC:$BC,"완료",'2023년 신조차 고장관리 세부현황'!$CY:$CY,"TCMS")</f>
        <v>0</v>
      </c>
      <c r="CD226"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분석_15일'!$F226,'2023년 신조차 고장관리 세부현황'!$BC:$BC,"완료",'2023년 신조차 고장관리 세부현황'!$CY:$CY,"TCMS")</f>
        <v>0</v>
      </c>
      <c r="CE226"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분석_15일'!$F226,'2023년 신조차 고장관리 세부현황'!$BC:$BC,"완료",'2023년 신조차 고장관리 세부현황'!$CY:$CY,"TCMS")</f>
        <v>0</v>
      </c>
      <c r="CF226"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분석_15일'!$F226,'2023년 신조차 고장관리 세부현황'!$BC:$BC,"완료",'2023년 신조차 고장관리 세부현황'!$CY:$CY,"TCMS")</f>
        <v>0</v>
      </c>
      <c r="CG226"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분석_15일'!$F226,'2023년 신조차 고장관리 세부현황'!$BC:$BC,"완료",'2023년 신조차 고장관리 세부현황'!$CY:$CY,"TCMS")</f>
        <v>0</v>
      </c>
      <c r="CH226"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분석_15일'!$F226,'2023년 신조차 고장관리 세부현황'!$BC:$BC,"완료",'2023년 신조차 고장관리 세부현황'!$CY:$CY,"TCMS")</f>
        <v>0</v>
      </c>
      <c r="CI226"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분석_15일'!$F226,'2023년 신조차 고장관리 세부현황'!$BC:$BC,"완료",'2023년 신조차 고장관리 세부현황'!$CY:$CY,"TCMS")</f>
        <v>0</v>
      </c>
      <c r="CJ226"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분석_15일'!$F226,'2023년 신조차 고장관리 세부현황'!$BC:$BC,"완료",'2023년 신조차 고장관리 세부현황'!$CY:$CY,"TCMS")</f>
        <v>0</v>
      </c>
      <c r="CK226"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분석_15일'!$F226,'2023년 신조차 고장관리 세부현황'!$BC:$BC,"완료",'2023년 신조차 고장관리 세부현황'!$CY:$CY,"TCMS")</f>
        <v>0</v>
      </c>
      <c r="CL226"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분석_15일'!$F226,'2023년 신조차 고장관리 세부현황'!$BC:$BC,"완료",'2023년 신조차 고장관리 세부현황'!$CY:$CY,"TCMS")</f>
        <v>0</v>
      </c>
      <c r="CM226"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분석_15일'!$F226,'2023년 신조차 고장관리 세부현황'!$BC:$BC,"완료",'2023년 신조차 고장관리 세부현황'!$CY:$CY,"TCMS")</f>
        <v>0</v>
      </c>
      <c r="CN226"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분석_15일'!$F226,'2023년 신조차 고장관리 세부현황'!$BC:$BC,"완료",'2023년 신조차 고장관리 세부현황'!$CY:$CY,"TCMS")</f>
        <v>0</v>
      </c>
      <c r="CO226"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분석_15일'!$F226,'2023년 신조차 고장관리 세부현황'!$BC:$BC,"완료",'2023년 신조차 고장관리 세부현황'!$CY:$CY,"TCMS")</f>
        <v>0</v>
      </c>
      <c r="CP226"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분석_15일'!$F226,'2023년 신조차 고장관리 세부현황'!$BC:$BC,"완료",'2023년 신조차 고장관리 세부현황'!$CY:$CY,"TCMS")</f>
        <v>0</v>
      </c>
      <c r="CQ226"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분석_15일'!$F226,'2023년 신조차 고장관리 세부현황'!$BC:$BC,"완료",'2023년 신조차 고장관리 세부현황'!$CY:$CY,"TCMS")</f>
        <v>0</v>
      </c>
      <c r="CR226"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분석_15일'!$F226,'2023년 신조차 고장관리 세부현황'!$BC:$BC,"완료",'2023년 신조차 고장관리 세부현황'!$CY:$CY,"TCMS")</f>
        <v>0</v>
      </c>
      <c r="CS226"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분석_15일'!$F226,'2023년 신조차 고장관리 세부현황'!$BC:$BC,"완료",'2023년 신조차 고장관리 세부현황'!$CY:$CY,"TCMS")</f>
        <v>0</v>
      </c>
      <c r="CT226"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분석_15일'!$F226,'2023년 신조차 고장관리 세부현황'!$BC:$BC,"완료",'2023년 신조차 고장관리 세부현황'!$CY:$CY,"TCMS")</f>
        <v>0</v>
      </c>
      <c r="CU226"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분석_15일'!$F226,'2023년 신조차 고장관리 세부현황'!$BC:$BC,"완료",'2023년 신조차 고장관리 세부현황'!$CY:$CY,"TCMS")</f>
        <v>0</v>
      </c>
      <c r="CV226"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분석_15일'!$F226,'2023년 신조차 고장관리 세부현황'!$BC:$BC,"완료",'2023년 신조차 고장관리 세부현황'!$CY:$CY,"TCMS")</f>
        <v>0</v>
      </c>
      <c r="CW226"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분석_15일'!$F226,'2023년 신조차 고장관리 세부현황'!$BC:$BC,"완료",'2023년 신조차 고장관리 세부현황'!$CY:$CY,"TCMS")</f>
        <v>0</v>
      </c>
      <c r="CX226">
        <f>SUM(G226:CW226)</f>
        <v>0</v>
      </c>
    </row>
    <row r="227" spans="6:102" x14ac:dyDescent="0.4">
      <c r="F227" s="200" t="s">
        <v>354</v>
      </c>
    </row>
    <row r="228" spans="6:102" x14ac:dyDescent="0.4">
      <c r="F228" t="s">
        <v>261</v>
      </c>
      <c r="CX228" t="s">
        <v>391</v>
      </c>
    </row>
    <row r="229" spans="6:102" x14ac:dyDescent="0.4">
      <c r="F229" s="85" t="s">
        <v>242</v>
      </c>
      <c r="G229" s="85">
        <v>1</v>
      </c>
      <c r="H229" s="85">
        <v>2</v>
      </c>
      <c r="I229" s="85">
        <v>3</v>
      </c>
      <c r="J229" s="85">
        <v>4</v>
      </c>
      <c r="K229" s="85">
        <v>5</v>
      </c>
      <c r="L229" s="85">
        <v>6</v>
      </c>
      <c r="M229" s="85">
        <v>7</v>
      </c>
      <c r="N229" s="85">
        <v>8</v>
      </c>
      <c r="O229" s="85">
        <v>9</v>
      </c>
      <c r="P229" s="85">
        <v>10</v>
      </c>
      <c r="Q229" s="85">
        <v>11</v>
      </c>
      <c r="R229" s="85">
        <v>12</v>
      </c>
      <c r="S229" s="85">
        <v>13</v>
      </c>
      <c r="T229" s="85">
        <v>14</v>
      </c>
      <c r="U229" s="85">
        <v>15</v>
      </c>
      <c r="V229" s="85">
        <v>16</v>
      </c>
      <c r="W229" s="85">
        <v>17</v>
      </c>
      <c r="X229" s="85">
        <v>18</v>
      </c>
      <c r="Y229" s="85">
        <v>19</v>
      </c>
      <c r="Z229" s="85">
        <v>20</v>
      </c>
      <c r="AA229" s="85">
        <v>21</v>
      </c>
      <c r="AB229" s="85">
        <v>22</v>
      </c>
      <c r="AC229" s="85">
        <v>23</v>
      </c>
      <c r="AD229" s="85">
        <v>24</v>
      </c>
      <c r="AE229" s="85">
        <v>25</v>
      </c>
      <c r="AF229" s="85">
        <v>26</v>
      </c>
      <c r="AG229" s="85">
        <v>27</v>
      </c>
      <c r="AH229" s="85">
        <v>28</v>
      </c>
      <c r="AI229" s="85">
        <v>29</v>
      </c>
      <c r="AJ229" s="85">
        <v>30</v>
      </c>
      <c r="AK229" s="85">
        <v>31</v>
      </c>
      <c r="AL229" s="85">
        <v>32</v>
      </c>
      <c r="AM229" s="85">
        <v>33</v>
      </c>
      <c r="AN229" s="85">
        <v>34</v>
      </c>
      <c r="AO229" s="85">
        <v>35</v>
      </c>
      <c r="AP229" s="85">
        <v>36</v>
      </c>
      <c r="AQ229" s="85">
        <v>37</v>
      </c>
      <c r="AR229" s="85">
        <v>38</v>
      </c>
      <c r="AS229" s="85">
        <v>39</v>
      </c>
      <c r="AT229" s="85">
        <v>40</v>
      </c>
      <c r="AU229" s="85">
        <v>41</v>
      </c>
      <c r="AV229" s="85">
        <v>42</v>
      </c>
      <c r="AW229" s="85">
        <v>43</v>
      </c>
      <c r="AX229" s="85">
        <v>44</v>
      </c>
      <c r="AY229" s="85">
        <v>45</v>
      </c>
      <c r="AZ229" s="85">
        <v>46</v>
      </c>
      <c r="BA229" s="85">
        <v>47</v>
      </c>
      <c r="BB229" s="85">
        <v>48</v>
      </c>
      <c r="BC229" s="85">
        <v>49</v>
      </c>
      <c r="BD229" s="85">
        <v>50</v>
      </c>
      <c r="BE229" s="85">
        <v>51</v>
      </c>
      <c r="BF229" s="85">
        <v>52</v>
      </c>
      <c r="BG229" s="85">
        <v>53</v>
      </c>
      <c r="BH229" s="85">
        <v>54</v>
      </c>
      <c r="BI229" s="85">
        <v>55</v>
      </c>
      <c r="BJ229" s="85">
        <v>56</v>
      </c>
      <c r="BK229" s="85">
        <v>57</v>
      </c>
      <c r="BL229" s="85">
        <v>58</v>
      </c>
      <c r="BM229" s="85">
        <v>59</v>
      </c>
      <c r="BN229" s="85">
        <v>60</v>
      </c>
      <c r="BO229" s="85">
        <v>61</v>
      </c>
      <c r="BP229" s="85">
        <v>62</v>
      </c>
      <c r="BQ229" s="85">
        <v>63</v>
      </c>
      <c r="BR229" s="85">
        <v>64</v>
      </c>
      <c r="BS229" s="85">
        <v>65</v>
      </c>
      <c r="BT229" s="85">
        <v>66</v>
      </c>
      <c r="BU229" s="85">
        <v>67</v>
      </c>
      <c r="BV229" s="85">
        <v>68</v>
      </c>
      <c r="BW229" s="85">
        <v>69</v>
      </c>
      <c r="BX229" s="85">
        <v>70</v>
      </c>
      <c r="BY229" s="85">
        <v>71</v>
      </c>
      <c r="BZ229" s="85">
        <v>72</v>
      </c>
      <c r="CA229" s="85">
        <v>73</v>
      </c>
      <c r="CB229" s="85">
        <v>74</v>
      </c>
      <c r="CC229" s="85">
        <v>75</v>
      </c>
      <c r="CD229" s="85">
        <v>76</v>
      </c>
      <c r="CE229" s="85">
        <v>77</v>
      </c>
      <c r="CF229" s="85">
        <v>78</v>
      </c>
      <c r="CG229" s="85">
        <v>79</v>
      </c>
      <c r="CH229" s="85">
        <v>80</v>
      </c>
      <c r="CI229" s="85">
        <v>81</v>
      </c>
      <c r="CJ229" s="85">
        <v>82</v>
      </c>
      <c r="CK229" s="85">
        <v>83</v>
      </c>
      <c r="CL229" s="85">
        <v>84</v>
      </c>
      <c r="CM229" s="85">
        <v>85</v>
      </c>
      <c r="CN229" s="85">
        <v>86</v>
      </c>
      <c r="CO229" s="85">
        <v>87</v>
      </c>
      <c r="CP229" s="85">
        <v>88</v>
      </c>
      <c r="CQ229" s="85">
        <v>89</v>
      </c>
      <c r="CR229" s="85">
        <v>90</v>
      </c>
      <c r="CS229" s="85">
        <v>91</v>
      </c>
      <c r="CT229" s="85">
        <v>92</v>
      </c>
      <c r="CU229" s="85">
        <v>93</v>
      </c>
      <c r="CV229" s="85">
        <v>94</v>
      </c>
      <c r="CW229" s="85">
        <v>95</v>
      </c>
    </row>
    <row r="230" spans="6:102" x14ac:dyDescent="0.4">
      <c r="F230" s="85" t="s">
        <v>239</v>
      </c>
      <c r="G230" s="139">
        <f>15*G229</f>
        <v>15</v>
      </c>
      <c r="H230" s="139">
        <f t="shared" ref="H230:BS230" si="300">15*H229</f>
        <v>30</v>
      </c>
      <c r="I230" s="139">
        <f t="shared" si="300"/>
        <v>45</v>
      </c>
      <c r="J230" s="139">
        <f t="shared" si="300"/>
        <v>60</v>
      </c>
      <c r="K230" s="139">
        <f t="shared" si="300"/>
        <v>75</v>
      </c>
      <c r="L230" s="139">
        <f t="shared" si="300"/>
        <v>90</v>
      </c>
      <c r="M230" s="139">
        <f t="shared" si="300"/>
        <v>105</v>
      </c>
      <c r="N230" s="139">
        <f t="shared" si="300"/>
        <v>120</v>
      </c>
      <c r="O230" s="139">
        <f t="shared" si="300"/>
        <v>135</v>
      </c>
      <c r="P230" s="139">
        <f t="shared" si="300"/>
        <v>150</v>
      </c>
      <c r="Q230" s="139">
        <f t="shared" si="300"/>
        <v>165</v>
      </c>
      <c r="R230" s="139">
        <f t="shared" si="300"/>
        <v>180</v>
      </c>
      <c r="S230" s="139">
        <f t="shared" si="300"/>
        <v>195</v>
      </c>
      <c r="T230" s="139">
        <f t="shared" si="300"/>
        <v>210</v>
      </c>
      <c r="U230" s="139">
        <f t="shared" si="300"/>
        <v>225</v>
      </c>
      <c r="V230" s="139">
        <f t="shared" si="300"/>
        <v>240</v>
      </c>
      <c r="W230" s="139">
        <f t="shared" si="300"/>
        <v>255</v>
      </c>
      <c r="X230" s="139">
        <f t="shared" si="300"/>
        <v>270</v>
      </c>
      <c r="Y230" s="139">
        <f t="shared" si="300"/>
        <v>285</v>
      </c>
      <c r="Z230" s="139">
        <f t="shared" si="300"/>
        <v>300</v>
      </c>
      <c r="AA230" s="139">
        <f t="shared" si="300"/>
        <v>315</v>
      </c>
      <c r="AB230" s="139">
        <f t="shared" si="300"/>
        <v>330</v>
      </c>
      <c r="AC230" s="139">
        <f t="shared" si="300"/>
        <v>345</v>
      </c>
      <c r="AD230" s="139">
        <f t="shared" si="300"/>
        <v>360</v>
      </c>
      <c r="AE230" s="139">
        <f t="shared" si="300"/>
        <v>375</v>
      </c>
      <c r="AF230" s="139">
        <f t="shared" si="300"/>
        <v>390</v>
      </c>
      <c r="AG230" s="139">
        <f t="shared" si="300"/>
        <v>405</v>
      </c>
      <c r="AH230" s="139">
        <f t="shared" si="300"/>
        <v>420</v>
      </c>
      <c r="AI230" s="139">
        <f t="shared" si="300"/>
        <v>435</v>
      </c>
      <c r="AJ230" s="139">
        <f t="shared" si="300"/>
        <v>450</v>
      </c>
      <c r="AK230" s="139">
        <f t="shared" si="300"/>
        <v>465</v>
      </c>
      <c r="AL230" s="139">
        <f t="shared" si="300"/>
        <v>480</v>
      </c>
      <c r="AM230" s="139">
        <f t="shared" si="300"/>
        <v>495</v>
      </c>
      <c r="AN230" s="139">
        <f t="shared" si="300"/>
        <v>510</v>
      </c>
      <c r="AO230" s="139">
        <f t="shared" si="300"/>
        <v>525</v>
      </c>
      <c r="AP230" s="139">
        <f t="shared" si="300"/>
        <v>540</v>
      </c>
      <c r="AQ230" s="139">
        <f t="shared" si="300"/>
        <v>555</v>
      </c>
      <c r="AR230" s="139">
        <f t="shared" si="300"/>
        <v>570</v>
      </c>
      <c r="AS230" s="139">
        <f t="shared" si="300"/>
        <v>585</v>
      </c>
      <c r="AT230" s="139">
        <f t="shared" si="300"/>
        <v>600</v>
      </c>
      <c r="AU230" s="139">
        <f t="shared" si="300"/>
        <v>615</v>
      </c>
      <c r="AV230" s="139">
        <f t="shared" si="300"/>
        <v>630</v>
      </c>
      <c r="AW230" s="139">
        <f t="shared" si="300"/>
        <v>645</v>
      </c>
      <c r="AX230" s="139">
        <f t="shared" si="300"/>
        <v>660</v>
      </c>
      <c r="AY230" s="139">
        <f t="shared" si="300"/>
        <v>675</v>
      </c>
      <c r="AZ230" s="139">
        <f t="shared" si="300"/>
        <v>690</v>
      </c>
      <c r="BA230" s="139">
        <f t="shared" si="300"/>
        <v>705</v>
      </c>
      <c r="BB230" s="139">
        <f t="shared" si="300"/>
        <v>720</v>
      </c>
      <c r="BC230" s="139">
        <f t="shared" si="300"/>
        <v>735</v>
      </c>
      <c r="BD230" s="139">
        <f t="shared" si="300"/>
        <v>750</v>
      </c>
      <c r="BE230" s="139">
        <f t="shared" si="300"/>
        <v>765</v>
      </c>
      <c r="BF230" s="139">
        <f t="shared" si="300"/>
        <v>780</v>
      </c>
      <c r="BG230" s="139">
        <f t="shared" si="300"/>
        <v>795</v>
      </c>
      <c r="BH230" s="139">
        <f t="shared" si="300"/>
        <v>810</v>
      </c>
      <c r="BI230" s="139">
        <f t="shared" si="300"/>
        <v>825</v>
      </c>
      <c r="BJ230" s="139">
        <f t="shared" si="300"/>
        <v>840</v>
      </c>
      <c r="BK230" s="139">
        <f t="shared" si="300"/>
        <v>855</v>
      </c>
      <c r="BL230" s="139">
        <f t="shared" si="300"/>
        <v>870</v>
      </c>
      <c r="BM230" s="139">
        <f t="shared" si="300"/>
        <v>885</v>
      </c>
      <c r="BN230" s="139">
        <f t="shared" si="300"/>
        <v>900</v>
      </c>
      <c r="BO230" s="139">
        <f t="shared" si="300"/>
        <v>915</v>
      </c>
      <c r="BP230" s="139">
        <f t="shared" si="300"/>
        <v>930</v>
      </c>
      <c r="BQ230" s="139">
        <f t="shared" si="300"/>
        <v>945</v>
      </c>
      <c r="BR230" s="139">
        <f t="shared" si="300"/>
        <v>960</v>
      </c>
      <c r="BS230" s="139">
        <f t="shared" si="300"/>
        <v>975</v>
      </c>
      <c r="BT230" s="139">
        <f t="shared" ref="BT230:CW230" si="301">15*BT229</f>
        <v>990</v>
      </c>
      <c r="BU230" s="139">
        <f t="shared" si="301"/>
        <v>1005</v>
      </c>
      <c r="BV230" s="139">
        <f t="shared" si="301"/>
        <v>1020</v>
      </c>
      <c r="BW230" s="139">
        <f t="shared" si="301"/>
        <v>1035</v>
      </c>
      <c r="BX230" s="139">
        <f t="shared" si="301"/>
        <v>1050</v>
      </c>
      <c r="BY230" s="139">
        <f t="shared" si="301"/>
        <v>1065</v>
      </c>
      <c r="BZ230" s="139">
        <f t="shared" si="301"/>
        <v>1080</v>
      </c>
      <c r="CA230" s="139">
        <f t="shared" si="301"/>
        <v>1095</v>
      </c>
      <c r="CB230" s="139">
        <f t="shared" si="301"/>
        <v>1110</v>
      </c>
      <c r="CC230" s="139">
        <f t="shared" si="301"/>
        <v>1125</v>
      </c>
      <c r="CD230" s="139">
        <f t="shared" si="301"/>
        <v>1140</v>
      </c>
      <c r="CE230" s="139">
        <f t="shared" si="301"/>
        <v>1155</v>
      </c>
      <c r="CF230" s="139">
        <f t="shared" si="301"/>
        <v>1170</v>
      </c>
      <c r="CG230" s="139">
        <f t="shared" si="301"/>
        <v>1185</v>
      </c>
      <c r="CH230" s="139">
        <f t="shared" si="301"/>
        <v>1200</v>
      </c>
      <c r="CI230" s="139">
        <f t="shared" si="301"/>
        <v>1215</v>
      </c>
      <c r="CJ230" s="139">
        <f t="shared" si="301"/>
        <v>1230</v>
      </c>
      <c r="CK230" s="139">
        <f t="shared" si="301"/>
        <v>1245</v>
      </c>
      <c r="CL230" s="139">
        <f t="shared" si="301"/>
        <v>1260</v>
      </c>
      <c r="CM230" s="139">
        <f t="shared" si="301"/>
        <v>1275</v>
      </c>
      <c r="CN230" s="139">
        <f t="shared" si="301"/>
        <v>1290</v>
      </c>
      <c r="CO230" s="139">
        <f t="shared" si="301"/>
        <v>1305</v>
      </c>
      <c r="CP230" s="139">
        <f t="shared" si="301"/>
        <v>1320</v>
      </c>
      <c r="CQ230" s="139">
        <f t="shared" si="301"/>
        <v>1335</v>
      </c>
      <c r="CR230" s="139">
        <f t="shared" si="301"/>
        <v>1350</v>
      </c>
      <c r="CS230" s="139">
        <f t="shared" si="301"/>
        <v>1365</v>
      </c>
      <c r="CT230" s="139">
        <f t="shared" si="301"/>
        <v>1380</v>
      </c>
      <c r="CU230" s="139">
        <f t="shared" si="301"/>
        <v>1395</v>
      </c>
      <c r="CV230" s="139">
        <f t="shared" si="301"/>
        <v>1410</v>
      </c>
      <c r="CW230" s="139">
        <f t="shared" si="301"/>
        <v>1425</v>
      </c>
    </row>
    <row r="231" spans="6:102" x14ac:dyDescent="0.4">
      <c r="F231" s="85" t="s">
        <v>154</v>
      </c>
      <c r="G231" s="85">
        <f>COUNTIFS('2023년 신조차 고장관리 세부현황'!$K:$K,"448R",'2023년 신조차 고장관리 세부현황'!$P:$P,"&gt;="&amp;G229,'2023년 신조차 고장관리 세부현황'!$P:$P,"&lt;"&amp;'트랜드 분석_15일'!G230,'2023년 신조차 고장관리 세부현황'!$BC:$BC,"완료",'2023년 신조차 고장관리 세부현황'!$CY:$CY,"TCMS")</f>
        <v>0</v>
      </c>
      <c r="H231" s="85">
        <f>COUNTIFS('2023년 신조차 고장관리 세부현황'!$K:$K,"448R",'2023년 신조차 고장관리 세부현황'!$P:$P,"&gt;="&amp;'트랜드 분석_15일'!G$27,'2023년 신조차 고장관리 세부현황'!$P:$P,"&lt;"&amp;'트랜드 분석_15일'!H$27,'2023년 신조차 고장관리 세부현황'!$BC:$BC,"완료",'2023년 신조차 고장관리 세부현황'!$CY:$CY,"TCMS")</f>
        <v>0</v>
      </c>
      <c r="I231" s="85">
        <f>COUNTIFS('2023년 신조차 고장관리 세부현황'!$K:$K,"448R",'2023년 신조차 고장관리 세부현황'!$P:$P,"&gt;="&amp;'트랜드 분석_15일'!H$27,'2023년 신조차 고장관리 세부현황'!$P:$P,"&lt;"&amp;'트랜드 분석_15일'!I$27,'2023년 신조차 고장관리 세부현황'!$BC:$BC,"완료",'2023년 신조차 고장관리 세부현황'!$CY:$CY,"TCMS")</f>
        <v>0</v>
      </c>
      <c r="J231" s="85">
        <f>COUNTIFS('2023년 신조차 고장관리 세부현황'!$K:$K,"448R",'2023년 신조차 고장관리 세부현황'!$P:$P,"&gt;="&amp;'트랜드 분석_15일'!I$27,'2023년 신조차 고장관리 세부현황'!$P:$P,"&lt;"&amp;'트랜드 분석_15일'!J$27,'2023년 신조차 고장관리 세부현황'!$BC:$BC,"완료",'2023년 신조차 고장관리 세부현황'!$CY:$CY,"TCMS")</f>
        <v>0</v>
      </c>
      <c r="K231" s="85">
        <f>COUNTIFS('2023년 신조차 고장관리 세부현황'!$K:$K,"448R",'2023년 신조차 고장관리 세부현황'!$P:$P,"&gt;="&amp;'트랜드 분석_15일'!J$27,'2023년 신조차 고장관리 세부현황'!$P:$P,"&lt;"&amp;'트랜드 분석_15일'!K$27,'2023년 신조차 고장관리 세부현황'!$BC:$BC,"완료",'2023년 신조차 고장관리 세부현황'!$CY:$CY,"TCMS")</f>
        <v>0</v>
      </c>
      <c r="L231" s="85">
        <f>COUNTIFS('2023년 신조차 고장관리 세부현황'!$K:$K,"448R",'2023년 신조차 고장관리 세부현황'!$P:$P,"&gt;="&amp;'트랜드 분석_15일'!K$27,'2023년 신조차 고장관리 세부현황'!$P:$P,"&lt;"&amp;'트랜드 분석_15일'!L$27,'2023년 신조차 고장관리 세부현황'!$BC:$BC,"완료",'2023년 신조차 고장관리 세부현황'!$CY:$CY,"TCMS")</f>
        <v>0</v>
      </c>
      <c r="M231" s="85">
        <f>COUNTIFS('2023년 신조차 고장관리 세부현황'!$K:$K,"448R",'2023년 신조차 고장관리 세부현황'!$P:$P,"&gt;="&amp;'트랜드 분석_15일'!L$27,'2023년 신조차 고장관리 세부현황'!$P:$P,"&lt;"&amp;'트랜드 분석_15일'!M$27,'2023년 신조차 고장관리 세부현황'!$BC:$BC,"완료",'2023년 신조차 고장관리 세부현황'!$CY:$CY,"TCMS")</f>
        <v>0</v>
      </c>
      <c r="N231" s="85">
        <f>COUNTIFS('2023년 신조차 고장관리 세부현황'!$K:$K,"448R",'2023년 신조차 고장관리 세부현황'!$P:$P,"&gt;="&amp;'트랜드 분석_15일'!M$27,'2023년 신조차 고장관리 세부현황'!$P:$P,"&lt;"&amp;'트랜드 분석_15일'!N$27,'2023년 신조차 고장관리 세부현황'!$BC:$BC,"완료",'2023년 신조차 고장관리 세부현황'!$CY:$CY,"TCMS")</f>
        <v>0</v>
      </c>
      <c r="O231" s="85">
        <f>COUNTIFS('2023년 신조차 고장관리 세부현황'!$K:$K,"448R",'2023년 신조차 고장관리 세부현황'!$P:$P,"&gt;="&amp;'트랜드 분석_15일'!N$27,'2023년 신조차 고장관리 세부현황'!$P:$P,"&lt;"&amp;'트랜드 분석_15일'!O$27,'2023년 신조차 고장관리 세부현황'!$BC:$BC,"완료",'2023년 신조차 고장관리 세부현황'!$CY:$CY,"TCMS")</f>
        <v>0</v>
      </c>
      <c r="P231" s="85">
        <f ca="1">COUNTIFS('2023년 신조차 고장관리 세부현황'!$K:$K,"448R",'2023년 신조차 고장관리 세부현황'!$P:$P,"&gt;="&amp;'트랜드 분석_15일'!O$27,'2023년 신조차 고장관리 세부현황'!$P:$P,"&lt;"&amp;'트랜드 분석_15일'!P$27,'2023년 신조차 고장관리 세부현황'!$BC:$BC,"완료",'2023년 신조차 고장관리 세부현황'!$CY:$CY,"TCMS")</f>
        <v>0</v>
      </c>
      <c r="Q231" s="85">
        <f ca="1">COUNTIFS('2023년 신조차 고장관리 세부현황'!$K:$K,"448R",'2023년 신조차 고장관리 세부현황'!$P:$P,"&gt;="&amp;'트랜드 분석_15일'!P$27,'2023년 신조차 고장관리 세부현황'!$P:$P,"&lt;"&amp;'트랜드 분석_15일'!Q$27,'2023년 신조차 고장관리 세부현황'!$BC:$BC,"완료",'2023년 신조차 고장관리 세부현황'!$CY:$CY,"TCMS")</f>
        <v>0</v>
      </c>
      <c r="R231" s="85">
        <f ca="1">COUNTIFS('2023년 신조차 고장관리 세부현황'!$K:$K,"448R",'2023년 신조차 고장관리 세부현황'!$P:$P,"&gt;="&amp;'트랜드 분석_15일'!Q$27,'2023년 신조차 고장관리 세부현황'!$P:$P,"&lt;"&amp;'트랜드 분석_15일'!R$27,'2023년 신조차 고장관리 세부현황'!$BC:$BC,"완료",'2023년 신조차 고장관리 세부현황'!$CY:$CY,"TCMS")</f>
        <v>0</v>
      </c>
      <c r="S231" s="85">
        <f ca="1">COUNTIFS('2023년 신조차 고장관리 세부현황'!$K:$K,"448R",'2023년 신조차 고장관리 세부현황'!$P:$P,"&gt;="&amp;'트랜드 분석_15일'!R$27,'2023년 신조차 고장관리 세부현황'!$P:$P,"&lt;"&amp;'트랜드 분석_15일'!S$27,'2023년 신조차 고장관리 세부현황'!$BC:$BC,"완료",'2023년 신조차 고장관리 세부현황'!$CY:$CY,"TCMS")</f>
        <v>0</v>
      </c>
      <c r="T231" s="85">
        <f ca="1">COUNTIFS('2023년 신조차 고장관리 세부현황'!$K:$K,"448R",'2023년 신조차 고장관리 세부현황'!$P:$P,"&gt;="&amp;'트랜드 분석_15일'!S$27,'2023년 신조차 고장관리 세부현황'!$P:$P,"&lt;"&amp;'트랜드 분석_15일'!T$27,'2023년 신조차 고장관리 세부현황'!$BC:$BC,"완료",'2023년 신조차 고장관리 세부현황'!$CY:$CY,"TCMS")</f>
        <v>0</v>
      </c>
      <c r="U231" s="85">
        <f>COUNTIFS('2023년 신조차 고장관리 세부현황'!$K:$K,"448R",'2023년 신조차 고장관리 세부현황'!$P:$P,"&gt;="&amp;'트랜드 분석_15일'!T$27,'2023년 신조차 고장관리 세부현황'!$P:$P,"&lt;"&amp;'트랜드 분석_15일'!U$27,'2023년 신조차 고장관리 세부현황'!$BC:$BC,"완료",'2023년 신조차 고장관리 세부현황'!$CY:$CY,"TCMS")</f>
        <v>0</v>
      </c>
      <c r="V231" s="85">
        <f>COUNTIFS('2023년 신조차 고장관리 세부현황'!$K:$K,"448R",'2023년 신조차 고장관리 세부현황'!$P:$P,"&gt;="&amp;'트랜드 분석_15일'!U$27,'2023년 신조차 고장관리 세부현황'!$P:$P,"&lt;"&amp;'트랜드 분석_15일'!V$27,'2023년 신조차 고장관리 세부현황'!$BC:$BC,"완료",'2023년 신조차 고장관리 세부현황'!$CY:$CY,"TCMS")</f>
        <v>0</v>
      </c>
      <c r="W231" s="85">
        <f ca="1">COUNTIFS('2023년 신조차 고장관리 세부현황'!$K:$K,"448R",'2023년 신조차 고장관리 세부현황'!$P:$P,"&gt;="&amp;'트랜드 분석_15일'!V$27,'2023년 신조차 고장관리 세부현황'!$P:$P,"&lt;"&amp;'트랜드 분석_15일'!W$27,'2023년 신조차 고장관리 세부현황'!$BC:$BC,"완료",'2023년 신조차 고장관리 세부현황'!$CY:$CY,"TCMS")</f>
        <v>0</v>
      </c>
      <c r="X231" s="85">
        <f ca="1">COUNTIFS('2023년 신조차 고장관리 세부현황'!$K:$K,"448R",'2023년 신조차 고장관리 세부현황'!$P:$P,"&gt;="&amp;'트랜드 분석_15일'!W$27,'2023년 신조차 고장관리 세부현황'!$P:$P,"&lt;"&amp;'트랜드 분석_15일'!X$27,'2023년 신조차 고장관리 세부현황'!$BC:$BC,"완료",'2023년 신조차 고장관리 세부현황'!$CY:$CY,"TCMS")</f>
        <v>0</v>
      </c>
      <c r="Y231" s="85">
        <f ca="1">COUNTIFS('2023년 신조차 고장관리 세부현황'!$K:$K,"448R",'2023년 신조차 고장관리 세부현황'!$P:$P,"&gt;="&amp;'트랜드 분석_15일'!X$27,'2023년 신조차 고장관리 세부현황'!$P:$P,"&lt;"&amp;'트랜드 분석_15일'!Y$27,'2023년 신조차 고장관리 세부현황'!$BC:$BC,"완료",'2023년 신조차 고장관리 세부현황'!$CY:$CY,"TCMS")</f>
        <v>0</v>
      </c>
      <c r="Z231" s="85">
        <f ca="1">COUNTIFS('2023년 신조차 고장관리 세부현황'!$K:$K,"448R",'2023년 신조차 고장관리 세부현황'!$P:$P,"&gt;="&amp;'트랜드 분석_15일'!Y$27,'2023년 신조차 고장관리 세부현황'!$P:$P,"&lt;"&amp;'트랜드 분석_15일'!Z$27,'2023년 신조차 고장관리 세부현황'!$BC:$BC,"완료",'2023년 신조차 고장관리 세부현황'!$CY:$CY,"TCMS")</f>
        <v>0</v>
      </c>
      <c r="AA231" s="85">
        <f ca="1">COUNTIFS('2023년 신조차 고장관리 세부현황'!$K:$K,"448R",'2023년 신조차 고장관리 세부현황'!$P:$P,"&gt;="&amp;'트랜드 분석_15일'!Z$27,'2023년 신조차 고장관리 세부현황'!$P:$P,"&lt;"&amp;'트랜드 분석_15일'!AA$27,'2023년 신조차 고장관리 세부현황'!$BC:$BC,"완료",'2023년 신조차 고장관리 세부현황'!$CY:$CY,"TCMS")</f>
        <v>0</v>
      </c>
      <c r="AB231" s="85">
        <f ca="1">COUNTIFS('2023년 신조차 고장관리 세부현황'!$K:$K,"448R",'2023년 신조차 고장관리 세부현황'!$P:$P,"&gt;="&amp;'트랜드 분석_15일'!AA$27,'2023년 신조차 고장관리 세부현황'!$P:$P,"&lt;"&amp;'트랜드 분석_15일'!AB$27,'2023년 신조차 고장관리 세부현황'!$BC:$BC,"완료",'2023년 신조차 고장관리 세부현황'!$CY:$CY,"TCMS")</f>
        <v>0</v>
      </c>
      <c r="AC231" s="85">
        <f ca="1">COUNTIFS('2023년 신조차 고장관리 세부현황'!$K:$K,"448R",'2023년 신조차 고장관리 세부현황'!$P:$P,"&gt;="&amp;'트랜드 분석_15일'!AB$27,'2023년 신조차 고장관리 세부현황'!$P:$P,"&lt;"&amp;'트랜드 분석_15일'!AC$27,'2023년 신조차 고장관리 세부현황'!$BC:$BC,"완료",'2023년 신조차 고장관리 세부현황'!$CY:$CY,"TCMS")</f>
        <v>0</v>
      </c>
      <c r="AD231" s="85">
        <f ca="1">COUNTIFS('2023년 신조차 고장관리 세부현황'!$K:$K,"448R",'2023년 신조차 고장관리 세부현황'!$P:$P,"&gt;="&amp;'트랜드 분석_15일'!AC$27,'2023년 신조차 고장관리 세부현황'!$P:$P,"&lt;"&amp;'트랜드 분석_15일'!AD$27,'2023년 신조차 고장관리 세부현황'!$BC:$BC,"완료",'2023년 신조차 고장관리 세부현황'!$CY:$CY,"TCMS")</f>
        <v>0</v>
      </c>
      <c r="AE231" s="85">
        <f ca="1">COUNTIFS('2023년 신조차 고장관리 세부현황'!$K:$K,"448R",'2023년 신조차 고장관리 세부현황'!$P:$P,"&gt;="&amp;'트랜드 분석_15일'!AD$27,'2023년 신조차 고장관리 세부현황'!$P:$P,"&lt;"&amp;'트랜드 분석_15일'!AE$27,'2023년 신조차 고장관리 세부현황'!$BC:$BC,"완료",'2023년 신조차 고장관리 세부현황'!$CY:$CY,"TCMS")</f>
        <v>0</v>
      </c>
      <c r="AF231" s="85">
        <f ca="1">COUNTIFS('2023년 신조차 고장관리 세부현황'!$K:$K,"448R",'2023년 신조차 고장관리 세부현황'!$P:$P,"&gt;="&amp;'트랜드 분석_15일'!AE$27,'2023년 신조차 고장관리 세부현황'!$P:$P,"&lt;"&amp;'트랜드 분석_15일'!AF$27,'2023년 신조차 고장관리 세부현황'!$BC:$BC,"완료",'2023년 신조차 고장관리 세부현황'!$CY:$CY,"TCMS")</f>
        <v>0</v>
      </c>
      <c r="AG231" s="85">
        <f ca="1">COUNTIFS('2023년 신조차 고장관리 세부현황'!$K:$K,"448R",'2023년 신조차 고장관리 세부현황'!$P:$P,"&gt;="&amp;'트랜드 분석_15일'!AF$27,'2023년 신조차 고장관리 세부현황'!$P:$P,"&lt;"&amp;'트랜드 분석_15일'!AG$27,'2023년 신조차 고장관리 세부현황'!$BC:$BC,"완료",'2023년 신조차 고장관리 세부현황'!$CY:$CY,"TCMS")</f>
        <v>0</v>
      </c>
      <c r="AH231" s="85">
        <f>COUNTIFS('2023년 신조차 고장관리 세부현황'!$K:$K,"448R",'2023년 신조차 고장관리 세부현황'!$P:$P,"&gt;="&amp;'트랜드 분석_15일'!AG$27,'2023년 신조차 고장관리 세부현황'!$P:$P,"&lt;"&amp;'트랜드 분석_15일'!AH$27,'2023년 신조차 고장관리 세부현황'!$BC:$BC,"완료",'2023년 신조차 고장관리 세부현황'!$CY:$CY,"TCMS")</f>
        <v>0</v>
      </c>
      <c r="AI231" s="85">
        <f>COUNTIFS('2023년 신조차 고장관리 세부현황'!$K:$K,"448R",'2023년 신조차 고장관리 세부현황'!$P:$P,"&gt;="&amp;'트랜드 분석_15일'!AH$27,'2023년 신조차 고장관리 세부현황'!$P:$P,"&lt;"&amp;'트랜드 분석_15일'!AI$27,'2023년 신조차 고장관리 세부현황'!$BC:$BC,"완료",'2023년 신조차 고장관리 세부현황'!$CY:$CY,"TCMS")</f>
        <v>0</v>
      </c>
      <c r="AJ231" s="85">
        <f>COUNTIFS('2023년 신조차 고장관리 세부현황'!$K:$K,"448R",'2023년 신조차 고장관리 세부현황'!$P:$P,"&gt;="&amp;'트랜드 분석_15일'!AI$27,'2023년 신조차 고장관리 세부현황'!$P:$P,"&lt;"&amp;'트랜드 분석_15일'!AJ$27,'2023년 신조차 고장관리 세부현황'!$BC:$BC,"완료",'2023년 신조차 고장관리 세부현황'!$CY:$CY,"TCMS")</f>
        <v>0</v>
      </c>
      <c r="AK231" s="85">
        <f ca="1">COUNTIFS('2023년 신조차 고장관리 세부현황'!$K:$K,"448R",'2023년 신조차 고장관리 세부현황'!$P:$P,"&gt;="&amp;'트랜드 분석_15일'!AJ$27,'2023년 신조차 고장관리 세부현황'!$P:$P,"&lt;"&amp;'트랜드 분석_15일'!AK$27,'2023년 신조차 고장관리 세부현황'!$BC:$BC,"완료",'2023년 신조차 고장관리 세부현황'!$CY:$CY,"TCMS")</f>
        <v>0</v>
      </c>
      <c r="AL231" s="85">
        <f ca="1">COUNTIFS('2023년 신조차 고장관리 세부현황'!$K:$K,"448R",'2023년 신조차 고장관리 세부현황'!$P:$P,"&gt;="&amp;'트랜드 분석_15일'!AK$27,'2023년 신조차 고장관리 세부현황'!$P:$P,"&lt;"&amp;'트랜드 분석_15일'!AL$27,'2023년 신조차 고장관리 세부현황'!$BC:$BC,"완료",'2023년 신조차 고장관리 세부현황'!$CY:$CY,"TCMS")</f>
        <v>0</v>
      </c>
      <c r="AM231" s="85">
        <f>COUNTIFS('2023년 신조차 고장관리 세부현황'!$K:$K,"448R",'2023년 신조차 고장관리 세부현황'!$P:$P,"&gt;="&amp;'트랜드 분석_15일'!AL$27,'2023년 신조차 고장관리 세부현황'!$P:$P,"&lt;"&amp;'트랜드 분석_15일'!AM$27,'2023년 신조차 고장관리 세부현황'!$BC:$BC,"완료",'2023년 신조차 고장관리 세부현황'!$CY:$CY,"TCMS")</f>
        <v>0</v>
      </c>
      <c r="AN231" s="85">
        <f>COUNTIFS('2023년 신조차 고장관리 세부현황'!$K:$K,"448R",'2023년 신조차 고장관리 세부현황'!$P:$P,"&gt;="&amp;'트랜드 분석_15일'!AM$27,'2023년 신조차 고장관리 세부현황'!$P:$P,"&lt;"&amp;'트랜드 분석_15일'!AN$27,'2023년 신조차 고장관리 세부현황'!$BC:$BC,"완료",'2023년 신조차 고장관리 세부현황'!$CY:$CY,"TCMS")</f>
        <v>0</v>
      </c>
      <c r="AO231" s="85">
        <f ca="1">COUNTIFS('2023년 신조차 고장관리 세부현황'!$K:$K,"448R",'2023년 신조차 고장관리 세부현황'!$P:$P,"&gt;="&amp;'트랜드 분석_15일'!AN$27,'2023년 신조차 고장관리 세부현황'!$P:$P,"&lt;"&amp;'트랜드 분석_15일'!AO$27,'2023년 신조차 고장관리 세부현황'!$BC:$BC,"완료",'2023년 신조차 고장관리 세부현황'!$CY:$CY,"TCMS")</f>
        <v>0</v>
      </c>
      <c r="AP231" s="85">
        <f>COUNTIFS('2023년 신조차 고장관리 세부현황'!$K:$K,"448R",'2023년 신조차 고장관리 세부현황'!$P:$P,"&gt;="&amp;'트랜드 분석_15일'!AO$27,'2023년 신조차 고장관리 세부현황'!$P:$P,"&lt;"&amp;'트랜드 분석_15일'!AP$27,'2023년 신조차 고장관리 세부현황'!$BC:$BC,"완료",'2023년 신조차 고장관리 세부현황'!$CY:$CY,"TCMS")</f>
        <v>0</v>
      </c>
      <c r="AQ231" s="85">
        <f ca="1">COUNTIFS('2023년 신조차 고장관리 세부현황'!$K:$K,"448R",'2023년 신조차 고장관리 세부현황'!$P:$P,"&gt;="&amp;'트랜드 분석_15일'!AP$27,'2023년 신조차 고장관리 세부현황'!$P:$P,"&lt;"&amp;'트랜드 분석_15일'!AQ$27,'2023년 신조차 고장관리 세부현황'!$BC:$BC,"완료",'2023년 신조차 고장관리 세부현황'!$CY:$CY,"TCMS")</f>
        <v>0</v>
      </c>
      <c r="AR231" s="85">
        <f>COUNTIFS('2023년 신조차 고장관리 세부현황'!$K:$K,"448R",'2023년 신조차 고장관리 세부현황'!$P:$P,"&gt;="&amp;'트랜드 분석_15일'!AQ$27,'2023년 신조차 고장관리 세부현황'!$P:$P,"&lt;"&amp;'트랜드 분석_15일'!AR$27,'2023년 신조차 고장관리 세부현황'!$BC:$BC,"완료",'2023년 신조차 고장관리 세부현황'!$CY:$CY,"TCMS")</f>
        <v>0</v>
      </c>
      <c r="AS231" s="85">
        <f>COUNTIFS('2023년 신조차 고장관리 세부현황'!$K:$K,"448R",'2023년 신조차 고장관리 세부현황'!$P:$P,"&gt;="&amp;'트랜드 분석_15일'!AR$27,'2023년 신조차 고장관리 세부현황'!$P:$P,"&lt;"&amp;'트랜드 분석_15일'!AS$27,'2023년 신조차 고장관리 세부현황'!$BC:$BC,"완료",'2023년 신조차 고장관리 세부현황'!$CY:$CY,"TCMS")</f>
        <v>0</v>
      </c>
      <c r="AT231" s="85">
        <f>COUNTIFS('2023년 신조차 고장관리 세부현황'!$K:$K,"448R",'2023년 신조차 고장관리 세부현황'!$P:$P,"&gt;="&amp;'트랜드 분석_15일'!AS$27,'2023년 신조차 고장관리 세부현황'!$P:$P,"&lt;"&amp;'트랜드 분석_15일'!AT$27,'2023년 신조차 고장관리 세부현황'!$BC:$BC,"완료",'2023년 신조차 고장관리 세부현황'!$CY:$CY,"TCMS")</f>
        <v>0</v>
      </c>
      <c r="AU231" s="85">
        <f>COUNTIFS('2023년 신조차 고장관리 세부현황'!$K:$K,"448R",'2023년 신조차 고장관리 세부현황'!$P:$P,"&gt;="&amp;'트랜드 분석_15일'!AT$27,'2023년 신조차 고장관리 세부현황'!$P:$P,"&lt;"&amp;'트랜드 분석_15일'!AU$27,'2023년 신조차 고장관리 세부현황'!$BC:$BC,"완료",'2023년 신조차 고장관리 세부현황'!$CY:$CY,"TCMS")</f>
        <v>0</v>
      </c>
      <c r="AV231" s="85">
        <f>COUNTIFS('2023년 신조차 고장관리 세부현황'!$K:$K,"448R",'2023년 신조차 고장관리 세부현황'!$P:$P,"&gt;="&amp;'트랜드 분석_15일'!AU$27,'2023년 신조차 고장관리 세부현황'!$P:$P,"&lt;"&amp;'트랜드 분석_15일'!AV$27,'2023년 신조차 고장관리 세부현황'!$BC:$BC,"완료",'2023년 신조차 고장관리 세부현황'!$CY:$CY,"TCMS")</f>
        <v>0</v>
      </c>
      <c r="AW231" s="85">
        <f>COUNTIFS('2023년 신조차 고장관리 세부현황'!$K:$K,"448R",'2023년 신조차 고장관리 세부현황'!$P:$P,"&gt;="&amp;'트랜드 분석_15일'!AV$27,'2023년 신조차 고장관리 세부현황'!$P:$P,"&lt;"&amp;'트랜드 분석_15일'!AW$27,'2023년 신조차 고장관리 세부현황'!$BC:$BC,"완료",'2023년 신조차 고장관리 세부현황'!$CY:$CY,"TCMS")</f>
        <v>0</v>
      </c>
      <c r="AX231" s="85">
        <f>COUNTIFS('2023년 신조차 고장관리 세부현황'!$K:$K,"448R",'2023년 신조차 고장관리 세부현황'!$P:$P,"&gt;="&amp;'트랜드 분석_15일'!AW$27,'2023년 신조차 고장관리 세부현황'!$P:$P,"&lt;"&amp;'트랜드 분석_15일'!AX$27,'2023년 신조차 고장관리 세부현황'!$BC:$BC,"완료",'2023년 신조차 고장관리 세부현황'!$CY:$CY,"TCMS")</f>
        <v>0</v>
      </c>
      <c r="AY231" s="85">
        <f>COUNTIFS('2023년 신조차 고장관리 세부현황'!$K:$K,"448R",'2023년 신조차 고장관리 세부현황'!$P:$P,"&gt;="&amp;'트랜드 분석_15일'!AX$27,'2023년 신조차 고장관리 세부현황'!$P:$P,"&lt;"&amp;'트랜드 분석_15일'!AY$27,'2023년 신조차 고장관리 세부현황'!$BC:$BC,"완료",'2023년 신조차 고장관리 세부현황'!$CY:$CY,"TCMS")</f>
        <v>0</v>
      </c>
      <c r="AZ231" s="85">
        <f>COUNTIFS('2023년 신조차 고장관리 세부현황'!$K:$K,"448R",'2023년 신조차 고장관리 세부현황'!$P:$P,"&gt;="&amp;'트랜드 분석_15일'!AY$27,'2023년 신조차 고장관리 세부현황'!$P:$P,"&lt;"&amp;'트랜드 분석_15일'!AZ$27,'2023년 신조차 고장관리 세부현황'!$BC:$BC,"완료",'2023년 신조차 고장관리 세부현황'!$CY:$CY,"TCMS")</f>
        <v>0</v>
      </c>
      <c r="BA231" s="85">
        <f>COUNTIFS('2023년 신조차 고장관리 세부현황'!$K:$K,"448R",'2023년 신조차 고장관리 세부현황'!$P:$P,"&gt;="&amp;'트랜드 분석_15일'!AZ$27,'2023년 신조차 고장관리 세부현황'!$P:$P,"&lt;"&amp;'트랜드 분석_15일'!BA$27,'2023년 신조차 고장관리 세부현황'!$BC:$BC,"완료",'2023년 신조차 고장관리 세부현황'!$CY:$CY,"TCMS")</f>
        <v>0</v>
      </c>
      <c r="BB231" s="85">
        <f>COUNTIFS('2023년 신조차 고장관리 세부현황'!$K:$K,"448R",'2023년 신조차 고장관리 세부현황'!$P:$P,"&gt;="&amp;'트랜드 분석_15일'!BA$27,'2023년 신조차 고장관리 세부현황'!$P:$P,"&lt;"&amp;'트랜드 분석_15일'!BB$27,'2023년 신조차 고장관리 세부현황'!$BC:$BC,"완료",'2023년 신조차 고장관리 세부현황'!$CY:$CY,"TCMS")</f>
        <v>0</v>
      </c>
      <c r="BC231" s="85">
        <f>COUNTIFS('2023년 신조차 고장관리 세부현황'!$K:$K,"448R",'2023년 신조차 고장관리 세부현황'!$P:$P,"&gt;="&amp;'트랜드 분석_15일'!BB$27,'2023년 신조차 고장관리 세부현황'!$P:$P,"&lt;"&amp;'트랜드 분석_15일'!BC$27,'2023년 신조차 고장관리 세부현황'!$BC:$BC,"완료",'2023년 신조차 고장관리 세부현황'!$CY:$CY,"TCMS")</f>
        <v>0</v>
      </c>
      <c r="BD231" s="85">
        <f>COUNTIFS('2023년 신조차 고장관리 세부현황'!$K:$K,"448R",'2023년 신조차 고장관리 세부현황'!$P:$P,"&gt;="&amp;'트랜드 분석_15일'!BC$27,'2023년 신조차 고장관리 세부현황'!$P:$P,"&lt;"&amp;'트랜드 분석_15일'!BD$27,'2023년 신조차 고장관리 세부현황'!$BC:$BC,"완료",'2023년 신조차 고장관리 세부현황'!$CY:$CY,"TCMS")</f>
        <v>0</v>
      </c>
      <c r="BE231" s="85">
        <f>COUNTIFS('2023년 신조차 고장관리 세부현황'!$K:$K,"448R",'2023년 신조차 고장관리 세부현황'!$P:$P,"&gt;="&amp;'트랜드 분석_15일'!BD$27,'2023년 신조차 고장관리 세부현황'!$P:$P,"&lt;"&amp;'트랜드 분석_15일'!BE$27,'2023년 신조차 고장관리 세부현황'!$BC:$BC,"완료",'2023년 신조차 고장관리 세부현황'!$CY:$CY,"TCMS")</f>
        <v>0</v>
      </c>
      <c r="BF231" s="85">
        <f>COUNTIFS('2023년 신조차 고장관리 세부현황'!$K:$K,"448R",'2023년 신조차 고장관리 세부현황'!$P:$P,"&gt;="&amp;'트랜드 분석_15일'!BE$27,'2023년 신조차 고장관리 세부현황'!$P:$P,"&lt;"&amp;'트랜드 분석_15일'!BF$27,'2023년 신조차 고장관리 세부현황'!$BC:$BC,"완료",'2023년 신조차 고장관리 세부현황'!$CY:$CY,"TCMS")</f>
        <v>0</v>
      </c>
      <c r="BG231" s="85">
        <f>COUNTIFS('2023년 신조차 고장관리 세부현황'!$K:$K,"448R",'2023년 신조차 고장관리 세부현황'!$P:$P,"&gt;="&amp;'트랜드 분석_15일'!BF$27,'2023년 신조차 고장관리 세부현황'!$P:$P,"&lt;"&amp;'트랜드 분석_15일'!BG$27,'2023년 신조차 고장관리 세부현황'!$BC:$BC,"완료",'2023년 신조차 고장관리 세부현황'!$CY:$CY,"TCMS")</f>
        <v>0</v>
      </c>
      <c r="BH231" s="85">
        <f>COUNTIFS('2023년 신조차 고장관리 세부현황'!$K:$K,"448R",'2023년 신조차 고장관리 세부현황'!$P:$P,"&gt;="&amp;'트랜드 분석_15일'!BG$27,'2023년 신조차 고장관리 세부현황'!$P:$P,"&lt;"&amp;'트랜드 분석_15일'!BH$27,'2023년 신조차 고장관리 세부현황'!$BC:$BC,"완료",'2023년 신조차 고장관리 세부현황'!$CY:$CY,"TCMS")</f>
        <v>0</v>
      </c>
      <c r="BI231" s="85">
        <f>COUNTIFS('2023년 신조차 고장관리 세부현황'!$K:$K,"448R",'2023년 신조차 고장관리 세부현황'!$P:$P,"&gt;="&amp;'트랜드 분석_15일'!BH$27,'2023년 신조차 고장관리 세부현황'!$P:$P,"&lt;"&amp;'트랜드 분석_15일'!BI$27,'2023년 신조차 고장관리 세부현황'!$BC:$BC,"완료",'2023년 신조차 고장관리 세부현황'!$CY:$CY,"TCMS")</f>
        <v>0</v>
      </c>
      <c r="BJ231" s="85">
        <f>COUNTIFS('2023년 신조차 고장관리 세부현황'!$K:$K,"448R",'2023년 신조차 고장관리 세부현황'!$P:$P,"&gt;="&amp;'트랜드 분석_15일'!BI$27,'2023년 신조차 고장관리 세부현황'!$P:$P,"&lt;"&amp;'트랜드 분석_15일'!BJ$27,'2023년 신조차 고장관리 세부현황'!$BC:$BC,"완료",'2023년 신조차 고장관리 세부현황'!$CY:$CY,"TCMS")</f>
        <v>0</v>
      </c>
      <c r="BK231" s="85">
        <f>COUNTIFS('2023년 신조차 고장관리 세부현황'!$K:$K,"448R",'2023년 신조차 고장관리 세부현황'!$P:$P,"&gt;="&amp;'트랜드 분석_15일'!BJ$27,'2023년 신조차 고장관리 세부현황'!$P:$P,"&lt;"&amp;'트랜드 분석_15일'!BK$27,'2023년 신조차 고장관리 세부현황'!$BC:$BC,"완료",'2023년 신조차 고장관리 세부현황'!$CY:$CY,"TCMS")</f>
        <v>0</v>
      </c>
      <c r="BL231" s="85">
        <f>COUNTIFS('2023년 신조차 고장관리 세부현황'!$K:$K,"448R",'2023년 신조차 고장관리 세부현황'!$P:$P,"&gt;="&amp;'트랜드 분석_15일'!BK$27,'2023년 신조차 고장관리 세부현황'!$P:$P,"&lt;"&amp;'트랜드 분석_15일'!BL$27,'2023년 신조차 고장관리 세부현황'!$BC:$BC,"완료",'2023년 신조차 고장관리 세부현황'!$CY:$CY,"TCMS")</f>
        <v>0</v>
      </c>
      <c r="BM231" s="85">
        <f>COUNTIFS('2023년 신조차 고장관리 세부현황'!$K:$K,"448R",'2023년 신조차 고장관리 세부현황'!$P:$P,"&gt;="&amp;'트랜드 분석_15일'!BL$27,'2023년 신조차 고장관리 세부현황'!$P:$P,"&lt;"&amp;'트랜드 분석_15일'!BM$27,'2023년 신조차 고장관리 세부현황'!$BC:$BC,"완료",'2023년 신조차 고장관리 세부현황'!$CY:$CY,"TCMS")</f>
        <v>0</v>
      </c>
      <c r="BN231" s="85">
        <f>COUNTIFS('2023년 신조차 고장관리 세부현황'!$K:$K,"448R",'2023년 신조차 고장관리 세부현황'!$P:$P,"&gt;="&amp;'트랜드 분석_15일'!BM$27,'2023년 신조차 고장관리 세부현황'!$P:$P,"&lt;"&amp;'트랜드 분석_15일'!BN$27,'2023년 신조차 고장관리 세부현황'!$BC:$BC,"완료",'2023년 신조차 고장관리 세부현황'!$CY:$CY,"TCMS")</f>
        <v>0</v>
      </c>
      <c r="BO231" s="85">
        <f>COUNTIFS('2023년 신조차 고장관리 세부현황'!$K:$K,"448R",'2023년 신조차 고장관리 세부현황'!$P:$P,"&gt;="&amp;'트랜드 분석_15일'!BN$27,'2023년 신조차 고장관리 세부현황'!$P:$P,"&lt;"&amp;'트랜드 분석_15일'!BO$27,'2023년 신조차 고장관리 세부현황'!$BC:$BC,"완료",'2023년 신조차 고장관리 세부현황'!$CY:$CY,"TCMS")</f>
        <v>0</v>
      </c>
      <c r="BP231" s="85">
        <f>COUNTIFS('2023년 신조차 고장관리 세부현황'!$K:$K,"448R",'2023년 신조차 고장관리 세부현황'!$P:$P,"&gt;="&amp;'트랜드 분석_15일'!BO$27,'2023년 신조차 고장관리 세부현황'!$P:$P,"&lt;"&amp;'트랜드 분석_15일'!BP$27,'2023년 신조차 고장관리 세부현황'!$BC:$BC,"완료",'2023년 신조차 고장관리 세부현황'!$CY:$CY,"TCMS")</f>
        <v>0</v>
      </c>
      <c r="BQ231" s="85">
        <f>COUNTIFS('2023년 신조차 고장관리 세부현황'!$K:$K,"448R",'2023년 신조차 고장관리 세부현황'!$P:$P,"&gt;="&amp;'트랜드 분석_15일'!BP$27,'2023년 신조차 고장관리 세부현황'!$P:$P,"&lt;"&amp;'트랜드 분석_15일'!BQ$27,'2023년 신조차 고장관리 세부현황'!$BC:$BC,"완료",'2023년 신조차 고장관리 세부현황'!$CY:$CY,"TCMS")</f>
        <v>0</v>
      </c>
      <c r="BR231" s="85">
        <f>COUNTIFS('2023년 신조차 고장관리 세부현황'!$K:$K,"448R",'2023년 신조차 고장관리 세부현황'!$P:$P,"&gt;="&amp;'트랜드 분석_15일'!BQ$27,'2023년 신조차 고장관리 세부현황'!$P:$P,"&lt;"&amp;'트랜드 분석_15일'!BR$27,'2023년 신조차 고장관리 세부현황'!$BC:$BC,"완료",'2023년 신조차 고장관리 세부현황'!$CY:$CY,"TCMS")</f>
        <v>0</v>
      </c>
      <c r="BS231" s="85">
        <f>COUNTIFS('2023년 신조차 고장관리 세부현황'!$K:$K,"448R",'2023년 신조차 고장관리 세부현황'!$P:$P,"&gt;="&amp;'트랜드 분석_15일'!BR$27,'2023년 신조차 고장관리 세부현황'!$P:$P,"&lt;"&amp;'트랜드 분석_15일'!BS$27,'2023년 신조차 고장관리 세부현황'!$BC:$BC,"완료",'2023년 신조차 고장관리 세부현황'!$CY:$CY,"TCMS")</f>
        <v>0</v>
      </c>
      <c r="BT231" s="85">
        <f>COUNTIFS('2023년 신조차 고장관리 세부현황'!$K:$K,"448R",'2023년 신조차 고장관리 세부현황'!$P:$P,"&gt;="&amp;'트랜드 분석_15일'!BS$27,'2023년 신조차 고장관리 세부현황'!$P:$P,"&lt;"&amp;'트랜드 분석_15일'!BT$27,'2023년 신조차 고장관리 세부현황'!$BC:$BC,"완료",'2023년 신조차 고장관리 세부현황'!$CY:$CY,"TCMS")</f>
        <v>0</v>
      </c>
      <c r="BU231" s="85">
        <f>COUNTIFS('2023년 신조차 고장관리 세부현황'!$K:$K,"448R",'2023년 신조차 고장관리 세부현황'!$P:$P,"&gt;="&amp;'트랜드 분석_15일'!BT$27,'2023년 신조차 고장관리 세부현황'!$P:$P,"&lt;"&amp;'트랜드 분석_15일'!BU$27,'2023년 신조차 고장관리 세부현황'!$BC:$BC,"완료",'2023년 신조차 고장관리 세부현황'!$CY:$CY,"TCMS")</f>
        <v>0</v>
      </c>
      <c r="BV231" s="85">
        <f>COUNTIFS('2023년 신조차 고장관리 세부현황'!$K:$K,"448R",'2023년 신조차 고장관리 세부현황'!$P:$P,"&gt;="&amp;'트랜드 분석_15일'!BU$27,'2023년 신조차 고장관리 세부현황'!$P:$P,"&lt;"&amp;'트랜드 분석_15일'!BV$27,'2023년 신조차 고장관리 세부현황'!$BC:$BC,"완료",'2023년 신조차 고장관리 세부현황'!$CY:$CY,"TCMS")</f>
        <v>0</v>
      </c>
      <c r="BW231" s="85">
        <f>COUNTIFS('2023년 신조차 고장관리 세부현황'!$K:$K,"448R",'2023년 신조차 고장관리 세부현황'!$P:$P,"&gt;="&amp;'트랜드 분석_15일'!BV$27,'2023년 신조차 고장관리 세부현황'!$P:$P,"&lt;"&amp;'트랜드 분석_15일'!BW$27,'2023년 신조차 고장관리 세부현황'!$BC:$BC,"완료",'2023년 신조차 고장관리 세부현황'!$CY:$CY,"TCMS")</f>
        <v>0</v>
      </c>
      <c r="BX231" s="85">
        <f>COUNTIFS('2023년 신조차 고장관리 세부현황'!$K:$K,"448R",'2023년 신조차 고장관리 세부현황'!$P:$P,"&gt;="&amp;'트랜드 분석_15일'!BW$27,'2023년 신조차 고장관리 세부현황'!$P:$P,"&lt;"&amp;'트랜드 분석_15일'!BX$27,'2023년 신조차 고장관리 세부현황'!$BC:$BC,"완료",'2023년 신조차 고장관리 세부현황'!$CY:$CY,"TCMS")</f>
        <v>0</v>
      </c>
      <c r="BY231" s="85">
        <f>COUNTIFS('2023년 신조차 고장관리 세부현황'!$K:$K,"448R",'2023년 신조차 고장관리 세부현황'!$P:$P,"&gt;="&amp;'트랜드 분석_15일'!BX$27,'2023년 신조차 고장관리 세부현황'!$P:$P,"&lt;"&amp;'트랜드 분석_15일'!BY$27,'2023년 신조차 고장관리 세부현황'!$BC:$BC,"완료",'2023년 신조차 고장관리 세부현황'!$CY:$CY,"TCMS")</f>
        <v>0</v>
      </c>
      <c r="BZ231" s="85">
        <f>COUNTIFS('2023년 신조차 고장관리 세부현황'!$K:$K,"448R",'2023년 신조차 고장관리 세부현황'!$P:$P,"&gt;="&amp;'트랜드 분석_15일'!BY$27,'2023년 신조차 고장관리 세부현황'!$P:$P,"&lt;"&amp;'트랜드 분석_15일'!BZ$27,'2023년 신조차 고장관리 세부현황'!$BC:$BC,"완료",'2023년 신조차 고장관리 세부현황'!$CY:$CY,"TCMS")</f>
        <v>0</v>
      </c>
      <c r="CA231" s="85">
        <f>COUNTIFS('2023년 신조차 고장관리 세부현황'!$K:$K,"448R",'2023년 신조차 고장관리 세부현황'!$P:$P,"&gt;="&amp;'트랜드 분석_15일'!BZ$27,'2023년 신조차 고장관리 세부현황'!$P:$P,"&lt;"&amp;'트랜드 분석_15일'!CA$27,'2023년 신조차 고장관리 세부현황'!$BC:$BC,"완료",'2023년 신조차 고장관리 세부현황'!$CY:$CY,"TCMS")</f>
        <v>0</v>
      </c>
      <c r="CB231" s="85">
        <f>COUNTIFS('2023년 신조차 고장관리 세부현황'!$K:$K,"448R",'2023년 신조차 고장관리 세부현황'!$P:$P,"&gt;="&amp;'트랜드 분석_15일'!CA$27,'2023년 신조차 고장관리 세부현황'!$P:$P,"&lt;"&amp;'트랜드 분석_15일'!CB$27,'2023년 신조차 고장관리 세부현황'!$BC:$BC,"완료",'2023년 신조차 고장관리 세부현황'!$CY:$CY,"TCMS")</f>
        <v>0</v>
      </c>
      <c r="CC231" s="85">
        <f>COUNTIFS('2023년 신조차 고장관리 세부현황'!$K:$K,"448R",'2023년 신조차 고장관리 세부현황'!$P:$P,"&gt;="&amp;'트랜드 분석_15일'!CB$27,'2023년 신조차 고장관리 세부현황'!$P:$P,"&lt;"&amp;'트랜드 분석_15일'!CC$27,'2023년 신조차 고장관리 세부현황'!$BC:$BC,"완료",'2023년 신조차 고장관리 세부현황'!$CY:$CY,"TCMS")</f>
        <v>0</v>
      </c>
      <c r="CD231" s="85">
        <f>COUNTIFS('2023년 신조차 고장관리 세부현황'!$K:$K,"448R",'2023년 신조차 고장관리 세부현황'!$P:$P,"&gt;="&amp;'트랜드 분석_15일'!CC$27,'2023년 신조차 고장관리 세부현황'!$P:$P,"&lt;"&amp;'트랜드 분석_15일'!CD$27,'2023년 신조차 고장관리 세부현황'!$BC:$BC,"완료",'2023년 신조차 고장관리 세부현황'!$CY:$CY,"TCMS")</f>
        <v>0</v>
      </c>
      <c r="CE231" s="85">
        <f>COUNTIFS('2023년 신조차 고장관리 세부현황'!$K:$K,"448R",'2023년 신조차 고장관리 세부현황'!$P:$P,"&gt;="&amp;'트랜드 분석_15일'!CD$27,'2023년 신조차 고장관리 세부현황'!$P:$P,"&lt;"&amp;'트랜드 분석_15일'!CE$27,'2023년 신조차 고장관리 세부현황'!$BC:$BC,"완료",'2023년 신조차 고장관리 세부현황'!$CY:$CY,"TCMS")</f>
        <v>0</v>
      </c>
      <c r="CF231" s="85">
        <f>COUNTIFS('2023년 신조차 고장관리 세부현황'!$K:$K,"448R",'2023년 신조차 고장관리 세부현황'!$P:$P,"&gt;="&amp;'트랜드 분석_15일'!CE$27,'2023년 신조차 고장관리 세부현황'!$P:$P,"&lt;"&amp;'트랜드 분석_15일'!CF$27,'2023년 신조차 고장관리 세부현황'!$BC:$BC,"완료",'2023년 신조차 고장관리 세부현황'!$CY:$CY,"TCMS")</f>
        <v>0</v>
      </c>
      <c r="CG231" s="85">
        <f>COUNTIFS('2023년 신조차 고장관리 세부현황'!$K:$K,"448R",'2023년 신조차 고장관리 세부현황'!$P:$P,"&gt;="&amp;'트랜드 분석_15일'!CF$27,'2023년 신조차 고장관리 세부현황'!$P:$P,"&lt;"&amp;'트랜드 분석_15일'!CG$27,'2023년 신조차 고장관리 세부현황'!$BC:$BC,"완료",'2023년 신조차 고장관리 세부현황'!$CY:$CY,"TCMS")</f>
        <v>0</v>
      </c>
      <c r="CH231" s="85">
        <f>COUNTIFS('2023년 신조차 고장관리 세부현황'!$K:$K,"448R",'2023년 신조차 고장관리 세부현황'!$P:$P,"&gt;="&amp;'트랜드 분석_15일'!CG$27,'2023년 신조차 고장관리 세부현황'!$P:$P,"&lt;"&amp;'트랜드 분석_15일'!CH$27,'2023년 신조차 고장관리 세부현황'!$BC:$BC,"완료",'2023년 신조차 고장관리 세부현황'!$CY:$CY,"TCMS")</f>
        <v>0</v>
      </c>
      <c r="CI231" s="85">
        <f>COUNTIFS('2023년 신조차 고장관리 세부현황'!$K:$K,"448R",'2023년 신조차 고장관리 세부현황'!$P:$P,"&gt;="&amp;'트랜드 분석_15일'!CH$27,'2023년 신조차 고장관리 세부현황'!$P:$P,"&lt;"&amp;'트랜드 분석_15일'!CI$27,'2023년 신조차 고장관리 세부현황'!$BC:$BC,"완료",'2023년 신조차 고장관리 세부현황'!$CY:$CY,"TCMS")</f>
        <v>0</v>
      </c>
      <c r="CJ231" s="85">
        <f>COUNTIFS('2023년 신조차 고장관리 세부현황'!$K:$K,"448R",'2023년 신조차 고장관리 세부현황'!$P:$P,"&gt;="&amp;'트랜드 분석_15일'!CI$27,'2023년 신조차 고장관리 세부현황'!$P:$P,"&lt;"&amp;'트랜드 분석_15일'!CJ$27,'2023년 신조차 고장관리 세부현황'!$BC:$BC,"완료",'2023년 신조차 고장관리 세부현황'!$CY:$CY,"TCMS")</f>
        <v>0</v>
      </c>
      <c r="CK231" s="85">
        <f>COUNTIFS('2023년 신조차 고장관리 세부현황'!$K:$K,"448R",'2023년 신조차 고장관리 세부현황'!$P:$P,"&gt;="&amp;'트랜드 분석_15일'!CJ$27,'2023년 신조차 고장관리 세부현황'!$P:$P,"&lt;"&amp;'트랜드 분석_15일'!CK$27,'2023년 신조차 고장관리 세부현황'!$BC:$BC,"완료",'2023년 신조차 고장관리 세부현황'!$CY:$CY,"TCMS")</f>
        <v>0</v>
      </c>
      <c r="CL231" s="85">
        <f>COUNTIFS('2023년 신조차 고장관리 세부현황'!$K:$K,"448R",'2023년 신조차 고장관리 세부현황'!$P:$P,"&gt;="&amp;'트랜드 분석_15일'!CK$27,'2023년 신조차 고장관리 세부현황'!$P:$P,"&lt;"&amp;'트랜드 분석_15일'!CL$27,'2023년 신조차 고장관리 세부현황'!$BC:$BC,"완료",'2023년 신조차 고장관리 세부현황'!$CY:$CY,"TCMS")</f>
        <v>0</v>
      </c>
      <c r="CM231" s="85">
        <f>COUNTIFS('2023년 신조차 고장관리 세부현황'!$K:$K,"448R",'2023년 신조차 고장관리 세부현황'!$P:$P,"&gt;="&amp;'트랜드 분석_15일'!CL$27,'2023년 신조차 고장관리 세부현황'!$P:$P,"&lt;"&amp;'트랜드 분석_15일'!CM$27,'2023년 신조차 고장관리 세부현황'!$BC:$BC,"완료",'2023년 신조차 고장관리 세부현황'!$CY:$CY,"TCMS")</f>
        <v>0</v>
      </c>
      <c r="CN231" s="85">
        <f>COUNTIFS('2023년 신조차 고장관리 세부현황'!$K:$K,"448R",'2023년 신조차 고장관리 세부현황'!$P:$P,"&gt;="&amp;'트랜드 분석_15일'!CM$27,'2023년 신조차 고장관리 세부현황'!$P:$P,"&lt;"&amp;'트랜드 분석_15일'!CN$27,'2023년 신조차 고장관리 세부현황'!$BC:$BC,"완료",'2023년 신조차 고장관리 세부현황'!$CY:$CY,"TCMS")</f>
        <v>0</v>
      </c>
      <c r="CO231" s="85">
        <f>COUNTIFS('2023년 신조차 고장관리 세부현황'!$K:$K,"448R",'2023년 신조차 고장관리 세부현황'!$P:$P,"&gt;="&amp;'트랜드 분석_15일'!CN$27,'2023년 신조차 고장관리 세부현황'!$P:$P,"&lt;"&amp;'트랜드 분석_15일'!CO$27,'2023년 신조차 고장관리 세부현황'!$BC:$BC,"완료",'2023년 신조차 고장관리 세부현황'!$CY:$CY,"TCMS")</f>
        <v>0</v>
      </c>
      <c r="CP231" s="85">
        <f>COUNTIFS('2023년 신조차 고장관리 세부현황'!$K:$K,"448R",'2023년 신조차 고장관리 세부현황'!$P:$P,"&gt;="&amp;'트랜드 분석_15일'!CO$27,'2023년 신조차 고장관리 세부현황'!$P:$P,"&lt;"&amp;'트랜드 분석_15일'!CP$27,'2023년 신조차 고장관리 세부현황'!$BC:$BC,"완료",'2023년 신조차 고장관리 세부현황'!$CY:$CY,"TCMS")</f>
        <v>0</v>
      </c>
      <c r="CQ231" s="85">
        <f>COUNTIFS('2023년 신조차 고장관리 세부현황'!$K:$K,"448R",'2023년 신조차 고장관리 세부현황'!$P:$P,"&gt;="&amp;'트랜드 분석_15일'!CP$27,'2023년 신조차 고장관리 세부현황'!$P:$P,"&lt;"&amp;'트랜드 분석_15일'!CQ$27,'2023년 신조차 고장관리 세부현황'!$BC:$BC,"완료",'2023년 신조차 고장관리 세부현황'!$CY:$CY,"TCMS")</f>
        <v>0</v>
      </c>
      <c r="CR231" s="85">
        <f>COUNTIFS('2023년 신조차 고장관리 세부현황'!$K:$K,"448R",'2023년 신조차 고장관리 세부현황'!$P:$P,"&gt;="&amp;'트랜드 분석_15일'!CQ$27,'2023년 신조차 고장관리 세부현황'!$P:$P,"&lt;"&amp;'트랜드 분석_15일'!CR$27,'2023년 신조차 고장관리 세부현황'!$BC:$BC,"완료",'2023년 신조차 고장관리 세부현황'!$CY:$CY,"TCMS")</f>
        <v>0</v>
      </c>
      <c r="CS231" s="85">
        <f>COUNTIFS('2023년 신조차 고장관리 세부현황'!$K:$K,"448R",'2023년 신조차 고장관리 세부현황'!$P:$P,"&gt;="&amp;'트랜드 분석_15일'!CR$27,'2023년 신조차 고장관리 세부현황'!$P:$P,"&lt;"&amp;'트랜드 분석_15일'!CS$27,'2023년 신조차 고장관리 세부현황'!$BC:$BC,"완료",'2023년 신조차 고장관리 세부현황'!$CY:$CY,"TCMS")</f>
        <v>0</v>
      </c>
      <c r="CT231" s="85">
        <f>COUNTIFS('2023년 신조차 고장관리 세부현황'!$K:$K,"448R",'2023년 신조차 고장관리 세부현황'!$P:$P,"&gt;="&amp;'트랜드 분석_15일'!CS$27,'2023년 신조차 고장관리 세부현황'!$P:$P,"&lt;"&amp;'트랜드 분석_15일'!CT$27,'2023년 신조차 고장관리 세부현황'!$BC:$BC,"완료",'2023년 신조차 고장관리 세부현황'!$CY:$CY,"TCMS")</f>
        <v>0</v>
      </c>
      <c r="CU231" s="85">
        <f>COUNTIFS('2023년 신조차 고장관리 세부현황'!$K:$K,"448R",'2023년 신조차 고장관리 세부현황'!$P:$P,"&gt;="&amp;'트랜드 분석_15일'!CT$27,'2023년 신조차 고장관리 세부현황'!$P:$P,"&lt;"&amp;'트랜드 분석_15일'!CU$27,'2023년 신조차 고장관리 세부현황'!$BC:$BC,"완료",'2023년 신조차 고장관리 세부현황'!$CY:$CY,"TCMS")</f>
        <v>0</v>
      </c>
      <c r="CV231" s="85">
        <f>COUNTIFS('2023년 신조차 고장관리 세부현황'!$K:$K,"448R",'2023년 신조차 고장관리 세부현황'!$P:$P,"&gt;="&amp;'트랜드 분석_15일'!CU$27,'2023년 신조차 고장관리 세부현황'!$P:$P,"&lt;"&amp;'트랜드 분석_15일'!CV$27,'2023년 신조차 고장관리 세부현황'!$BC:$BC,"완료",'2023년 신조차 고장관리 세부현황'!$CY:$CY,"TCMS")</f>
        <v>0</v>
      </c>
      <c r="CW231" s="85">
        <f>COUNTIFS('2023년 신조차 고장관리 세부현황'!$K:$K,"448R",'2023년 신조차 고장관리 세부현황'!$P:$P,"&gt;="&amp;'트랜드 분석_15일'!CV$27,'2023년 신조차 고장관리 세부현황'!$P:$P,"&lt;"&amp;'트랜드 분석_15일'!CW$27,'2023년 신조차 고장관리 세부현황'!$BC:$BC,"완료",'2023년 신조차 고장관리 세부현황'!$CY:$CY,"TCMS")</f>
        <v>0</v>
      </c>
      <c r="CX231">
        <f ca="1">SUM(G231:CW231)</f>
        <v>0</v>
      </c>
    </row>
    <row r="232" spans="6:102" x14ac:dyDescent="0.4">
      <c r="F232" s="85" t="s">
        <v>164</v>
      </c>
      <c r="G232" s="85">
        <f>COUNTIFS('2023년 신조차 고장관리 세부현황'!$K:$K,"448R",'2023년 신조차 고장관리 세부현황'!$P:$P,"&gt;="&amp;$G$26,'2023년 신조차 고장관리 세부현황'!$P:$P,"&lt;"&amp;'트랜드 분석_15일'!G$27,'2023년 신조차 고장관리 세부현황'!$S:$S,'트랜드 분석_15일'!$F232,'2023년 신조차 고장관리 세부현황'!$BC:$BC,"완료",'2023년 신조차 고장관리 세부현황'!$CY:$CY,"TCMS")</f>
        <v>0</v>
      </c>
      <c r="H232"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분석_15일'!$F232,'2023년 신조차 고장관리 세부현황'!$BC:$BC,"완료",'2023년 신조차 고장관리 세부현황'!$CY:$CY,"TCMS")</f>
        <v>0</v>
      </c>
      <c r="I232"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분석_15일'!$F232,'2023년 신조차 고장관리 세부현황'!$BC:$BC,"완료",'2023년 신조차 고장관리 세부현황'!$CY:$CY,"TCMS")</f>
        <v>0</v>
      </c>
      <c r="J232"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분석_15일'!$F232,'2023년 신조차 고장관리 세부현황'!$BC:$BC,"완료",'2023년 신조차 고장관리 세부현황'!$CY:$CY,"TCMS")</f>
        <v>0</v>
      </c>
      <c r="K232"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분석_15일'!$F232,'2023년 신조차 고장관리 세부현황'!$BC:$BC,"완료",'2023년 신조차 고장관리 세부현황'!$CY:$CY,"TCMS")</f>
        <v>0</v>
      </c>
      <c r="L232"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분석_15일'!$F232,'2023년 신조차 고장관리 세부현황'!$BC:$BC,"완료",'2023년 신조차 고장관리 세부현황'!$CY:$CY,"TCMS")</f>
        <v>0</v>
      </c>
      <c r="M232"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분석_15일'!$F232,'2023년 신조차 고장관리 세부현황'!$BC:$BC,"완료",'2023년 신조차 고장관리 세부현황'!$CY:$CY,"TCMS")</f>
        <v>0</v>
      </c>
      <c r="N232"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분석_15일'!$F232,'2023년 신조차 고장관리 세부현황'!$BC:$BC,"완료",'2023년 신조차 고장관리 세부현황'!$CY:$CY,"TCMS")</f>
        <v>0</v>
      </c>
      <c r="O232"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분석_15일'!$F232,'2023년 신조차 고장관리 세부현황'!$BC:$BC,"완료",'2023년 신조차 고장관리 세부현황'!$CY:$CY,"TCMS")</f>
        <v>0</v>
      </c>
      <c r="P232"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분석_15일'!$F232,'2023년 신조차 고장관리 세부현황'!$BC:$BC,"완료",'2023년 신조차 고장관리 세부현황'!$CY:$CY,"TCMS")</f>
        <v>0</v>
      </c>
      <c r="Q232"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분석_15일'!$F232,'2023년 신조차 고장관리 세부현황'!$BC:$BC,"완료",'2023년 신조차 고장관리 세부현황'!$CY:$CY,"TCMS")</f>
        <v>0</v>
      </c>
      <c r="R232"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분석_15일'!$F232,'2023년 신조차 고장관리 세부현황'!$BC:$BC,"완료",'2023년 신조차 고장관리 세부현황'!$CY:$CY,"TCMS")</f>
        <v>0</v>
      </c>
      <c r="S232"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분석_15일'!$F232,'2023년 신조차 고장관리 세부현황'!$BC:$BC,"완료",'2023년 신조차 고장관리 세부현황'!$CY:$CY,"TCMS")</f>
        <v>0</v>
      </c>
      <c r="T232"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분석_15일'!$F232,'2023년 신조차 고장관리 세부현황'!$BC:$BC,"완료",'2023년 신조차 고장관리 세부현황'!$CY:$CY,"TCMS")</f>
        <v>0</v>
      </c>
      <c r="U232"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분석_15일'!$F232,'2023년 신조차 고장관리 세부현황'!$BC:$BC,"완료",'2023년 신조차 고장관리 세부현황'!$CY:$CY,"TCMS")</f>
        <v>0</v>
      </c>
      <c r="V232"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분석_15일'!$F232,'2023년 신조차 고장관리 세부현황'!$BC:$BC,"완료",'2023년 신조차 고장관리 세부현황'!$CY:$CY,"TCMS")</f>
        <v>0</v>
      </c>
      <c r="W232"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분석_15일'!$F232,'2023년 신조차 고장관리 세부현황'!$BC:$BC,"완료",'2023년 신조차 고장관리 세부현황'!$CY:$CY,"TCMS")</f>
        <v>0</v>
      </c>
      <c r="X232"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분석_15일'!$F232,'2023년 신조차 고장관리 세부현황'!$BC:$BC,"완료",'2023년 신조차 고장관리 세부현황'!$CY:$CY,"TCMS")</f>
        <v>0</v>
      </c>
      <c r="Y232"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분석_15일'!$F232,'2023년 신조차 고장관리 세부현황'!$BC:$BC,"완료",'2023년 신조차 고장관리 세부현황'!$CY:$CY,"TCMS")</f>
        <v>0</v>
      </c>
      <c r="Z232"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분석_15일'!$F232,'2023년 신조차 고장관리 세부현황'!$BC:$BC,"완료",'2023년 신조차 고장관리 세부현황'!$CY:$CY,"TCMS")</f>
        <v>0</v>
      </c>
      <c r="AA232"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분석_15일'!$F232,'2023년 신조차 고장관리 세부현황'!$BC:$BC,"완료",'2023년 신조차 고장관리 세부현황'!$CY:$CY,"TCMS")</f>
        <v>0</v>
      </c>
      <c r="AB232"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분석_15일'!$F232,'2023년 신조차 고장관리 세부현황'!$BC:$BC,"완료",'2023년 신조차 고장관리 세부현황'!$CY:$CY,"TCMS")</f>
        <v>0</v>
      </c>
      <c r="AC232"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분석_15일'!$F232,'2023년 신조차 고장관리 세부현황'!$BC:$BC,"완료",'2023년 신조차 고장관리 세부현황'!$CY:$CY,"TCMS")</f>
        <v>0</v>
      </c>
      <c r="AD232"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분석_15일'!$F232,'2023년 신조차 고장관리 세부현황'!$BC:$BC,"완료",'2023년 신조차 고장관리 세부현황'!$CY:$CY,"TCMS")</f>
        <v>0</v>
      </c>
      <c r="AE232"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분석_15일'!$F232,'2023년 신조차 고장관리 세부현황'!$BC:$BC,"완료",'2023년 신조차 고장관리 세부현황'!$CY:$CY,"TCMS")</f>
        <v>0</v>
      </c>
      <c r="AF232"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분석_15일'!$F232,'2023년 신조차 고장관리 세부현황'!$BC:$BC,"완료",'2023년 신조차 고장관리 세부현황'!$CY:$CY,"TCMS")</f>
        <v>0</v>
      </c>
      <c r="AG232"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분석_15일'!$F232,'2023년 신조차 고장관리 세부현황'!$BC:$BC,"완료",'2023년 신조차 고장관리 세부현황'!$CY:$CY,"TCMS")</f>
        <v>0</v>
      </c>
      <c r="AH232"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분석_15일'!$F232,'2023년 신조차 고장관리 세부현황'!$BC:$BC,"완료",'2023년 신조차 고장관리 세부현황'!$CY:$CY,"TCMS")</f>
        <v>0</v>
      </c>
      <c r="AI232"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분석_15일'!$F232,'2023년 신조차 고장관리 세부현황'!$BC:$BC,"완료",'2023년 신조차 고장관리 세부현황'!$CY:$CY,"TCMS")</f>
        <v>0</v>
      </c>
      <c r="AJ232"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분석_15일'!$F232,'2023년 신조차 고장관리 세부현황'!$BC:$BC,"완료",'2023년 신조차 고장관리 세부현황'!$CY:$CY,"TCMS")</f>
        <v>0</v>
      </c>
      <c r="AK232"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분석_15일'!$F232,'2023년 신조차 고장관리 세부현황'!$BC:$BC,"완료",'2023년 신조차 고장관리 세부현황'!$CY:$CY,"TCMS")</f>
        <v>0</v>
      </c>
      <c r="AL232"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분석_15일'!$F232,'2023년 신조차 고장관리 세부현황'!$BC:$BC,"완료",'2023년 신조차 고장관리 세부현황'!$CY:$CY,"TCMS")</f>
        <v>0</v>
      </c>
      <c r="AM232"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분석_15일'!$F232,'2023년 신조차 고장관리 세부현황'!$BC:$BC,"완료",'2023년 신조차 고장관리 세부현황'!$CY:$CY,"TCMS")</f>
        <v>0</v>
      </c>
      <c r="AN232"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분석_15일'!$F232,'2023년 신조차 고장관리 세부현황'!$BC:$BC,"완료",'2023년 신조차 고장관리 세부현황'!$CY:$CY,"TCMS")</f>
        <v>0</v>
      </c>
      <c r="AO232"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분석_15일'!$F232,'2023년 신조차 고장관리 세부현황'!$BC:$BC,"완료",'2023년 신조차 고장관리 세부현황'!$CY:$CY,"TCMS")</f>
        <v>0</v>
      </c>
      <c r="AP232"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분석_15일'!$F232,'2023년 신조차 고장관리 세부현황'!$BC:$BC,"완료",'2023년 신조차 고장관리 세부현황'!$CY:$CY,"TCMS")</f>
        <v>0</v>
      </c>
      <c r="AQ232"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분석_15일'!$F232,'2023년 신조차 고장관리 세부현황'!$BC:$BC,"완료",'2023년 신조차 고장관리 세부현황'!$CY:$CY,"TCMS")</f>
        <v>0</v>
      </c>
      <c r="AR232"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분석_15일'!$F232,'2023년 신조차 고장관리 세부현황'!$BC:$BC,"완료",'2023년 신조차 고장관리 세부현황'!$CY:$CY,"TCMS")</f>
        <v>0</v>
      </c>
      <c r="AS232"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분석_15일'!$F232,'2023년 신조차 고장관리 세부현황'!$BC:$BC,"완료",'2023년 신조차 고장관리 세부현황'!$CY:$CY,"TCMS")</f>
        <v>0</v>
      </c>
      <c r="AT232"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분석_15일'!$F232,'2023년 신조차 고장관리 세부현황'!$BC:$BC,"완료",'2023년 신조차 고장관리 세부현황'!$CY:$CY,"TCMS")</f>
        <v>0</v>
      </c>
      <c r="AU232"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분석_15일'!$F232,'2023년 신조차 고장관리 세부현황'!$BC:$BC,"완료",'2023년 신조차 고장관리 세부현황'!$CY:$CY,"TCMS")</f>
        <v>0</v>
      </c>
      <c r="AV232"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분석_15일'!$F232,'2023년 신조차 고장관리 세부현황'!$BC:$BC,"완료",'2023년 신조차 고장관리 세부현황'!$CY:$CY,"TCMS")</f>
        <v>0</v>
      </c>
      <c r="AW232"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분석_15일'!$F232,'2023년 신조차 고장관리 세부현황'!$BC:$BC,"완료",'2023년 신조차 고장관리 세부현황'!$CY:$CY,"TCMS")</f>
        <v>0</v>
      </c>
      <c r="AX232"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분석_15일'!$F232,'2023년 신조차 고장관리 세부현황'!$BC:$BC,"완료",'2023년 신조차 고장관리 세부현황'!$CY:$CY,"TCMS")</f>
        <v>0</v>
      </c>
      <c r="AY232"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분석_15일'!$F232,'2023년 신조차 고장관리 세부현황'!$BC:$BC,"완료",'2023년 신조차 고장관리 세부현황'!$CY:$CY,"TCMS")</f>
        <v>0</v>
      </c>
      <c r="AZ232"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분석_15일'!$F232,'2023년 신조차 고장관리 세부현황'!$BC:$BC,"완료",'2023년 신조차 고장관리 세부현황'!$CY:$CY,"TCMS")</f>
        <v>0</v>
      </c>
      <c r="BA232"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분석_15일'!$F232,'2023년 신조차 고장관리 세부현황'!$BC:$BC,"완료",'2023년 신조차 고장관리 세부현황'!$CY:$CY,"TCMS")</f>
        <v>0</v>
      </c>
      <c r="BB232"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분석_15일'!$F232,'2023년 신조차 고장관리 세부현황'!$BC:$BC,"완료",'2023년 신조차 고장관리 세부현황'!$CY:$CY,"TCMS")</f>
        <v>0</v>
      </c>
      <c r="BC232"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분석_15일'!$F232,'2023년 신조차 고장관리 세부현황'!$BC:$BC,"완료",'2023년 신조차 고장관리 세부현황'!$CY:$CY,"TCMS")</f>
        <v>0</v>
      </c>
      <c r="BD232"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분석_15일'!$F232,'2023년 신조차 고장관리 세부현황'!$BC:$BC,"완료",'2023년 신조차 고장관리 세부현황'!$CY:$CY,"TCMS")</f>
        <v>0</v>
      </c>
      <c r="BE232"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분석_15일'!$F232,'2023년 신조차 고장관리 세부현황'!$BC:$BC,"완료",'2023년 신조차 고장관리 세부현황'!$CY:$CY,"TCMS")</f>
        <v>0</v>
      </c>
      <c r="BF232"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분석_15일'!$F232,'2023년 신조차 고장관리 세부현황'!$BC:$BC,"완료",'2023년 신조차 고장관리 세부현황'!$CY:$CY,"TCMS")</f>
        <v>0</v>
      </c>
      <c r="BG232"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분석_15일'!$F232,'2023년 신조차 고장관리 세부현황'!$BC:$BC,"완료",'2023년 신조차 고장관리 세부현황'!$CY:$CY,"TCMS")</f>
        <v>0</v>
      </c>
      <c r="BH232"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분석_15일'!$F232,'2023년 신조차 고장관리 세부현황'!$BC:$BC,"완료",'2023년 신조차 고장관리 세부현황'!$CY:$CY,"TCMS")</f>
        <v>0</v>
      </c>
      <c r="BI232"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분석_15일'!$F232,'2023년 신조차 고장관리 세부현황'!$BC:$BC,"완료",'2023년 신조차 고장관리 세부현황'!$CY:$CY,"TCMS")</f>
        <v>0</v>
      </c>
      <c r="BJ232"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분석_15일'!$F232,'2023년 신조차 고장관리 세부현황'!$BC:$BC,"완료",'2023년 신조차 고장관리 세부현황'!$CY:$CY,"TCMS")</f>
        <v>0</v>
      </c>
      <c r="BK232"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분석_15일'!$F232,'2023년 신조차 고장관리 세부현황'!$BC:$BC,"완료",'2023년 신조차 고장관리 세부현황'!$CY:$CY,"TCMS")</f>
        <v>0</v>
      </c>
      <c r="BL232"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분석_15일'!$F232,'2023년 신조차 고장관리 세부현황'!$BC:$BC,"완료",'2023년 신조차 고장관리 세부현황'!$CY:$CY,"TCMS")</f>
        <v>0</v>
      </c>
      <c r="BM232"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분석_15일'!$F232,'2023년 신조차 고장관리 세부현황'!$BC:$BC,"완료",'2023년 신조차 고장관리 세부현황'!$CY:$CY,"TCMS")</f>
        <v>0</v>
      </c>
      <c r="BN232"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분석_15일'!$F232,'2023년 신조차 고장관리 세부현황'!$BC:$BC,"완료",'2023년 신조차 고장관리 세부현황'!$CY:$CY,"TCMS")</f>
        <v>0</v>
      </c>
      <c r="BO232"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분석_15일'!$F232,'2023년 신조차 고장관리 세부현황'!$BC:$BC,"완료",'2023년 신조차 고장관리 세부현황'!$CY:$CY,"TCMS")</f>
        <v>0</v>
      </c>
      <c r="BP232"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분석_15일'!$F232,'2023년 신조차 고장관리 세부현황'!$BC:$BC,"완료",'2023년 신조차 고장관리 세부현황'!$CY:$CY,"TCMS")</f>
        <v>0</v>
      </c>
      <c r="BQ232"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분석_15일'!$F232,'2023년 신조차 고장관리 세부현황'!$BC:$BC,"완료",'2023년 신조차 고장관리 세부현황'!$CY:$CY,"TCMS")</f>
        <v>0</v>
      </c>
      <c r="BR232"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분석_15일'!$F232,'2023년 신조차 고장관리 세부현황'!$BC:$BC,"완료",'2023년 신조차 고장관리 세부현황'!$CY:$CY,"TCMS")</f>
        <v>0</v>
      </c>
      <c r="BS232"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분석_15일'!$F232,'2023년 신조차 고장관리 세부현황'!$BC:$BC,"완료",'2023년 신조차 고장관리 세부현황'!$CY:$CY,"TCMS")</f>
        <v>0</v>
      </c>
      <c r="BT232"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분석_15일'!$F232,'2023년 신조차 고장관리 세부현황'!$BC:$BC,"완료",'2023년 신조차 고장관리 세부현황'!$CY:$CY,"TCMS")</f>
        <v>0</v>
      </c>
      <c r="BU232"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분석_15일'!$F232,'2023년 신조차 고장관리 세부현황'!$BC:$BC,"완료",'2023년 신조차 고장관리 세부현황'!$CY:$CY,"TCMS")</f>
        <v>0</v>
      </c>
      <c r="BV232"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분석_15일'!$F232,'2023년 신조차 고장관리 세부현황'!$BC:$BC,"완료",'2023년 신조차 고장관리 세부현황'!$CY:$CY,"TCMS")</f>
        <v>0</v>
      </c>
      <c r="BW232"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분석_15일'!$F232,'2023년 신조차 고장관리 세부현황'!$BC:$BC,"완료",'2023년 신조차 고장관리 세부현황'!$CY:$CY,"TCMS")</f>
        <v>0</v>
      </c>
      <c r="BX232"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분석_15일'!$F232,'2023년 신조차 고장관리 세부현황'!$BC:$BC,"완료",'2023년 신조차 고장관리 세부현황'!$CY:$CY,"TCMS")</f>
        <v>0</v>
      </c>
      <c r="BY232"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분석_15일'!$F232,'2023년 신조차 고장관리 세부현황'!$BC:$BC,"완료",'2023년 신조차 고장관리 세부현황'!$CY:$CY,"TCMS")</f>
        <v>0</v>
      </c>
      <c r="BZ232"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분석_15일'!$F232,'2023년 신조차 고장관리 세부현황'!$BC:$BC,"완료",'2023년 신조차 고장관리 세부현황'!$CY:$CY,"TCMS")</f>
        <v>0</v>
      </c>
      <c r="CA232"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분석_15일'!$F232,'2023년 신조차 고장관리 세부현황'!$BC:$BC,"완료",'2023년 신조차 고장관리 세부현황'!$CY:$CY,"TCMS")</f>
        <v>0</v>
      </c>
      <c r="CB232"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분석_15일'!$F232,'2023년 신조차 고장관리 세부현황'!$BC:$BC,"완료",'2023년 신조차 고장관리 세부현황'!$CY:$CY,"TCMS")</f>
        <v>0</v>
      </c>
      <c r="CC232"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분석_15일'!$F232,'2023년 신조차 고장관리 세부현황'!$BC:$BC,"완료",'2023년 신조차 고장관리 세부현황'!$CY:$CY,"TCMS")</f>
        <v>0</v>
      </c>
      <c r="CD232"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분석_15일'!$F232,'2023년 신조차 고장관리 세부현황'!$BC:$BC,"완료",'2023년 신조차 고장관리 세부현황'!$CY:$CY,"TCMS")</f>
        <v>0</v>
      </c>
      <c r="CE232"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분석_15일'!$F232,'2023년 신조차 고장관리 세부현황'!$BC:$BC,"완료",'2023년 신조차 고장관리 세부현황'!$CY:$CY,"TCMS")</f>
        <v>0</v>
      </c>
      <c r="CF232"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분석_15일'!$F232,'2023년 신조차 고장관리 세부현황'!$BC:$BC,"완료",'2023년 신조차 고장관리 세부현황'!$CY:$CY,"TCMS")</f>
        <v>0</v>
      </c>
      <c r="CG232"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분석_15일'!$F232,'2023년 신조차 고장관리 세부현황'!$BC:$BC,"완료",'2023년 신조차 고장관리 세부현황'!$CY:$CY,"TCMS")</f>
        <v>0</v>
      </c>
      <c r="CH232"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분석_15일'!$F232,'2023년 신조차 고장관리 세부현황'!$BC:$BC,"완료",'2023년 신조차 고장관리 세부현황'!$CY:$CY,"TCMS")</f>
        <v>0</v>
      </c>
      <c r="CI232"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분석_15일'!$F232,'2023년 신조차 고장관리 세부현황'!$BC:$BC,"완료",'2023년 신조차 고장관리 세부현황'!$CY:$CY,"TCMS")</f>
        <v>0</v>
      </c>
      <c r="CJ232"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분석_15일'!$F232,'2023년 신조차 고장관리 세부현황'!$BC:$BC,"완료",'2023년 신조차 고장관리 세부현황'!$CY:$CY,"TCMS")</f>
        <v>0</v>
      </c>
      <c r="CK232"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분석_15일'!$F232,'2023년 신조차 고장관리 세부현황'!$BC:$BC,"완료",'2023년 신조차 고장관리 세부현황'!$CY:$CY,"TCMS")</f>
        <v>0</v>
      </c>
      <c r="CL232"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분석_15일'!$F232,'2023년 신조차 고장관리 세부현황'!$BC:$BC,"완료",'2023년 신조차 고장관리 세부현황'!$CY:$CY,"TCMS")</f>
        <v>0</v>
      </c>
      <c r="CM232"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분석_15일'!$F232,'2023년 신조차 고장관리 세부현황'!$BC:$BC,"완료",'2023년 신조차 고장관리 세부현황'!$CY:$CY,"TCMS")</f>
        <v>0</v>
      </c>
      <c r="CN232"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분석_15일'!$F232,'2023년 신조차 고장관리 세부현황'!$BC:$BC,"완료",'2023년 신조차 고장관리 세부현황'!$CY:$CY,"TCMS")</f>
        <v>0</v>
      </c>
      <c r="CO232"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분석_15일'!$F232,'2023년 신조차 고장관리 세부현황'!$BC:$BC,"완료",'2023년 신조차 고장관리 세부현황'!$CY:$CY,"TCMS")</f>
        <v>0</v>
      </c>
      <c r="CP232"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분석_15일'!$F232,'2023년 신조차 고장관리 세부현황'!$BC:$BC,"완료",'2023년 신조차 고장관리 세부현황'!$CY:$CY,"TCMS")</f>
        <v>0</v>
      </c>
      <c r="CQ232"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분석_15일'!$F232,'2023년 신조차 고장관리 세부현황'!$BC:$BC,"완료",'2023년 신조차 고장관리 세부현황'!$CY:$CY,"TCMS")</f>
        <v>0</v>
      </c>
      <c r="CR232"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분석_15일'!$F232,'2023년 신조차 고장관리 세부현황'!$BC:$BC,"완료",'2023년 신조차 고장관리 세부현황'!$CY:$CY,"TCMS")</f>
        <v>0</v>
      </c>
      <c r="CS232"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분석_15일'!$F232,'2023년 신조차 고장관리 세부현황'!$BC:$BC,"완료",'2023년 신조차 고장관리 세부현황'!$CY:$CY,"TCMS")</f>
        <v>0</v>
      </c>
      <c r="CT232"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분석_15일'!$F232,'2023년 신조차 고장관리 세부현황'!$BC:$BC,"완료",'2023년 신조차 고장관리 세부현황'!$CY:$CY,"TCMS")</f>
        <v>0</v>
      </c>
      <c r="CU232"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분석_15일'!$F232,'2023년 신조차 고장관리 세부현황'!$BC:$BC,"완료",'2023년 신조차 고장관리 세부현황'!$CY:$CY,"TCMS")</f>
        <v>0</v>
      </c>
      <c r="CV232"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분석_15일'!$F232,'2023년 신조차 고장관리 세부현황'!$BC:$BC,"완료",'2023년 신조차 고장관리 세부현황'!$CY:$CY,"TCMS")</f>
        <v>0</v>
      </c>
      <c r="CW232"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분석_15일'!$F232,'2023년 신조차 고장관리 세부현황'!$BC:$BC,"완료",'2023년 신조차 고장관리 세부현황'!$CY:$CY,"TCMS")</f>
        <v>0</v>
      </c>
      <c r="CX232">
        <f>SUM(G232:CW232)</f>
        <v>0</v>
      </c>
    </row>
    <row r="233" spans="6:102" x14ac:dyDescent="0.4">
      <c r="F233" s="85" t="s">
        <v>223</v>
      </c>
      <c r="G233" s="85">
        <f>COUNTIFS('2023년 신조차 고장관리 세부현황'!$K:$K,"448R",'2023년 신조차 고장관리 세부현황'!$P:$P,"&gt;="&amp;$G$26,'2023년 신조차 고장관리 세부현황'!$P:$P,"&lt;"&amp;'트랜드 분석_15일'!G$27,'2023년 신조차 고장관리 세부현황'!$S:$S,'트랜드 분석_15일'!$F233,'2023년 신조차 고장관리 세부현황'!$BC:$BC,"완료",'2023년 신조차 고장관리 세부현황'!$CY:$CY,"TCMS")</f>
        <v>0</v>
      </c>
      <c r="H233"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분석_15일'!$F233,'2023년 신조차 고장관리 세부현황'!$BC:$BC,"완료",'2023년 신조차 고장관리 세부현황'!$CY:$CY,"TCMS")</f>
        <v>0</v>
      </c>
      <c r="I233"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분석_15일'!$F233,'2023년 신조차 고장관리 세부현황'!$BC:$BC,"완료",'2023년 신조차 고장관리 세부현황'!$CY:$CY,"TCMS")</f>
        <v>0</v>
      </c>
      <c r="J233"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분석_15일'!$F233,'2023년 신조차 고장관리 세부현황'!$BC:$BC,"완료",'2023년 신조차 고장관리 세부현황'!$CY:$CY,"TCMS")</f>
        <v>0</v>
      </c>
      <c r="K233"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분석_15일'!$F233,'2023년 신조차 고장관리 세부현황'!$BC:$BC,"완료",'2023년 신조차 고장관리 세부현황'!$CY:$CY,"TCMS")</f>
        <v>0</v>
      </c>
      <c r="L233"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분석_15일'!$F233,'2023년 신조차 고장관리 세부현황'!$BC:$BC,"완료",'2023년 신조차 고장관리 세부현황'!$CY:$CY,"TCMS")</f>
        <v>0</v>
      </c>
      <c r="M233"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분석_15일'!$F233,'2023년 신조차 고장관리 세부현황'!$BC:$BC,"완료",'2023년 신조차 고장관리 세부현황'!$CY:$CY,"TCMS")</f>
        <v>0</v>
      </c>
      <c r="N233"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분석_15일'!$F233,'2023년 신조차 고장관리 세부현황'!$BC:$BC,"완료",'2023년 신조차 고장관리 세부현황'!$CY:$CY,"TCMS")</f>
        <v>0</v>
      </c>
      <c r="O233"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분석_15일'!$F233,'2023년 신조차 고장관리 세부현황'!$BC:$BC,"완료",'2023년 신조차 고장관리 세부현황'!$CY:$CY,"TCMS")</f>
        <v>0</v>
      </c>
      <c r="P233" s="85">
        <f ca="1">COUNTIFS('2023년 신조차 고장관리 세부현황'!$K:$K,"448R",'2023년 신조차 고장관리 세부현황'!$P:$P,"&gt;="&amp;'트랜드 분석_15일'!O$27,'2023년 신조차 고장관리 세부현황'!$P:$P,"&lt;"&amp;'트랜드 분석_15일'!P$27,'2023년 신조차 고장관리 세부현황'!$S:$S,'트랜드 분석_15일'!$F233,'2023년 신조차 고장관리 세부현황'!$BC:$BC,"완료",'2023년 신조차 고장관리 세부현황'!$CY:$CY,"TCMS")</f>
        <v>0</v>
      </c>
      <c r="Q233"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분석_15일'!$F233,'2023년 신조차 고장관리 세부현황'!$BC:$BC,"완료",'2023년 신조차 고장관리 세부현황'!$CY:$CY,"TCMS")</f>
        <v>0</v>
      </c>
      <c r="R233" s="85">
        <f ca="1">COUNTIFS('2023년 신조차 고장관리 세부현황'!$K:$K,"448R",'2023년 신조차 고장관리 세부현황'!$P:$P,"&gt;="&amp;'트랜드 분석_15일'!Q$27,'2023년 신조차 고장관리 세부현황'!$P:$P,"&lt;"&amp;'트랜드 분석_15일'!R$27,'2023년 신조차 고장관리 세부현황'!$S:$S,'트랜드 분석_15일'!$F233,'2023년 신조차 고장관리 세부현황'!$BC:$BC,"완료",'2023년 신조차 고장관리 세부현황'!$CY:$CY,"TCMS")</f>
        <v>0</v>
      </c>
      <c r="S233" s="85">
        <f ca="1">COUNTIFS('2023년 신조차 고장관리 세부현황'!$K:$K,"448R",'2023년 신조차 고장관리 세부현황'!$P:$P,"&gt;="&amp;'트랜드 분석_15일'!R$27,'2023년 신조차 고장관리 세부현황'!$P:$P,"&lt;"&amp;'트랜드 분석_15일'!S$27,'2023년 신조차 고장관리 세부현황'!$S:$S,'트랜드 분석_15일'!$F233,'2023년 신조차 고장관리 세부현황'!$BC:$BC,"완료",'2023년 신조차 고장관리 세부현황'!$CY:$CY,"TCMS")</f>
        <v>0</v>
      </c>
      <c r="T233"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분석_15일'!$F233,'2023년 신조차 고장관리 세부현황'!$BC:$BC,"완료",'2023년 신조차 고장관리 세부현황'!$CY:$CY,"TCMS")</f>
        <v>0</v>
      </c>
      <c r="U233"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분석_15일'!$F233,'2023년 신조차 고장관리 세부현황'!$BC:$BC,"완료",'2023년 신조차 고장관리 세부현황'!$CY:$CY,"TCMS")</f>
        <v>0</v>
      </c>
      <c r="V233"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분석_15일'!$F233,'2023년 신조차 고장관리 세부현황'!$BC:$BC,"완료",'2023년 신조차 고장관리 세부현황'!$CY:$CY,"TCMS")</f>
        <v>0</v>
      </c>
      <c r="W233" s="85">
        <f ca="1">COUNTIFS('2023년 신조차 고장관리 세부현황'!$K:$K,"448R",'2023년 신조차 고장관리 세부현황'!$P:$P,"&gt;="&amp;'트랜드 분석_15일'!V$27,'2023년 신조차 고장관리 세부현황'!$P:$P,"&lt;"&amp;'트랜드 분석_15일'!W$27,'2023년 신조차 고장관리 세부현황'!$S:$S,'트랜드 분석_15일'!$F233,'2023년 신조차 고장관리 세부현황'!$BC:$BC,"완료",'2023년 신조차 고장관리 세부현황'!$CY:$CY,"TCMS")</f>
        <v>0</v>
      </c>
      <c r="X233"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분석_15일'!$F233,'2023년 신조차 고장관리 세부현황'!$BC:$BC,"완료",'2023년 신조차 고장관리 세부현황'!$CY:$CY,"TCMS")</f>
        <v>0</v>
      </c>
      <c r="Y233" s="85">
        <f ca="1">COUNTIFS('2023년 신조차 고장관리 세부현황'!$K:$K,"448R",'2023년 신조차 고장관리 세부현황'!$P:$P,"&gt;="&amp;'트랜드 분석_15일'!X$27,'2023년 신조차 고장관리 세부현황'!$P:$P,"&lt;"&amp;'트랜드 분석_15일'!Y$27,'2023년 신조차 고장관리 세부현황'!$S:$S,'트랜드 분석_15일'!$F233,'2023년 신조차 고장관리 세부현황'!$BC:$BC,"완료",'2023년 신조차 고장관리 세부현황'!$CY:$CY,"TCMS")</f>
        <v>0</v>
      </c>
      <c r="Z233" s="85">
        <f ca="1">COUNTIFS('2023년 신조차 고장관리 세부현황'!$K:$K,"448R",'2023년 신조차 고장관리 세부현황'!$P:$P,"&gt;="&amp;'트랜드 분석_15일'!Y$27,'2023년 신조차 고장관리 세부현황'!$P:$P,"&lt;"&amp;'트랜드 분석_15일'!Z$27,'2023년 신조차 고장관리 세부현황'!$S:$S,'트랜드 분석_15일'!$F233,'2023년 신조차 고장관리 세부현황'!$BC:$BC,"완료",'2023년 신조차 고장관리 세부현황'!$CY:$CY,"TCMS")</f>
        <v>0</v>
      </c>
      <c r="AA233"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분석_15일'!$F233,'2023년 신조차 고장관리 세부현황'!$BC:$BC,"완료",'2023년 신조차 고장관리 세부현황'!$CY:$CY,"TCMS")</f>
        <v>0</v>
      </c>
      <c r="AB233" s="85">
        <f ca="1">COUNTIFS('2023년 신조차 고장관리 세부현황'!$K:$K,"448R",'2023년 신조차 고장관리 세부현황'!$P:$P,"&gt;="&amp;'트랜드 분석_15일'!AA$27,'2023년 신조차 고장관리 세부현황'!$P:$P,"&lt;"&amp;'트랜드 분석_15일'!AB$27,'2023년 신조차 고장관리 세부현황'!$S:$S,'트랜드 분석_15일'!$F233,'2023년 신조차 고장관리 세부현황'!$BC:$BC,"완료",'2023년 신조차 고장관리 세부현황'!$CY:$CY,"TCMS")</f>
        <v>0</v>
      </c>
      <c r="AC233" s="85">
        <f ca="1">COUNTIFS('2023년 신조차 고장관리 세부현황'!$K:$K,"448R",'2023년 신조차 고장관리 세부현황'!$P:$P,"&gt;="&amp;'트랜드 분석_15일'!AB$27,'2023년 신조차 고장관리 세부현황'!$P:$P,"&lt;"&amp;'트랜드 분석_15일'!AC$27,'2023년 신조차 고장관리 세부현황'!$S:$S,'트랜드 분석_15일'!$F233,'2023년 신조차 고장관리 세부현황'!$BC:$BC,"완료",'2023년 신조차 고장관리 세부현황'!$CY:$CY,"TCMS")</f>
        <v>0</v>
      </c>
      <c r="AD233"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분석_15일'!$F233,'2023년 신조차 고장관리 세부현황'!$BC:$BC,"완료",'2023년 신조차 고장관리 세부현황'!$CY:$CY,"TCMS")</f>
        <v>0</v>
      </c>
      <c r="AE233" s="85">
        <f ca="1">COUNTIFS('2023년 신조차 고장관리 세부현황'!$K:$K,"448R",'2023년 신조차 고장관리 세부현황'!$P:$P,"&gt;="&amp;'트랜드 분석_15일'!AD$27,'2023년 신조차 고장관리 세부현황'!$P:$P,"&lt;"&amp;'트랜드 분석_15일'!AE$27,'2023년 신조차 고장관리 세부현황'!$S:$S,'트랜드 분석_15일'!$F233,'2023년 신조차 고장관리 세부현황'!$BC:$BC,"완료",'2023년 신조차 고장관리 세부현황'!$CY:$CY,"TCMS")</f>
        <v>0</v>
      </c>
      <c r="AF233" s="85">
        <f ca="1">COUNTIFS('2023년 신조차 고장관리 세부현황'!$K:$K,"448R",'2023년 신조차 고장관리 세부현황'!$P:$P,"&gt;="&amp;'트랜드 분석_15일'!AE$27,'2023년 신조차 고장관리 세부현황'!$P:$P,"&lt;"&amp;'트랜드 분석_15일'!AF$27,'2023년 신조차 고장관리 세부현황'!$S:$S,'트랜드 분석_15일'!$F233,'2023년 신조차 고장관리 세부현황'!$BC:$BC,"완료",'2023년 신조차 고장관리 세부현황'!$CY:$CY,"TCMS")</f>
        <v>0</v>
      </c>
      <c r="AG233"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분석_15일'!$F233,'2023년 신조차 고장관리 세부현황'!$BC:$BC,"완료",'2023년 신조차 고장관리 세부현황'!$CY:$CY,"TCMS")</f>
        <v>0</v>
      </c>
      <c r="AH233"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분석_15일'!$F233,'2023년 신조차 고장관리 세부현황'!$BC:$BC,"완료",'2023년 신조차 고장관리 세부현황'!$CY:$CY,"TCMS")</f>
        <v>0</v>
      </c>
      <c r="AI233"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분석_15일'!$F233,'2023년 신조차 고장관리 세부현황'!$BC:$BC,"완료",'2023년 신조차 고장관리 세부현황'!$CY:$CY,"TCMS")</f>
        <v>0</v>
      </c>
      <c r="AJ233"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분석_15일'!$F233,'2023년 신조차 고장관리 세부현황'!$BC:$BC,"완료",'2023년 신조차 고장관리 세부현황'!$CY:$CY,"TCMS")</f>
        <v>0</v>
      </c>
      <c r="AK233"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분석_15일'!$F233,'2023년 신조차 고장관리 세부현황'!$BC:$BC,"완료",'2023년 신조차 고장관리 세부현황'!$CY:$CY,"TCMS")</f>
        <v>0</v>
      </c>
      <c r="AL233"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분석_15일'!$F233,'2023년 신조차 고장관리 세부현황'!$BC:$BC,"완료",'2023년 신조차 고장관리 세부현황'!$CY:$CY,"TCMS")</f>
        <v>0</v>
      </c>
      <c r="AM233"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분석_15일'!$F233,'2023년 신조차 고장관리 세부현황'!$BC:$BC,"완료",'2023년 신조차 고장관리 세부현황'!$CY:$CY,"TCMS")</f>
        <v>0</v>
      </c>
      <c r="AN233"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분석_15일'!$F233,'2023년 신조차 고장관리 세부현황'!$BC:$BC,"완료",'2023년 신조차 고장관리 세부현황'!$CY:$CY,"TCMS")</f>
        <v>0</v>
      </c>
      <c r="AO233"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분석_15일'!$F233,'2023년 신조차 고장관리 세부현황'!$BC:$BC,"완료",'2023년 신조차 고장관리 세부현황'!$CY:$CY,"TCMS")</f>
        <v>0</v>
      </c>
      <c r="AP233"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분석_15일'!$F233,'2023년 신조차 고장관리 세부현황'!$BC:$BC,"완료",'2023년 신조차 고장관리 세부현황'!$CY:$CY,"TCMS")</f>
        <v>0</v>
      </c>
      <c r="AQ233"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분석_15일'!$F233,'2023년 신조차 고장관리 세부현황'!$BC:$BC,"완료",'2023년 신조차 고장관리 세부현황'!$CY:$CY,"TCMS")</f>
        <v>0</v>
      </c>
      <c r="AR233"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분석_15일'!$F233,'2023년 신조차 고장관리 세부현황'!$BC:$BC,"완료",'2023년 신조차 고장관리 세부현황'!$CY:$CY,"TCMS")</f>
        <v>0</v>
      </c>
      <c r="AS233"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분석_15일'!$F233,'2023년 신조차 고장관리 세부현황'!$BC:$BC,"완료",'2023년 신조차 고장관리 세부현황'!$CY:$CY,"TCMS")</f>
        <v>0</v>
      </c>
      <c r="AT233"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분석_15일'!$F233,'2023년 신조차 고장관리 세부현황'!$BC:$BC,"완료",'2023년 신조차 고장관리 세부현황'!$CY:$CY,"TCMS")</f>
        <v>0</v>
      </c>
      <c r="AU233"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분석_15일'!$F233,'2023년 신조차 고장관리 세부현황'!$BC:$BC,"완료",'2023년 신조차 고장관리 세부현황'!$CY:$CY,"TCMS")</f>
        <v>0</v>
      </c>
      <c r="AV233"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분석_15일'!$F233,'2023년 신조차 고장관리 세부현황'!$BC:$BC,"완료",'2023년 신조차 고장관리 세부현황'!$CY:$CY,"TCMS")</f>
        <v>0</v>
      </c>
      <c r="AW233"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분석_15일'!$F233,'2023년 신조차 고장관리 세부현황'!$BC:$BC,"완료",'2023년 신조차 고장관리 세부현황'!$CY:$CY,"TCMS")</f>
        <v>0</v>
      </c>
      <c r="AX233"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분석_15일'!$F233,'2023년 신조차 고장관리 세부현황'!$BC:$BC,"완료",'2023년 신조차 고장관리 세부현황'!$CY:$CY,"TCMS")</f>
        <v>0</v>
      </c>
      <c r="AY233"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분석_15일'!$F233,'2023년 신조차 고장관리 세부현황'!$BC:$BC,"완료",'2023년 신조차 고장관리 세부현황'!$CY:$CY,"TCMS")</f>
        <v>0</v>
      </c>
      <c r="AZ233"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분석_15일'!$F233,'2023년 신조차 고장관리 세부현황'!$BC:$BC,"완료",'2023년 신조차 고장관리 세부현황'!$CY:$CY,"TCMS")</f>
        <v>0</v>
      </c>
      <c r="BA233"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분석_15일'!$F233,'2023년 신조차 고장관리 세부현황'!$BC:$BC,"완료",'2023년 신조차 고장관리 세부현황'!$CY:$CY,"TCMS")</f>
        <v>0</v>
      </c>
      <c r="BB233"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분석_15일'!$F233,'2023년 신조차 고장관리 세부현황'!$BC:$BC,"완료",'2023년 신조차 고장관리 세부현황'!$CY:$CY,"TCMS")</f>
        <v>0</v>
      </c>
      <c r="BC233"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분석_15일'!$F233,'2023년 신조차 고장관리 세부현황'!$BC:$BC,"완료",'2023년 신조차 고장관리 세부현황'!$CY:$CY,"TCMS")</f>
        <v>0</v>
      </c>
      <c r="BD233"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분석_15일'!$F233,'2023년 신조차 고장관리 세부현황'!$BC:$BC,"완료",'2023년 신조차 고장관리 세부현황'!$CY:$CY,"TCMS")</f>
        <v>0</v>
      </c>
      <c r="BE233"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분석_15일'!$F233,'2023년 신조차 고장관리 세부현황'!$BC:$BC,"완료",'2023년 신조차 고장관리 세부현황'!$CY:$CY,"TCMS")</f>
        <v>0</v>
      </c>
      <c r="BF233"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분석_15일'!$F233,'2023년 신조차 고장관리 세부현황'!$BC:$BC,"완료",'2023년 신조차 고장관리 세부현황'!$CY:$CY,"TCMS")</f>
        <v>0</v>
      </c>
      <c r="BG233"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분석_15일'!$F233,'2023년 신조차 고장관리 세부현황'!$BC:$BC,"완료",'2023년 신조차 고장관리 세부현황'!$CY:$CY,"TCMS")</f>
        <v>0</v>
      </c>
      <c r="BH233"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분석_15일'!$F233,'2023년 신조차 고장관리 세부현황'!$BC:$BC,"완료",'2023년 신조차 고장관리 세부현황'!$CY:$CY,"TCMS")</f>
        <v>0</v>
      </c>
      <c r="BI233"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분석_15일'!$F233,'2023년 신조차 고장관리 세부현황'!$BC:$BC,"완료",'2023년 신조차 고장관리 세부현황'!$CY:$CY,"TCMS")</f>
        <v>0</v>
      </c>
      <c r="BJ233"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분석_15일'!$F233,'2023년 신조차 고장관리 세부현황'!$BC:$BC,"완료",'2023년 신조차 고장관리 세부현황'!$CY:$CY,"TCMS")</f>
        <v>0</v>
      </c>
      <c r="BK233"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분석_15일'!$F233,'2023년 신조차 고장관리 세부현황'!$BC:$BC,"완료",'2023년 신조차 고장관리 세부현황'!$CY:$CY,"TCMS")</f>
        <v>0</v>
      </c>
      <c r="BL233"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분석_15일'!$F233,'2023년 신조차 고장관리 세부현황'!$BC:$BC,"완료",'2023년 신조차 고장관리 세부현황'!$CY:$CY,"TCMS")</f>
        <v>0</v>
      </c>
      <c r="BM233"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분석_15일'!$F233,'2023년 신조차 고장관리 세부현황'!$BC:$BC,"완료",'2023년 신조차 고장관리 세부현황'!$CY:$CY,"TCMS")</f>
        <v>0</v>
      </c>
      <c r="BN233"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분석_15일'!$F233,'2023년 신조차 고장관리 세부현황'!$BC:$BC,"완료",'2023년 신조차 고장관리 세부현황'!$CY:$CY,"TCMS")</f>
        <v>0</v>
      </c>
      <c r="BO233"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분석_15일'!$F233,'2023년 신조차 고장관리 세부현황'!$BC:$BC,"완료",'2023년 신조차 고장관리 세부현황'!$CY:$CY,"TCMS")</f>
        <v>0</v>
      </c>
      <c r="BP233"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분석_15일'!$F233,'2023년 신조차 고장관리 세부현황'!$BC:$BC,"완료",'2023년 신조차 고장관리 세부현황'!$CY:$CY,"TCMS")</f>
        <v>0</v>
      </c>
      <c r="BQ233"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분석_15일'!$F233,'2023년 신조차 고장관리 세부현황'!$BC:$BC,"완료",'2023년 신조차 고장관리 세부현황'!$CY:$CY,"TCMS")</f>
        <v>0</v>
      </c>
      <c r="BR233"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분석_15일'!$F233,'2023년 신조차 고장관리 세부현황'!$BC:$BC,"완료",'2023년 신조차 고장관리 세부현황'!$CY:$CY,"TCMS")</f>
        <v>0</v>
      </c>
      <c r="BS233"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분석_15일'!$F233,'2023년 신조차 고장관리 세부현황'!$BC:$BC,"완료",'2023년 신조차 고장관리 세부현황'!$CY:$CY,"TCMS")</f>
        <v>0</v>
      </c>
      <c r="BT233"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분석_15일'!$F233,'2023년 신조차 고장관리 세부현황'!$BC:$BC,"완료",'2023년 신조차 고장관리 세부현황'!$CY:$CY,"TCMS")</f>
        <v>0</v>
      </c>
      <c r="BU233"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분석_15일'!$F233,'2023년 신조차 고장관리 세부현황'!$BC:$BC,"완료",'2023년 신조차 고장관리 세부현황'!$CY:$CY,"TCMS")</f>
        <v>0</v>
      </c>
      <c r="BV233"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분석_15일'!$F233,'2023년 신조차 고장관리 세부현황'!$BC:$BC,"완료",'2023년 신조차 고장관리 세부현황'!$CY:$CY,"TCMS")</f>
        <v>0</v>
      </c>
      <c r="BW233"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분석_15일'!$F233,'2023년 신조차 고장관리 세부현황'!$BC:$BC,"완료",'2023년 신조차 고장관리 세부현황'!$CY:$CY,"TCMS")</f>
        <v>0</v>
      </c>
      <c r="BX233"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분석_15일'!$F233,'2023년 신조차 고장관리 세부현황'!$BC:$BC,"완료",'2023년 신조차 고장관리 세부현황'!$CY:$CY,"TCMS")</f>
        <v>0</v>
      </c>
      <c r="BY233"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분석_15일'!$F233,'2023년 신조차 고장관리 세부현황'!$BC:$BC,"완료",'2023년 신조차 고장관리 세부현황'!$CY:$CY,"TCMS")</f>
        <v>0</v>
      </c>
      <c r="BZ233"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분석_15일'!$F233,'2023년 신조차 고장관리 세부현황'!$BC:$BC,"완료",'2023년 신조차 고장관리 세부현황'!$CY:$CY,"TCMS")</f>
        <v>0</v>
      </c>
      <c r="CA233"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분석_15일'!$F233,'2023년 신조차 고장관리 세부현황'!$BC:$BC,"완료",'2023년 신조차 고장관리 세부현황'!$CY:$CY,"TCMS")</f>
        <v>0</v>
      </c>
      <c r="CB233"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분석_15일'!$F233,'2023년 신조차 고장관리 세부현황'!$BC:$BC,"완료",'2023년 신조차 고장관리 세부현황'!$CY:$CY,"TCMS")</f>
        <v>0</v>
      </c>
      <c r="CC233"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분석_15일'!$F233,'2023년 신조차 고장관리 세부현황'!$BC:$BC,"완료",'2023년 신조차 고장관리 세부현황'!$CY:$CY,"TCMS")</f>
        <v>0</v>
      </c>
      <c r="CD233"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분석_15일'!$F233,'2023년 신조차 고장관리 세부현황'!$BC:$BC,"완료",'2023년 신조차 고장관리 세부현황'!$CY:$CY,"TCMS")</f>
        <v>0</v>
      </c>
      <c r="CE233"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분석_15일'!$F233,'2023년 신조차 고장관리 세부현황'!$BC:$BC,"완료",'2023년 신조차 고장관리 세부현황'!$CY:$CY,"TCMS")</f>
        <v>0</v>
      </c>
      <c r="CF233"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분석_15일'!$F233,'2023년 신조차 고장관리 세부현황'!$BC:$BC,"완료",'2023년 신조차 고장관리 세부현황'!$CY:$CY,"TCMS")</f>
        <v>0</v>
      </c>
      <c r="CG233"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분석_15일'!$F233,'2023년 신조차 고장관리 세부현황'!$BC:$BC,"완료",'2023년 신조차 고장관리 세부현황'!$CY:$CY,"TCMS")</f>
        <v>0</v>
      </c>
      <c r="CH233"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분석_15일'!$F233,'2023년 신조차 고장관리 세부현황'!$BC:$BC,"완료",'2023년 신조차 고장관리 세부현황'!$CY:$CY,"TCMS")</f>
        <v>0</v>
      </c>
      <c r="CI233"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분석_15일'!$F233,'2023년 신조차 고장관리 세부현황'!$BC:$BC,"완료",'2023년 신조차 고장관리 세부현황'!$CY:$CY,"TCMS")</f>
        <v>0</v>
      </c>
      <c r="CJ233"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분석_15일'!$F233,'2023년 신조차 고장관리 세부현황'!$BC:$BC,"완료",'2023년 신조차 고장관리 세부현황'!$CY:$CY,"TCMS")</f>
        <v>0</v>
      </c>
      <c r="CK233"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분석_15일'!$F233,'2023년 신조차 고장관리 세부현황'!$BC:$BC,"완료",'2023년 신조차 고장관리 세부현황'!$CY:$CY,"TCMS")</f>
        <v>0</v>
      </c>
      <c r="CL233"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분석_15일'!$F233,'2023년 신조차 고장관리 세부현황'!$BC:$BC,"완료",'2023년 신조차 고장관리 세부현황'!$CY:$CY,"TCMS")</f>
        <v>0</v>
      </c>
      <c r="CM233"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분석_15일'!$F233,'2023년 신조차 고장관리 세부현황'!$BC:$BC,"완료",'2023년 신조차 고장관리 세부현황'!$CY:$CY,"TCMS")</f>
        <v>0</v>
      </c>
      <c r="CN233"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분석_15일'!$F233,'2023년 신조차 고장관리 세부현황'!$BC:$BC,"완료",'2023년 신조차 고장관리 세부현황'!$CY:$CY,"TCMS")</f>
        <v>0</v>
      </c>
      <c r="CO233"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분석_15일'!$F233,'2023년 신조차 고장관리 세부현황'!$BC:$BC,"완료",'2023년 신조차 고장관리 세부현황'!$CY:$CY,"TCMS")</f>
        <v>0</v>
      </c>
      <c r="CP233"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분석_15일'!$F233,'2023년 신조차 고장관리 세부현황'!$BC:$BC,"완료",'2023년 신조차 고장관리 세부현황'!$CY:$CY,"TCMS")</f>
        <v>0</v>
      </c>
      <c r="CQ233"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분석_15일'!$F233,'2023년 신조차 고장관리 세부현황'!$BC:$BC,"완료",'2023년 신조차 고장관리 세부현황'!$CY:$CY,"TCMS")</f>
        <v>0</v>
      </c>
      <c r="CR233"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분석_15일'!$F233,'2023년 신조차 고장관리 세부현황'!$BC:$BC,"완료",'2023년 신조차 고장관리 세부현황'!$CY:$CY,"TCMS")</f>
        <v>0</v>
      </c>
      <c r="CS233"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분석_15일'!$F233,'2023년 신조차 고장관리 세부현황'!$BC:$BC,"완료",'2023년 신조차 고장관리 세부현황'!$CY:$CY,"TCMS")</f>
        <v>0</v>
      </c>
      <c r="CT233"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분석_15일'!$F233,'2023년 신조차 고장관리 세부현황'!$BC:$BC,"완료",'2023년 신조차 고장관리 세부현황'!$CY:$CY,"TCMS")</f>
        <v>0</v>
      </c>
      <c r="CU233"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분석_15일'!$F233,'2023년 신조차 고장관리 세부현황'!$BC:$BC,"완료",'2023년 신조차 고장관리 세부현황'!$CY:$CY,"TCMS")</f>
        <v>0</v>
      </c>
      <c r="CV233"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분석_15일'!$F233,'2023년 신조차 고장관리 세부현황'!$BC:$BC,"완료",'2023년 신조차 고장관리 세부현황'!$CY:$CY,"TCMS")</f>
        <v>0</v>
      </c>
      <c r="CW233"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분석_15일'!$F233,'2023년 신조차 고장관리 세부현황'!$BC:$BC,"완료",'2023년 신조차 고장관리 세부현황'!$CY:$CY,"TCMS")</f>
        <v>0</v>
      </c>
      <c r="CX233">
        <f ca="1">SUM(G233:CW233)</f>
        <v>0</v>
      </c>
    </row>
    <row r="234" spans="6:102" x14ac:dyDescent="0.4">
      <c r="F234" s="85" t="s">
        <v>243</v>
      </c>
      <c r="G234" s="85">
        <f>G232+G233</f>
        <v>0</v>
      </c>
      <c r="H234" s="85">
        <f t="shared" ref="H234" si="302">H232+H233</f>
        <v>0</v>
      </c>
      <c r="I234" s="85">
        <f t="shared" ref="I234:BT234" si="303">I232+I233</f>
        <v>0</v>
      </c>
      <c r="J234" s="85">
        <f t="shared" si="303"/>
        <v>0</v>
      </c>
      <c r="K234" s="85">
        <f t="shared" si="303"/>
        <v>0</v>
      </c>
      <c r="L234" s="85">
        <f t="shared" si="303"/>
        <v>0</v>
      </c>
      <c r="M234" s="85">
        <f t="shared" si="303"/>
        <v>0</v>
      </c>
      <c r="N234" s="85">
        <f t="shared" si="303"/>
        <v>0</v>
      </c>
      <c r="O234" s="85">
        <f t="shared" si="303"/>
        <v>0</v>
      </c>
      <c r="P234" s="85">
        <f t="shared" ca="1" si="303"/>
        <v>0</v>
      </c>
      <c r="Q234" s="85">
        <f t="shared" si="303"/>
        <v>0</v>
      </c>
      <c r="R234" s="85">
        <f t="shared" ca="1" si="303"/>
        <v>0</v>
      </c>
      <c r="S234" s="85">
        <f t="shared" ca="1" si="303"/>
        <v>0</v>
      </c>
      <c r="T234" s="85">
        <f t="shared" si="303"/>
        <v>0</v>
      </c>
      <c r="U234" s="85">
        <f t="shared" si="303"/>
        <v>0</v>
      </c>
      <c r="V234" s="85">
        <f t="shared" si="303"/>
        <v>0</v>
      </c>
      <c r="W234" s="85">
        <f t="shared" ca="1" si="303"/>
        <v>0</v>
      </c>
      <c r="X234" s="85">
        <f t="shared" si="303"/>
        <v>0</v>
      </c>
      <c r="Y234" s="85">
        <f t="shared" ca="1" si="303"/>
        <v>0</v>
      </c>
      <c r="Z234" s="85">
        <f t="shared" ca="1" si="303"/>
        <v>0</v>
      </c>
      <c r="AA234" s="85">
        <f t="shared" si="303"/>
        <v>0</v>
      </c>
      <c r="AB234" s="85">
        <f t="shared" ca="1" si="303"/>
        <v>0</v>
      </c>
      <c r="AC234" s="85">
        <f t="shared" ca="1" si="303"/>
        <v>0</v>
      </c>
      <c r="AD234" s="85">
        <f t="shared" si="303"/>
        <v>0</v>
      </c>
      <c r="AE234" s="85">
        <f t="shared" ca="1" si="303"/>
        <v>0</v>
      </c>
      <c r="AF234" s="85">
        <f t="shared" ca="1" si="303"/>
        <v>0</v>
      </c>
      <c r="AG234" s="85">
        <f t="shared" si="303"/>
        <v>0</v>
      </c>
      <c r="AH234" s="85">
        <f t="shared" si="303"/>
        <v>0</v>
      </c>
      <c r="AI234" s="85">
        <f t="shared" si="303"/>
        <v>0</v>
      </c>
      <c r="AJ234" s="85">
        <f t="shared" si="303"/>
        <v>0</v>
      </c>
      <c r="AK234" s="85">
        <f t="shared" si="303"/>
        <v>0</v>
      </c>
      <c r="AL234" s="85">
        <f t="shared" si="303"/>
        <v>0</v>
      </c>
      <c r="AM234" s="85">
        <f t="shared" si="303"/>
        <v>0</v>
      </c>
      <c r="AN234" s="85">
        <f t="shared" si="303"/>
        <v>0</v>
      </c>
      <c r="AO234" s="85">
        <f t="shared" si="303"/>
        <v>0</v>
      </c>
      <c r="AP234" s="85">
        <f t="shared" si="303"/>
        <v>0</v>
      </c>
      <c r="AQ234" s="85">
        <f t="shared" si="303"/>
        <v>0</v>
      </c>
      <c r="AR234" s="85">
        <f t="shared" si="303"/>
        <v>0</v>
      </c>
      <c r="AS234" s="85">
        <f t="shared" si="303"/>
        <v>0</v>
      </c>
      <c r="AT234" s="85">
        <f t="shared" si="303"/>
        <v>0</v>
      </c>
      <c r="AU234" s="85">
        <f t="shared" si="303"/>
        <v>0</v>
      </c>
      <c r="AV234" s="85">
        <f t="shared" si="303"/>
        <v>0</v>
      </c>
      <c r="AW234" s="85">
        <f t="shared" si="303"/>
        <v>0</v>
      </c>
      <c r="AX234" s="85">
        <f t="shared" si="303"/>
        <v>0</v>
      </c>
      <c r="AY234" s="85">
        <f t="shared" si="303"/>
        <v>0</v>
      </c>
      <c r="AZ234" s="85">
        <f t="shared" si="303"/>
        <v>0</v>
      </c>
      <c r="BA234" s="85">
        <f t="shared" si="303"/>
        <v>0</v>
      </c>
      <c r="BB234" s="85">
        <f t="shared" si="303"/>
        <v>0</v>
      </c>
      <c r="BC234" s="85">
        <f t="shared" si="303"/>
        <v>0</v>
      </c>
      <c r="BD234" s="85">
        <f t="shared" si="303"/>
        <v>0</v>
      </c>
      <c r="BE234" s="85">
        <f t="shared" si="303"/>
        <v>0</v>
      </c>
      <c r="BF234" s="85">
        <f t="shared" si="303"/>
        <v>0</v>
      </c>
      <c r="BG234" s="85">
        <f t="shared" si="303"/>
        <v>0</v>
      </c>
      <c r="BH234" s="85">
        <f t="shared" si="303"/>
        <v>0</v>
      </c>
      <c r="BI234" s="85">
        <f t="shared" si="303"/>
        <v>0</v>
      </c>
      <c r="BJ234" s="85">
        <f t="shared" si="303"/>
        <v>0</v>
      </c>
      <c r="BK234" s="85">
        <f t="shared" si="303"/>
        <v>0</v>
      </c>
      <c r="BL234" s="85">
        <f t="shared" si="303"/>
        <v>0</v>
      </c>
      <c r="BM234" s="85">
        <f t="shared" si="303"/>
        <v>0</v>
      </c>
      <c r="BN234" s="85">
        <f t="shared" si="303"/>
        <v>0</v>
      </c>
      <c r="BO234" s="85">
        <f t="shared" si="303"/>
        <v>0</v>
      </c>
      <c r="BP234" s="85">
        <f t="shared" si="303"/>
        <v>0</v>
      </c>
      <c r="BQ234" s="85">
        <f t="shared" si="303"/>
        <v>0</v>
      </c>
      <c r="BR234" s="85">
        <f t="shared" si="303"/>
        <v>0</v>
      </c>
      <c r="BS234" s="85">
        <f t="shared" si="303"/>
        <v>0</v>
      </c>
      <c r="BT234" s="85">
        <f t="shared" si="303"/>
        <v>0</v>
      </c>
      <c r="BU234" s="85">
        <f t="shared" ref="BU234:CH234" si="304">BU232+BU233</f>
        <v>0</v>
      </c>
      <c r="BV234" s="85">
        <f t="shared" si="304"/>
        <v>0</v>
      </c>
      <c r="BW234" s="85">
        <f t="shared" si="304"/>
        <v>0</v>
      </c>
      <c r="BX234" s="85">
        <f t="shared" si="304"/>
        <v>0</v>
      </c>
      <c r="BY234" s="85">
        <f t="shared" si="304"/>
        <v>0</v>
      </c>
      <c r="BZ234" s="85">
        <f t="shared" si="304"/>
        <v>0</v>
      </c>
      <c r="CA234" s="85">
        <f t="shared" si="304"/>
        <v>0</v>
      </c>
      <c r="CB234" s="85">
        <f t="shared" si="304"/>
        <v>0</v>
      </c>
      <c r="CC234" s="85">
        <f t="shared" si="304"/>
        <v>0</v>
      </c>
      <c r="CD234" s="85">
        <f t="shared" si="304"/>
        <v>0</v>
      </c>
      <c r="CE234" s="85">
        <f t="shared" si="304"/>
        <v>0</v>
      </c>
      <c r="CF234" s="85">
        <f t="shared" si="304"/>
        <v>0</v>
      </c>
      <c r="CG234" s="85">
        <f t="shared" si="304"/>
        <v>0</v>
      </c>
      <c r="CH234" s="85">
        <f t="shared" si="304"/>
        <v>0</v>
      </c>
      <c r="CI234" s="85">
        <f t="shared" ref="CI234:CO234" si="305">CI232+CI233</f>
        <v>0</v>
      </c>
      <c r="CJ234" s="85">
        <f t="shared" si="305"/>
        <v>0</v>
      </c>
      <c r="CK234" s="85">
        <f t="shared" si="305"/>
        <v>0</v>
      </c>
      <c r="CL234" s="85">
        <f t="shared" si="305"/>
        <v>0</v>
      </c>
      <c r="CM234" s="85">
        <f t="shared" si="305"/>
        <v>0</v>
      </c>
      <c r="CN234" s="85">
        <f t="shared" si="305"/>
        <v>0</v>
      </c>
      <c r="CO234" s="85">
        <f t="shared" si="305"/>
        <v>0</v>
      </c>
      <c r="CP234" s="85">
        <f t="shared" ref="CP234:CW234" si="306">CP232+CP233</f>
        <v>0</v>
      </c>
      <c r="CQ234" s="85">
        <f t="shared" si="306"/>
        <v>0</v>
      </c>
      <c r="CR234" s="85">
        <f t="shared" si="306"/>
        <v>0</v>
      </c>
      <c r="CS234" s="85">
        <f t="shared" si="306"/>
        <v>0</v>
      </c>
      <c r="CT234" s="85">
        <f t="shared" si="306"/>
        <v>0</v>
      </c>
      <c r="CU234" s="85">
        <f t="shared" si="306"/>
        <v>0</v>
      </c>
      <c r="CV234" s="85">
        <f t="shared" si="306"/>
        <v>0</v>
      </c>
      <c r="CW234" s="85">
        <f t="shared" si="306"/>
        <v>0</v>
      </c>
      <c r="CX234">
        <f ca="1">SUM(G234:CW234)</f>
        <v>0</v>
      </c>
    </row>
    <row r="235" spans="6:102" x14ac:dyDescent="0.4">
      <c r="F235" s="86" t="s">
        <v>222</v>
      </c>
      <c r="G235" s="85">
        <f>COUNTIFS('2023년 신조차 고장관리 세부현황'!$K:$K,"448R",'2023년 신조차 고장관리 세부현황'!$P:$P,"&gt;="&amp;$G$26,'2023년 신조차 고장관리 세부현황'!$P:$P,"&lt;"&amp;'트랜드 분석_15일'!G$27,'2023년 신조차 고장관리 세부현황'!$S:$S,'트랜드 분석_15일'!$F235,'2023년 신조차 고장관리 세부현황'!$BC:$BC,"완료",'2023년 신조차 고장관리 세부현황'!$CY:$CY,"TCMS")</f>
        <v>0</v>
      </c>
      <c r="H235"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분석_15일'!$F235,'2023년 신조차 고장관리 세부현황'!$BC:$BC,"완료",'2023년 신조차 고장관리 세부현황'!$CY:$CY,"TCMS")</f>
        <v>0</v>
      </c>
      <c r="I235"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분석_15일'!$F235,'2023년 신조차 고장관리 세부현황'!$BC:$BC,"완료",'2023년 신조차 고장관리 세부현황'!$CY:$CY,"TCMS")</f>
        <v>0</v>
      </c>
      <c r="J235"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분석_15일'!$F235,'2023년 신조차 고장관리 세부현황'!$BC:$BC,"완료",'2023년 신조차 고장관리 세부현황'!$CY:$CY,"TCMS")</f>
        <v>0</v>
      </c>
      <c r="K235"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분석_15일'!$F235,'2023년 신조차 고장관리 세부현황'!$BC:$BC,"완료",'2023년 신조차 고장관리 세부현황'!$CY:$CY,"TCMS")</f>
        <v>0</v>
      </c>
      <c r="L235"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분석_15일'!$F235,'2023년 신조차 고장관리 세부현황'!$BC:$BC,"완료",'2023년 신조차 고장관리 세부현황'!$CY:$CY,"TCMS")</f>
        <v>0</v>
      </c>
      <c r="M235"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분석_15일'!$F235,'2023년 신조차 고장관리 세부현황'!$BC:$BC,"완료",'2023년 신조차 고장관리 세부현황'!$CY:$CY,"TCMS")</f>
        <v>0</v>
      </c>
      <c r="N235"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분석_15일'!$F235,'2023년 신조차 고장관리 세부현황'!$BC:$BC,"완료",'2023년 신조차 고장관리 세부현황'!$CY:$CY,"TCMS")</f>
        <v>0</v>
      </c>
      <c r="O235"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분석_15일'!$F235,'2023년 신조차 고장관리 세부현황'!$BC:$BC,"완료",'2023년 신조차 고장관리 세부현황'!$CY:$CY,"TCMS")</f>
        <v>0</v>
      </c>
      <c r="P235"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분석_15일'!$F235,'2023년 신조차 고장관리 세부현황'!$BC:$BC,"완료",'2023년 신조차 고장관리 세부현황'!$CY:$CY,"TCMS")</f>
        <v>0</v>
      </c>
      <c r="Q235"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분석_15일'!$F235,'2023년 신조차 고장관리 세부현황'!$BC:$BC,"완료",'2023년 신조차 고장관리 세부현황'!$CY:$CY,"TCMS")</f>
        <v>0</v>
      </c>
      <c r="R235"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분석_15일'!$F235,'2023년 신조차 고장관리 세부현황'!$BC:$BC,"완료",'2023년 신조차 고장관리 세부현황'!$CY:$CY,"TCMS")</f>
        <v>0</v>
      </c>
      <c r="S235"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분석_15일'!$F235,'2023년 신조차 고장관리 세부현황'!$BC:$BC,"완료",'2023년 신조차 고장관리 세부현황'!$CY:$CY,"TCMS")</f>
        <v>0</v>
      </c>
      <c r="T235"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분석_15일'!$F235,'2023년 신조차 고장관리 세부현황'!$BC:$BC,"완료",'2023년 신조차 고장관리 세부현황'!$CY:$CY,"TCMS")</f>
        <v>0</v>
      </c>
      <c r="U235"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분석_15일'!$F235,'2023년 신조차 고장관리 세부현황'!$BC:$BC,"완료",'2023년 신조차 고장관리 세부현황'!$CY:$CY,"TCMS")</f>
        <v>0</v>
      </c>
      <c r="V235"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분석_15일'!$F235,'2023년 신조차 고장관리 세부현황'!$BC:$BC,"완료",'2023년 신조차 고장관리 세부현황'!$CY:$CY,"TCMS")</f>
        <v>0</v>
      </c>
      <c r="W235"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분석_15일'!$F235,'2023년 신조차 고장관리 세부현황'!$BC:$BC,"완료",'2023년 신조차 고장관리 세부현황'!$CY:$CY,"TCMS")</f>
        <v>0</v>
      </c>
      <c r="X235"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분석_15일'!$F235,'2023년 신조차 고장관리 세부현황'!$BC:$BC,"완료",'2023년 신조차 고장관리 세부현황'!$CY:$CY,"TCMS")</f>
        <v>0</v>
      </c>
      <c r="Y235"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분석_15일'!$F235,'2023년 신조차 고장관리 세부현황'!$BC:$BC,"완료",'2023년 신조차 고장관리 세부현황'!$CY:$CY,"TCMS")</f>
        <v>0</v>
      </c>
      <c r="Z235"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분석_15일'!$F235,'2023년 신조차 고장관리 세부현황'!$BC:$BC,"완료",'2023년 신조차 고장관리 세부현황'!$CY:$CY,"TCMS")</f>
        <v>0</v>
      </c>
      <c r="AA235"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분석_15일'!$F235,'2023년 신조차 고장관리 세부현황'!$BC:$BC,"완료",'2023년 신조차 고장관리 세부현황'!$CY:$CY,"TCMS")</f>
        <v>0</v>
      </c>
      <c r="AB235"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분석_15일'!$F235,'2023년 신조차 고장관리 세부현황'!$BC:$BC,"완료",'2023년 신조차 고장관리 세부현황'!$CY:$CY,"TCMS")</f>
        <v>0</v>
      </c>
      <c r="AC235"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분석_15일'!$F235,'2023년 신조차 고장관리 세부현황'!$BC:$BC,"완료",'2023년 신조차 고장관리 세부현황'!$CY:$CY,"TCMS")</f>
        <v>0</v>
      </c>
      <c r="AD235"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분석_15일'!$F235,'2023년 신조차 고장관리 세부현황'!$BC:$BC,"완료",'2023년 신조차 고장관리 세부현황'!$CY:$CY,"TCMS")</f>
        <v>0</v>
      </c>
      <c r="AE235"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분석_15일'!$F235,'2023년 신조차 고장관리 세부현황'!$BC:$BC,"완료",'2023년 신조차 고장관리 세부현황'!$CY:$CY,"TCMS")</f>
        <v>0</v>
      </c>
      <c r="AF235"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분석_15일'!$F235,'2023년 신조차 고장관리 세부현황'!$BC:$BC,"완료",'2023년 신조차 고장관리 세부현황'!$CY:$CY,"TCMS")</f>
        <v>0</v>
      </c>
      <c r="AG235"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분석_15일'!$F235,'2023년 신조차 고장관리 세부현황'!$BC:$BC,"완료",'2023년 신조차 고장관리 세부현황'!$CY:$CY,"TCMS")</f>
        <v>0</v>
      </c>
      <c r="AH235"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분석_15일'!$F235,'2023년 신조차 고장관리 세부현황'!$BC:$BC,"완료",'2023년 신조차 고장관리 세부현황'!$CY:$CY,"TCMS")</f>
        <v>0</v>
      </c>
      <c r="AI235"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분석_15일'!$F235,'2023년 신조차 고장관리 세부현황'!$BC:$BC,"완료",'2023년 신조차 고장관리 세부현황'!$CY:$CY,"TCMS")</f>
        <v>0</v>
      </c>
      <c r="AJ235"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분석_15일'!$F235,'2023년 신조차 고장관리 세부현황'!$BC:$BC,"완료",'2023년 신조차 고장관리 세부현황'!$CY:$CY,"TCMS")</f>
        <v>0</v>
      </c>
      <c r="AK235"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분석_15일'!$F235,'2023년 신조차 고장관리 세부현황'!$BC:$BC,"완료",'2023년 신조차 고장관리 세부현황'!$CY:$CY,"TCMS")</f>
        <v>0</v>
      </c>
      <c r="AL235"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분석_15일'!$F235,'2023년 신조차 고장관리 세부현황'!$BC:$BC,"완료",'2023년 신조차 고장관리 세부현황'!$CY:$CY,"TCMS")</f>
        <v>0</v>
      </c>
      <c r="AM235"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분석_15일'!$F235,'2023년 신조차 고장관리 세부현황'!$BC:$BC,"완료",'2023년 신조차 고장관리 세부현황'!$CY:$CY,"TCMS")</f>
        <v>0</v>
      </c>
      <c r="AN235"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분석_15일'!$F235,'2023년 신조차 고장관리 세부현황'!$BC:$BC,"완료",'2023년 신조차 고장관리 세부현황'!$CY:$CY,"TCMS")</f>
        <v>0</v>
      </c>
      <c r="AO235"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분석_15일'!$F235,'2023년 신조차 고장관리 세부현황'!$BC:$BC,"완료",'2023년 신조차 고장관리 세부현황'!$CY:$CY,"TCMS")</f>
        <v>0</v>
      </c>
      <c r="AP235"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분석_15일'!$F235,'2023년 신조차 고장관리 세부현황'!$BC:$BC,"완료",'2023년 신조차 고장관리 세부현황'!$CY:$CY,"TCMS")</f>
        <v>0</v>
      </c>
      <c r="AQ235"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분석_15일'!$F235,'2023년 신조차 고장관리 세부현황'!$BC:$BC,"완료",'2023년 신조차 고장관리 세부현황'!$CY:$CY,"TCMS")</f>
        <v>0</v>
      </c>
      <c r="AR235"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분석_15일'!$F235,'2023년 신조차 고장관리 세부현황'!$BC:$BC,"완료",'2023년 신조차 고장관리 세부현황'!$CY:$CY,"TCMS")</f>
        <v>0</v>
      </c>
      <c r="AS235"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분석_15일'!$F235,'2023년 신조차 고장관리 세부현황'!$BC:$BC,"완료",'2023년 신조차 고장관리 세부현황'!$CY:$CY,"TCMS")</f>
        <v>0</v>
      </c>
      <c r="AT235"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분석_15일'!$F235,'2023년 신조차 고장관리 세부현황'!$BC:$BC,"완료",'2023년 신조차 고장관리 세부현황'!$CY:$CY,"TCMS")</f>
        <v>0</v>
      </c>
      <c r="AU235"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분석_15일'!$F235,'2023년 신조차 고장관리 세부현황'!$BC:$BC,"완료",'2023년 신조차 고장관리 세부현황'!$CY:$CY,"TCMS")</f>
        <v>0</v>
      </c>
      <c r="AV235"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분석_15일'!$F235,'2023년 신조차 고장관리 세부현황'!$BC:$BC,"완료",'2023년 신조차 고장관리 세부현황'!$CY:$CY,"TCMS")</f>
        <v>0</v>
      </c>
      <c r="AW235"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분석_15일'!$F235,'2023년 신조차 고장관리 세부현황'!$BC:$BC,"완료",'2023년 신조차 고장관리 세부현황'!$CY:$CY,"TCMS")</f>
        <v>0</v>
      </c>
      <c r="AX235"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분석_15일'!$F235,'2023년 신조차 고장관리 세부현황'!$BC:$BC,"완료",'2023년 신조차 고장관리 세부현황'!$CY:$CY,"TCMS")</f>
        <v>0</v>
      </c>
      <c r="AY235"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분석_15일'!$F235,'2023년 신조차 고장관리 세부현황'!$BC:$BC,"완료",'2023년 신조차 고장관리 세부현황'!$CY:$CY,"TCMS")</f>
        <v>0</v>
      </c>
      <c r="AZ235"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분석_15일'!$F235,'2023년 신조차 고장관리 세부현황'!$BC:$BC,"완료",'2023년 신조차 고장관리 세부현황'!$CY:$CY,"TCMS")</f>
        <v>0</v>
      </c>
      <c r="BA235"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분석_15일'!$F235,'2023년 신조차 고장관리 세부현황'!$BC:$BC,"완료",'2023년 신조차 고장관리 세부현황'!$CY:$CY,"TCMS")</f>
        <v>0</v>
      </c>
      <c r="BB235"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분석_15일'!$F235,'2023년 신조차 고장관리 세부현황'!$BC:$BC,"완료",'2023년 신조차 고장관리 세부현황'!$CY:$CY,"TCMS")</f>
        <v>0</v>
      </c>
      <c r="BC235"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분석_15일'!$F235,'2023년 신조차 고장관리 세부현황'!$BC:$BC,"완료",'2023년 신조차 고장관리 세부현황'!$CY:$CY,"TCMS")</f>
        <v>0</v>
      </c>
      <c r="BD235"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분석_15일'!$F235,'2023년 신조차 고장관리 세부현황'!$BC:$BC,"완료",'2023년 신조차 고장관리 세부현황'!$CY:$CY,"TCMS")</f>
        <v>0</v>
      </c>
      <c r="BE235"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분석_15일'!$F235,'2023년 신조차 고장관리 세부현황'!$BC:$BC,"완료",'2023년 신조차 고장관리 세부현황'!$CY:$CY,"TCMS")</f>
        <v>0</v>
      </c>
      <c r="BF235"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분석_15일'!$F235,'2023년 신조차 고장관리 세부현황'!$BC:$BC,"완료",'2023년 신조차 고장관리 세부현황'!$CY:$CY,"TCMS")</f>
        <v>0</v>
      </c>
      <c r="BG235"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분석_15일'!$F235,'2023년 신조차 고장관리 세부현황'!$BC:$BC,"완료",'2023년 신조차 고장관리 세부현황'!$CY:$CY,"TCMS")</f>
        <v>0</v>
      </c>
      <c r="BH235"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분석_15일'!$F235,'2023년 신조차 고장관리 세부현황'!$BC:$BC,"완료",'2023년 신조차 고장관리 세부현황'!$CY:$CY,"TCMS")</f>
        <v>0</v>
      </c>
      <c r="BI235"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분석_15일'!$F235,'2023년 신조차 고장관리 세부현황'!$BC:$BC,"완료",'2023년 신조차 고장관리 세부현황'!$CY:$CY,"TCMS")</f>
        <v>0</v>
      </c>
      <c r="BJ235"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분석_15일'!$F235,'2023년 신조차 고장관리 세부현황'!$BC:$BC,"완료",'2023년 신조차 고장관리 세부현황'!$CY:$CY,"TCMS")</f>
        <v>0</v>
      </c>
      <c r="BK235"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분석_15일'!$F235,'2023년 신조차 고장관리 세부현황'!$BC:$BC,"완료",'2023년 신조차 고장관리 세부현황'!$CY:$CY,"TCMS")</f>
        <v>0</v>
      </c>
      <c r="BL235"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분석_15일'!$F235,'2023년 신조차 고장관리 세부현황'!$BC:$BC,"완료",'2023년 신조차 고장관리 세부현황'!$CY:$CY,"TCMS")</f>
        <v>0</v>
      </c>
      <c r="BM235"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분석_15일'!$F235,'2023년 신조차 고장관리 세부현황'!$BC:$BC,"완료",'2023년 신조차 고장관리 세부현황'!$CY:$CY,"TCMS")</f>
        <v>0</v>
      </c>
      <c r="BN235"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분석_15일'!$F235,'2023년 신조차 고장관리 세부현황'!$BC:$BC,"완료",'2023년 신조차 고장관리 세부현황'!$CY:$CY,"TCMS")</f>
        <v>0</v>
      </c>
      <c r="BO235"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분석_15일'!$F235,'2023년 신조차 고장관리 세부현황'!$BC:$BC,"완료",'2023년 신조차 고장관리 세부현황'!$CY:$CY,"TCMS")</f>
        <v>0</v>
      </c>
      <c r="BP235"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분석_15일'!$F235,'2023년 신조차 고장관리 세부현황'!$BC:$BC,"완료",'2023년 신조차 고장관리 세부현황'!$CY:$CY,"TCMS")</f>
        <v>0</v>
      </c>
      <c r="BQ235"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분석_15일'!$F235,'2023년 신조차 고장관리 세부현황'!$BC:$BC,"완료",'2023년 신조차 고장관리 세부현황'!$CY:$CY,"TCMS")</f>
        <v>0</v>
      </c>
      <c r="BR235"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분석_15일'!$F235,'2023년 신조차 고장관리 세부현황'!$BC:$BC,"완료",'2023년 신조차 고장관리 세부현황'!$CY:$CY,"TCMS")</f>
        <v>0</v>
      </c>
      <c r="BS235"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분석_15일'!$F235,'2023년 신조차 고장관리 세부현황'!$BC:$BC,"완료",'2023년 신조차 고장관리 세부현황'!$CY:$CY,"TCMS")</f>
        <v>0</v>
      </c>
      <c r="BT235"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분석_15일'!$F235,'2023년 신조차 고장관리 세부현황'!$BC:$BC,"완료",'2023년 신조차 고장관리 세부현황'!$CY:$CY,"TCMS")</f>
        <v>0</v>
      </c>
      <c r="BU235"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분석_15일'!$F235,'2023년 신조차 고장관리 세부현황'!$BC:$BC,"완료",'2023년 신조차 고장관리 세부현황'!$CY:$CY,"TCMS")</f>
        <v>0</v>
      </c>
      <c r="BV235"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분석_15일'!$F235,'2023년 신조차 고장관리 세부현황'!$BC:$BC,"완료",'2023년 신조차 고장관리 세부현황'!$CY:$CY,"TCMS")</f>
        <v>0</v>
      </c>
      <c r="BW235"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분석_15일'!$F235,'2023년 신조차 고장관리 세부현황'!$BC:$BC,"완료",'2023년 신조차 고장관리 세부현황'!$CY:$CY,"TCMS")</f>
        <v>0</v>
      </c>
      <c r="BX235"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분석_15일'!$F235,'2023년 신조차 고장관리 세부현황'!$BC:$BC,"완료",'2023년 신조차 고장관리 세부현황'!$CY:$CY,"TCMS")</f>
        <v>0</v>
      </c>
      <c r="BY235"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분석_15일'!$F235,'2023년 신조차 고장관리 세부현황'!$BC:$BC,"완료",'2023년 신조차 고장관리 세부현황'!$CY:$CY,"TCMS")</f>
        <v>0</v>
      </c>
      <c r="BZ235"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분석_15일'!$F235,'2023년 신조차 고장관리 세부현황'!$BC:$BC,"완료",'2023년 신조차 고장관리 세부현황'!$CY:$CY,"TCMS")</f>
        <v>0</v>
      </c>
      <c r="CA235"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분석_15일'!$F235,'2023년 신조차 고장관리 세부현황'!$BC:$BC,"완료",'2023년 신조차 고장관리 세부현황'!$CY:$CY,"TCMS")</f>
        <v>0</v>
      </c>
      <c r="CB235"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분석_15일'!$F235,'2023년 신조차 고장관리 세부현황'!$BC:$BC,"완료",'2023년 신조차 고장관리 세부현황'!$CY:$CY,"TCMS")</f>
        <v>0</v>
      </c>
      <c r="CC235"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분석_15일'!$F235,'2023년 신조차 고장관리 세부현황'!$BC:$BC,"완료",'2023년 신조차 고장관리 세부현황'!$CY:$CY,"TCMS")</f>
        <v>0</v>
      </c>
      <c r="CD235"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분석_15일'!$F235,'2023년 신조차 고장관리 세부현황'!$BC:$BC,"완료",'2023년 신조차 고장관리 세부현황'!$CY:$CY,"TCMS")</f>
        <v>0</v>
      </c>
      <c r="CE235"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분석_15일'!$F235,'2023년 신조차 고장관리 세부현황'!$BC:$BC,"완료",'2023년 신조차 고장관리 세부현황'!$CY:$CY,"TCMS")</f>
        <v>0</v>
      </c>
      <c r="CF235"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분석_15일'!$F235,'2023년 신조차 고장관리 세부현황'!$BC:$BC,"완료",'2023년 신조차 고장관리 세부현황'!$CY:$CY,"TCMS")</f>
        <v>0</v>
      </c>
      <c r="CG235"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분석_15일'!$F235,'2023년 신조차 고장관리 세부현황'!$BC:$BC,"완료",'2023년 신조차 고장관리 세부현황'!$CY:$CY,"TCMS")</f>
        <v>0</v>
      </c>
      <c r="CH235"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분석_15일'!$F235,'2023년 신조차 고장관리 세부현황'!$BC:$BC,"완료",'2023년 신조차 고장관리 세부현황'!$CY:$CY,"TCMS")</f>
        <v>0</v>
      </c>
      <c r="CI235"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분석_15일'!$F235,'2023년 신조차 고장관리 세부현황'!$BC:$BC,"완료",'2023년 신조차 고장관리 세부현황'!$CY:$CY,"TCMS")</f>
        <v>0</v>
      </c>
      <c r="CJ235"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분석_15일'!$F235,'2023년 신조차 고장관리 세부현황'!$BC:$BC,"완료",'2023년 신조차 고장관리 세부현황'!$CY:$CY,"TCMS")</f>
        <v>0</v>
      </c>
      <c r="CK235"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분석_15일'!$F235,'2023년 신조차 고장관리 세부현황'!$BC:$BC,"완료",'2023년 신조차 고장관리 세부현황'!$CY:$CY,"TCMS")</f>
        <v>0</v>
      </c>
      <c r="CL235"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분석_15일'!$F235,'2023년 신조차 고장관리 세부현황'!$BC:$BC,"완료",'2023년 신조차 고장관리 세부현황'!$CY:$CY,"TCMS")</f>
        <v>0</v>
      </c>
      <c r="CM235"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분석_15일'!$F235,'2023년 신조차 고장관리 세부현황'!$BC:$BC,"완료",'2023년 신조차 고장관리 세부현황'!$CY:$CY,"TCMS")</f>
        <v>0</v>
      </c>
      <c r="CN235"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분석_15일'!$F235,'2023년 신조차 고장관리 세부현황'!$BC:$BC,"완료",'2023년 신조차 고장관리 세부현황'!$CY:$CY,"TCMS")</f>
        <v>0</v>
      </c>
      <c r="CO235"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분석_15일'!$F235,'2023년 신조차 고장관리 세부현황'!$BC:$BC,"완료",'2023년 신조차 고장관리 세부현황'!$CY:$CY,"TCMS")</f>
        <v>0</v>
      </c>
      <c r="CP235"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분석_15일'!$F235,'2023년 신조차 고장관리 세부현황'!$BC:$BC,"완료",'2023년 신조차 고장관리 세부현황'!$CY:$CY,"TCMS")</f>
        <v>0</v>
      </c>
      <c r="CQ235"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분석_15일'!$F235,'2023년 신조차 고장관리 세부현황'!$BC:$BC,"완료",'2023년 신조차 고장관리 세부현황'!$CY:$CY,"TCMS")</f>
        <v>0</v>
      </c>
      <c r="CR235"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분석_15일'!$F235,'2023년 신조차 고장관리 세부현황'!$BC:$BC,"완료",'2023년 신조차 고장관리 세부현황'!$CY:$CY,"TCMS")</f>
        <v>0</v>
      </c>
      <c r="CS235"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분석_15일'!$F235,'2023년 신조차 고장관리 세부현황'!$BC:$BC,"완료",'2023년 신조차 고장관리 세부현황'!$CY:$CY,"TCMS")</f>
        <v>0</v>
      </c>
      <c r="CT235"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분석_15일'!$F235,'2023년 신조차 고장관리 세부현황'!$BC:$BC,"완료",'2023년 신조차 고장관리 세부현황'!$CY:$CY,"TCMS")</f>
        <v>0</v>
      </c>
      <c r="CU235"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분석_15일'!$F235,'2023년 신조차 고장관리 세부현황'!$BC:$BC,"완료",'2023년 신조차 고장관리 세부현황'!$CY:$CY,"TCMS")</f>
        <v>0</v>
      </c>
      <c r="CV235"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분석_15일'!$F235,'2023년 신조차 고장관리 세부현황'!$BC:$BC,"완료",'2023년 신조차 고장관리 세부현황'!$CY:$CY,"TCMS")</f>
        <v>0</v>
      </c>
      <c r="CW235"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분석_15일'!$F235,'2023년 신조차 고장관리 세부현황'!$BC:$BC,"완료",'2023년 신조차 고장관리 세부현황'!$CY:$CY,"TCMS")</f>
        <v>0</v>
      </c>
      <c r="CX235">
        <f>SUM(G235:CW235)</f>
        <v>0</v>
      </c>
    </row>
    <row r="271" spans="103:103" x14ac:dyDescent="0.4">
      <c r="CY271" t="s">
        <v>355</v>
      </c>
    </row>
    <row r="284" spans="6:102" x14ac:dyDescent="0.4">
      <c r="F284" t="s">
        <v>350</v>
      </c>
    </row>
    <row r="285" spans="6:102" x14ac:dyDescent="0.4">
      <c r="F285" t="s">
        <v>342</v>
      </c>
      <c r="CS285" t="s">
        <v>392</v>
      </c>
    </row>
    <row r="286" spans="6:102" x14ac:dyDescent="0.4">
      <c r="F286" s="85" t="s">
        <v>242</v>
      </c>
      <c r="G286" s="85">
        <v>1</v>
      </c>
      <c r="H286" s="85">
        <v>2</v>
      </c>
      <c r="I286" s="85">
        <v>3</v>
      </c>
      <c r="J286" s="85">
        <v>4</v>
      </c>
      <c r="K286" s="85">
        <v>5</v>
      </c>
      <c r="L286" s="85">
        <v>6</v>
      </c>
      <c r="M286" s="85">
        <v>7</v>
      </c>
      <c r="N286" s="85">
        <v>8</v>
      </c>
      <c r="O286" s="85">
        <v>9</v>
      </c>
      <c r="P286" s="85">
        <v>10</v>
      </c>
      <c r="Q286" s="85">
        <v>11</v>
      </c>
      <c r="R286" s="85">
        <v>12</v>
      </c>
      <c r="S286" s="85">
        <v>13</v>
      </c>
      <c r="T286" s="85">
        <v>14</v>
      </c>
      <c r="U286" s="85">
        <v>15</v>
      </c>
      <c r="V286" s="85">
        <v>16</v>
      </c>
      <c r="W286" s="85">
        <v>17</v>
      </c>
      <c r="X286" s="85">
        <v>18</v>
      </c>
      <c r="Y286" s="85">
        <v>19</v>
      </c>
      <c r="Z286" s="85">
        <v>20</v>
      </c>
      <c r="AA286" s="85">
        <v>21</v>
      </c>
      <c r="AB286" s="85">
        <v>22</v>
      </c>
      <c r="AC286" s="85">
        <v>23</v>
      </c>
      <c r="AD286" s="85">
        <v>24</v>
      </c>
      <c r="AE286" s="85">
        <v>25</v>
      </c>
      <c r="AF286" s="85">
        <v>26</v>
      </c>
      <c r="AG286" s="85">
        <v>27</v>
      </c>
      <c r="AH286" s="85">
        <v>28</v>
      </c>
      <c r="AI286" s="85">
        <v>29</v>
      </c>
      <c r="AJ286" s="85">
        <v>30</v>
      </c>
      <c r="AK286" s="85">
        <v>31</v>
      </c>
      <c r="AL286" s="85">
        <v>32</v>
      </c>
      <c r="AM286" s="85">
        <v>33</v>
      </c>
      <c r="AN286" s="85">
        <v>34</v>
      </c>
      <c r="AO286" s="85">
        <v>35</v>
      </c>
      <c r="AP286" s="85">
        <v>36</v>
      </c>
      <c r="AQ286" s="85">
        <v>37</v>
      </c>
      <c r="AR286" s="85">
        <v>38</v>
      </c>
      <c r="AS286" s="85">
        <v>39</v>
      </c>
      <c r="AT286" s="85">
        <v>40</v>
      </c>
      <c r="AU286" s="85">
        <v>41</v>
      </c>
      <c r="AV286" s="85">
        <v>42</v>
      </c>
      <c r="AW286" s="85">
        <v>43</v>
      </c>
      <c r="AX286" s="85">
        <v>44</v>
      </c>
      <c r="AY286" s="85">
        <v>45</v>
      </c>
      <c r="AZ286" s="85">
        <v>46</v>
      </c>
      <c r="BA286" s="85">
        <v>47</v>
      </c>
      <c r="BB286" s="85">
        <v>48</v>
      </c>
      <c r="BC286" s="85">
        <v>49</v>
      </c>
      <c r="BD286" s="85">
        <v>50</v>
      </c>
      <c r="BE286" s="85">
        <v>51</v>
      </c>
      <c r="BF286" s="85">
        <v>52</v>
      </c>
      <c r="BG286" s="85">
        <v>53</v>
      </c>
      <c r="BH286" s="85">
        <v>54</v>
      </c>
      <c r="BI286" s="85">
        <v>55</v>
      </c>
      <c r="BJ286" s="85">
        <v>56</v>
      </c>
      <c r="BK286" s="85">
        <v>57</v>
      </c>
      <c r="BL286" s="85">
        <v>58</v>
      </c>
      <c r="BM286" s="85">
        <v>59</v>
      </c>
      <c r="BN286" s="85">
        <v>60</v>
      </c>
      <c r="BO286" s="85">
        <v>61</v>
      </c>
      <c r="BP286" s="85">
        <v>62</v>
      </c>
      <c r="BQ286" s="85">
        <v>63</v>
      </c>
      <c r="BR286" s="85">
        <v>64</v>
      </c>
      <c r="BS286" s="85">
        <v>65</v>
      </c>
      <c r="BT286" s="85">
        <v>66</v>
      </c>
      <c r="BU286" s="85">
        <v>67</v>
      </c>
      <c r="BV286" s="85">
        <v>68</v>
      </c>
      <c r="BW286" s="85">
        <v>69</v>
      </c>
      <c r="BX286" s="85">
        <v>70</v>
      </c>
      <c r="BY286" s="85">
        <v>71</v>
      </c>
      <c r="BZ286" s="85">
        <v>72</v>
      </c>
      <c r="CA286" s="85">
        <v>73</v>
      </c>
      <c r="CB286" s="85">
        <v>74</v>
      </c>
      <c r="CC286" s="85">
        <v>75</v>
      </c>
      <c r="CD286" s="85">
        <v>76</v>
      </c>
      <c r="CE286" s="85">
        <v>77</v>
      </c>
      <c r="CF286" s="85">
        <v>78</v>
      </c>
      <c r="CG286" s="85">
        <v>79</v>
      </c>
      <c r="CH286" s="85">
        <v>80</v>
      </c>
      <c r="CI286" s="85">
        <v>81</v>
      </c>
      <c r="CJ286" s="85">
        <v>82</v>
      </c>
      <c r="CK286" s="85">
        <v>83</v>
      </c>
      <c r="CL286" s="85">
        <v>84</v>
      </c>
      <c r="CM286" s="85">
        <v>85</v>
      </c>
      <c r="CN286" s="85">
        <v>86</v>
      </c>
      <c r="CO286" s="85">
        <v>87</v>
      </c>
      <c r="CP286" s="85">
        <v>88</v>
      </c>
      <c r="CQ286" s="85">
        <v>89</v>
      </c>
      <c r="CR286" s="85">
        <v>90</v>
      </c>
      <c r="CS286" s="85">
        <v>91</v>
      </c>
      <c r="CT286" s="85">
        <v>92</v>
      </c>
      <c r="CU286" s="85">
        <v>93</v>
      </c>
      <c r="CV286" s="85">
        <v>94</v>
      </c>
      <c r="CW286" s="85">
        <v>95</v>
      </c>
    </row>
    <row r="287" spans="6:102" x14ac:dyDescent="0.4">
      <c r="F287" s="85" t="s">
        <v>239</v>
      </c>
      <c r="G287" s="139">
        <f>15*G286</f>
        <v>15</v>
      </c>
      <c r="H287" s="139">
        <f t="shared" ref="H287:BS287" si="307">15*H286</f>
        <v>30</v>
      </c>
      <c r="I287" s="139">
        <f t="shared" si="307"/>
        <v>45</v>
      </c>
      <c r="J287" s="139">
        <f t="shared" si="307"/>
        <v>60</v>
      </c>
      <c r="K287" s="139">
        <f t="shared" si="307"/>
        <v>75</v>
      </c>
      <c r="L287" s="139">
        <f t="shared" si="307"/>
        <v>90</v>
      </c>
      <c r="M287" s="139">
        <f t="shared" si="307"/>
        <v>105</v>
      </c>
      <c r="N287" s="139">
        <f t="shared" si="307"/>
        <v>120</v>
      </c>
      <c r="O287" s="139">
        <f t="shared" si="307"/>
        <v>135</v>
      </c>
      <c r="P287" s="139">
        <f t="shared" si="307"/>
        <v>150</v>
      </c>
      <c r="Q287" s="139">
        <f t="shared" si="307"/>
        <v>165</v>
      </c>
      <c r="R287" s="139">
        <f t="shared" si="307"/>
        <v>180</v>
      </c>
      <c r="S287" s="139">
        <f t="shared" si="307"/>
        <v>195</v>
      </c>
      <c r="T287" s="139">
        <f t="shared" si="307"/>
        <v>210</v>
      </c>
      <c r="U287" s="139">
        <f t="shared" si="307"/>
        <v>225</v>
      </c>
      <c r="V287" s="139">
        <f t="shared" si="307"/>
        <v>240</v>
      </c>
      <c r="W287" s="139">
        <f t="shared" si="307"/>
        <v>255</v>
      </c>
      <c r="X287" s="139">
        <f t="shared" si="307"/>
        <v>270</v>
      </c>
      <c r="Y287" s="139">
        <f t="shared" si="307"/>
        <v>285</v>
      </c>
      <c r="Z287" s="139">
        <f t="shared" si="307"/>
        <v>300</v>
      </c>
      <c r="AA287" s="139">
        <f t="shared" si="307"/>
        <v>315</v>
      </c>
      <c r="AB287" s="139">
        <f t="shared" si="307"/>
        <v>330</v>
      </c>
      <c r="AC287" s="139">
        <f t="shared" si="307"/>
        <v>345</v>
      </c>
      <c r="AD287" s="139">
        <f t="shared" si="307"/>
        <v>360</v>
      </c>
      <c r="AE287" s="139">
        <f t="shared" si="307"/>
        <v>375</v>
      </c>
      <c r="AF287" s="139">
        <f t="shared" si="307"/>
        <v>390</v>
      </c>
      <c r="AG287" s="139">
        <f t="shared" si="307"/>
        <v>405</v>
      </c>
      <c r="AH287" s="139">
        <f t="shared" si="307"/>
        <v>420</v>
      </c>
      <c r="AI287" s="139">
        <f t="shared" si="307"/>
        <v>435</v>
      </c>
      <c r="AJ287" s="139">
        <f t="shared" si="307"/>
        <v>450</v>
      </c>
      <c r="AK287" s="139">
        <f t="shared" si="307"/>
        <v>465</v>
      </c>
      <c r="AL287" s="139">
        <f t="shared" si="307"/>
        <v>480</v>
      </c>
      <c r="AM287" s="139">
        <f t="shared" si="307"/>
        <v>495</v>
      </c>
      <c r="AN287" s="139">
        <f t="shared" si="307"/>
        <v>510</v>
      </c>
      <c r="AO287" s="139">
        <f t="shared" si="307"/>
        <v>525</v>
      </c>
      <c r="AP287" s="139">
        <f t="shared" si="307"/>
        <v>540</v>
      </c>
      <c r="AQ287" s="139">
        <f t="shared" si="307"/>
        <v>555</v>
      </c>
      <c r="AR287" s="139">
        <f t="shared" si="307"/>
        <v>570</v>
      </c>
      <c r="AS287" s="139">
        <f t="shared" si="307"/>
        <v>585</v>
      </c>
      <c r="AT287" s="139">
        <f t="shared" si="307"/>
        <v>600</v>
      </c>
      <c r="AU287" s="139">
        <f t="shared" si="307"/>
        <v>615</v>
      </c>
      <c r="AV287" s="139">
        <f t="shared" si="307"/>
        <v>630</v>
      </c>
      <c r="AW287" s="139">
        <f t="shared" si="307"/>
        <v>645</v>
      </c>
      <c r="AX287" s="139">
        <f t="shared" si="307"/>
        <v>660</v>
      </c>
      <c r="AY287" s="139">
        <f t="shared" si="307"/>
        <v>675</v>
      </c>
      <c r="AZ287" s="139">
        <f t="shared" si="307"/>
        <v>690</v>
      </c>
      <c r="BA287" s="139">
        <f t="shared" si="307"/>
        <v>705</v>
      </c>
      <c r="BB287" s="139">
        <f t="shared" si="307"/>
        <v>720</v>
      </c>
      <c r="BC287" s="139">
        <f t="shared" si="307"/>
        <v>735</v>
      </c>
      <c r="BD287" s="139">
        <f t="shared" si="307"/>
        <v>750</v>
      </c>
      <c r="BE287" s="139">
        <f t="shared" si="307"/>
        <v>765</v>
      </c>
      <c r="BF287" s="139">
        <f t="shared" si="307"/>
        <v>780</v>
      </c>
      <c r="BG287" s="139">
        <f t="shared" si="307"/>
        <v>795</v>
      </c>
      <c r="BH287" s="139">
        <f t="shared" si="307"/>
        <v>810</v>
      </c>
      <c r="BI287" s="139">
        <f t="shared" si="307"/>
        <v>825</v>
      </c>
      <c r="BJ287" s="139">
        <f t="shared" si="307"/>
        <v>840</v>
      </c>
      <c r="BK287" s="139">
        <f t="shared" si="307"/>
        <v>855</v>
      </c>
      <c r="BL287" s="139">
        <f t="shared" si="307"/>
        <v>870</v>
      </c>
      <c r="BM287" s="139">
        <f t="shared" si="307"/>
        <v>885</v>
      </c>
      <c r="BN287" s="139">
        <f t="shared" si="307"/>
        <v>900</v>
      </c>
      <c r="BO287" s="139">
        <f t="shared" si="307"/>
        <v>915</v>
      </c>
      <c r="BP287" s="139">
        <f t="shared" si="307"/>
        <v>930</v>
      </c>
      <c r="BQ287" s="139">
        <f t="shared" si="307"/>
        <v>945</v>
      </c>
      <c r="BR287" s="139">
        <f t="shared" si="307"/>
        <v>960</v>
      </c>
      <c r="BS287" s="139">
        <f t="shared" si="307"/>
        <v>975</v>
      </c>
      <c r="BT287" s="139">
        <f t="shared" ref="BT287:CW287" si="308">15*BT286</f>
        <v>990</v>
      </c>
      <c r="BU287" s="139">
        <f t="shared" si="308"/>
        <v>1005</v>
      </c>
      <c r="BV287" s="139">
        <f t="shared" si="308"/>
        <v>1020</v>
      </c>
      <c r="BW287" s="139">
        <f t="shared" si="308"/>
        <v>1035</v>
      </c>
      <c r="BX287" s="139">
        <f t="shared" si="308"/>
        <v>1050</v>
      </c>
      <c r="BY287" s="139">
        <f t="shared" si="308"/>
        <v>1065</v>
      </c>
      <c r="BZ287" s="139">
        <f t="shared" si="308"/>
        <v>1080</v>
      </c>
      <c r="CA287" s="139">
        <f t="shared" si="308"/>
        <v>1095</v>
      </c>
      <c r="CB287" s="139">
        <f t="shared" si="308"/>
        <v>1110</v>
      </c>
      <c r="CC287" s="139">
        <f t="shared" si="308"/>
        <v>1125</v>
      </c>
      <c r="CD287" s="139">
        <f t="shared" si="308"/>
        <v>1140</v>
      </c>
      <c r="CE287" s="139">
        <f t="shared" si="308"/>
        <v>1155</v>
      </c>
      <c r="CF287" s="139">
        <f t="shared" si="308"/>
        <v>1170</v>
      </c>
      <c r="CG287" s="139">
        <f t="shared" si="308"/>
        <v>1185</v>
      </c>
      <c r="CH287" s="139">
        <f t="shared" si="308"/>
        <v>1200</v>
      </c>
      <c r="CI287" s="139">
        <f t="shared" si="308"/>
        <v>1215</v>
      </c>
      <c r="CJ287" s="139">
        <f t="shared" si="308"/>
        <v>1230</v>
      </c>
      <c r="CK287" s="139">
        <f t="shared" si="308"/>
        <v>1245</v>
      </c>
      <c r="CL287" s="139">
        <f t="shared" si="308"/>
        <v>1260</v>
      </c>
      <c r="CM287" s="139">
        <f t="shared" si="308"/>
        <v>1275</v>
      </c>
      <c r="CN287" s="139">
        <f t="shared" si="308"/>
        <v>1290</v>
      </c>
      <c r="CO287" s="139">
        <f t="shared" si="308"/>
        <v>1305</v>
      </c>
      <c r="CP287" s="139">
        <f t="shared" si="308"/>
        <v>1320</v>
      </c>
      <c r="CQ287" s="139">
        <f t="shared" si="308"/>
        <v>1335</v>
      </c>
      <c r="CR287" s="139">
        <f t="shared" si="308"/>
        <v>1350</v>
      </c>
      <c r="CS287" s="139">
        <f t="shared" si="308"/>
        <v>1365</v>
      </c>
      <c r="CT287" s="139">
        <f t="shared" si="308"/>
        <v>1380</v>
      </c>
      <c r="CU287" s="139">
        <f t="shared" si="308"/>
        <v>1395</v>
      </c>
      <c r="CV287" s="139">
        <f t="shared" si="308"/>
        <v>1410</v>
      </c>
      <c r="CW287" s="139">
        <f t="shared" si="308"/>
        <v>1425</v>
      </c>
    </row>
    <row r="288" spans="6:102" x14ac:dyDescent="0.4">
      <c r="F288" s="85" t="s">
        <v>154</v>
      </c>
      <c r="G288" s="85">
        <f>COUNTIFS('2023년 신조차 고장관리 세부현황'!$K:$K,"128R",'2023년 신조차 고장관리 세부현황'!$P:$P,"&gt;="&amp;G286,'2023년 신조차 고장관리 세부현황'!$P:$P,"&lt;"&amp;'트랜드 분석_15일'!G287,'2023년 신조차 고장관리 세부현황'!$BC:$BC,"완료",'2023년 신조차 고장관리 세부현황'!$CY:$CY,"신호")</f>
        <v>0</v>
      </c>
      <c r="H288" s="85">
        <f>COUNTIFS('2023년 신조차 고장관리 세부현황'!$K:$K,"128R",'2023년 신조차 고장관리 세부현황'!$P:$P,"&gt;="&amp;'트랜드 분석_15일'!G$18,'2023년 신조차 고장관리 세부현황'!$P:$P,"&lt;"&amp;'트랜드 분석_15일'!H$18,'2023년 신조차 고장관리 세부현황'!$BC:$BC,"완료",'2023년 신조차 고장관리 세부현황'!$CY:$CY,"신호")</f>
        <v>0</v>
      </c>
      <c r="I288" s="85">
        <f>COUNTIFS('2023년 신조차 고장관리 세부현황'!$K:$K,"128R",'2023년 신조차 고장관리 세부현황'!$P:$P,"&gt;="&amp;'트랜드 분석_15일'!H$18,'2023년 신조차 고장관리 세부현황'!$P:$P,"&lt;"&amp;'트랜드 분석_15일'!I$18,'2023년 신조차 고장관리 세부현황'!$BC:$BC,"완료",'2023년 신조차 고장관리 세부현황'!$CY:$CY,"신호")</f>
        <v>0</v>
      </c>
      <c r="J288" s="85">
        <f>COUNTIFS('2023년 신조차 고장관리 세부현황'!$K:$K,"128R",'2023년 신조차 고장관리 세부현황'!$P:$P,"&gt;="&amp;'트랜드 분석_15일'!I$18,'2023년 신조차 고장관리 세부현황'!$P:$P,"&lt;"&amp;'트랜드 분석_15일'!J$18,'2023년 신조차 고장관리 세부현황'!$BC:$BC,"완료",'2023년 신조차 고장관리 세부현황'!$CY:$CY,"신호")</f>
        <v>0</v>
      </c>
      <c r="K288" s="85">
        <f>COUNTIFS('2023년 신조차 고장관리 세부현황'!$K:$K,"128R",'2023년 신조차 고장관리 세부현황'!$P:$P,"&gt;="&amp;'트랜드 분석_15일'!J$18,'2023년 신조차 고장관리 세부현황'!$P:$P,"&lt;"&amp;'트랜드 분석_15일'!K$18,'2023년 신조차 고장관리 세부현황'!$BC:$BC,"완료",'2023년 신조차 고장관리 세부현황'!$CY:$CY,"신호")</f>
        <v>0</v>
      </c>
      <c r="L288" s="85">
        <f>COUNTIFS('2023년 신조차 고장관리 세부현황'!$K:$K,"128R",'2023년 신조차 고장관리 세부현황'!$P:$P,"&gt;="&amp;'트랜드 분석_15일'!K$18,'2023년 신조차 고장관리 세부현황'!$P:$P,"&lt;"&amp;'트랜드 분석_15일'!L$18,'2023년 신조차 고장관리 세부현황'!$BC:$BC,"완료",'2023년 신조차 고장관리 세부현황'!$CY:$CY,"신호")</f>
        <v>0</v>
      </c>
      <c r="M288" s="85">
        <f>COUNTIFS('2023년 신조차 고장관리 세부현황'!$K:$K,"128R",'2023년 신조차 고장관리 세부현황'!$P:$P,"&gt;="&amp;'트랜드 분석_15일'!L$18,'2023년 신조차 고장관리 세부현황'!$P:$P,"&lt;"&amp;'트랜드 분석_15일'!M$18,'2023년 신조차 고장관리 세부현황'!$BC:$BC,"완료",'2023년 신조차 고장관리 세부현황'!$CY:$CY,"신호")</f>
        <v>0</v>
      </c>
      <c r="N288" s="85">
        <f>COUNTIFS('2023년 신조차 고장관리 세부현황'!$K:$K,"128R",'2023년 신조차 고장관리 세부현황'!$P:$P,"&gt;="&amp;'트랜드 분석_15일'!M$18,'2023년 신조차 고장관리 세부현황'!$P:$P,"&lt;"&amp;'트랜드 분석_15일'!N$18,'2023년 신조차 고장관리 세부현황'!$BC:$BC,"완료",'2023년 신조차 고장관리 세부현황'!$CY:$CY,"신호")</f>
        <v>0</v>
      </c>
      <c r="O288" s="85">
        <f>COUNTIFS('2023년 신조차 고장관리 세부현황'!$K:$K,"128R",'2023년 신조차 고장관리 세부현황'!$P:$P,"&gt;="&amp;'트랜드 분석_15일'!N$18,'2023년 신조차 고장관리 세부현황'!$P:$P,"&lt;"&amp;'트랜드 분석_15일'!O$18,'2023년 신조차 고장관리 세부현황'!$BC:$BC,"완료",'2023년 신조차 고장관리 세부현황'!$CY:$CY,"신호")</f>
        <v>0</v>
      </c>
      <c r="P288" s="85">
        <f>COUNTIFS('2023년 신조차 고장관리 세부현황'!$K:$K,"128R",'2023년 신조차 고장관리 세부현황'!$P:$P,"&gt;="&amp;'트랜드 분석_15일'!O$18,'2023년 신조차 고장관리 세부현황'!$P:$P,"&lt;"&amp;'트랜드 분석_15일'!P$18,'2023년 신조차 고장관리 세부현황'!$BC:$BC,"완료",'2023년 신조차 고장관리 세부현황'!$CY:$CY,"신호")</f>
        <v>0</v>
      </c>
      <c r="Q288" s="85">
        <f>COUNTIFS('2023년 신조차 고장관리 세부현황'!$K:$K,"128R",'2023년 신조차 고장관리 세부현황'!$P:$P,"&gt;="&amp;'트랜드 분석_15일'!P$18,'2023년 신조차 고장관리 세부현황'!$P:$P,"&lt;"&amp;'트랜드 분석_15일'!Q$18,'2023년 신조차 고장관리 세부현황'!$BC:$BC,"완료",'2023년 신조차 고장관리 세부현황'!$CY:$CY,"신호")</f>
        <v>0</v>
      </c>
      <c r="R288" s="85">
        <f>COUNTIFS('2023년 신조차 고장관리 세부현황'!$K:$K,"128R",'2023년 신조차 고장관리 세부현황'!$P:$P,"&gt;="&amp;'트랜드 분석_15일'!Q$18,'2023년 신조차 고장관리 세부현황'!$P:$P,"&lt;"&amp;'트랜드 분석_15일'!R$18,'2023년 신조차 고장관리 세부현황'!$BC:$BC,"완료",'2023년 신조차 고장관리 세부현황'!$CY:$CY,"신호")</f>
        <v>0</v>
      </c>
      <c r="S288" s="85">
        <f>COUNTIFS('2023년 신조차 고장관리 세부현황'!$K:$K,"128R",'2023년 신조차 고장관리 세부현황'!$P:$P,"&gt;="&amp;'트랜드 분석_15일'!R$18,'2023년 신조차 고장관리 세부현황'!$P:$P,"&lt;"&amp;'트랜드 분석_15일'!S$18,'2023년 신조차 고장관리 세부현황'!$BC:$BC,"완료",'2023년 신조차 고장관리 세부현황'!$CY:$CY,"신호")</f>
        <v>0</v>
      </c>
      <c r="T288" s="85">
        <f>COUNTIFS('2023년 신조차 고장관리 세부현황'!$K:$K,"128R",'2023년 신조차 고장관리 세부현황'!$P:$P,"&gt;="&amp;'트랜드 분석_15일'!S$18,'2023년 신조차 고장관리 세부현황'!$P:$P,"&lt;"&amp;'트랜드 분석_15일'!T$18,'2023년 신조차 고장관리 세부현황'!$BC:$BC,"완료",'2023년 신조차 고장관리 세부현황'!$CY:$CY,"신호")</f>
        <v>0</v>
      </c>
      <c r="U288" s="85">
        <f>COUNTIFS('2023년 신조차 고장관리 세부현황'!$K:$K,"128R",'2023년 신조차 고장관리 세부현황'!$P:$P,"&gt;="&amp;'트랜드 분석_15일'!T$18,'2023년 신조차 고장관리 세부현황'!$P:$P,"&lt;"&amp;'트랜드 분석_15일'!U$18,'2023년 신조차 고장관리 세부현황'!$BC:$BC,"완료",'2023년 신조차 고장관리 세부현황'!$CY:$CY,"신호")</f>
        <v>0</v>
      </c>
      <c r="V288" s="85">
        <f>COUNTIFS('2023년 신조차 고장관리 세부현황'!$K:$K,"128R",'2023년 신조차 고장관리 세부현황'!$P:$P,"&gt;="&amp;'트랜드 분석_15일'!U$18,'2023년 신조차 고장관리 세부현황'!$P:$P,"&lt;"&amp;'트랜드 분석_15일'!V$18,'2023년 신조차 고장관리 세부현황'!$BC:$BC,"완료",'2023년 신조차 고장관리 세부현황'!$CY:$CY,"신호")</f>
        <v>0</v>
      </c>
      <c r="W288" s="85">
        <f>COUNTIFS('2023년 신조차 고장관리 세부현황'!$K:$K,"128R",'2023년 신조차 고장관리 세부현황'!$P:$P,"&gt;="&amp;'트랜드 분석_15일'!V$18,'2023년 신조차 고장관리 세부현황'!$P:$P,"&lt;"&amp;'트랜드 분석_15일'!W$18,'2023년 신조차 고장관리 세부현황'!$BC:$BC,"완료",'2023년 신조차 고장관리 세부현황'!$CY:$CY,"신호")</f>
        <v>0</v>
      </c>
      <c r="X288" s="85">
        <f>COUNTIFS('2023년 신조차 고장관리 세부현황'!$K:$K,"128R",'2023년 신조차 고장관리 세부현황'!$P:$P,"&gt;="&amp;'트랜드 분석_15일'!W$18,'2023년 신조차 고장관리 세부현황'!$P:$P,"&lt;"&amp;'트랜드 분석_15일'!X$18,'2023년 신조차 고장관리 세부현황'!$BC:$BC,"완료",'2023년 신조차 고장관리 세부현황'!$CY:$CY,"신호")</f>
        <v>0</v>
      </c>
      <c r="Y288" s="85">
        <f>COUNTIFS('2023년 신조차 고장관리 세부현황'!$K:$K,"128R",'2023년 신조차 고장관리 세부현황'!$P:$P,"&gt;="&amp;'트랜드 분석_15일'!X$18,'2023년 신조차 고장관리 세부현황'!$P:$P,"&lt;"&amp;'트랜드 분석_15일'!Y$18,'2023년 신조차 고장관리 세부현황'!$BC:$BC,"완료",'2023년 신조차 고장관리 세부현황'!$CY:$CY,"신호")</f>
        <v>0</v>
      </c>
      <c r="Z288" s="85">
        <f>COUNTIFS('2023년 신조차 고장관리 세부현황'!$K:$K,"128R",'2023년 신조차 고장관리 세부현황'!$P:$P,"&gt;="&amp;'트랜드 분석_15일'!Y$18,'2023년 신조차 고장관리 세부현황'!$P:$P,"&lt;"&amp;'트랜드 분석_15일'!Z$18,'2023년 신조차 고장관리 세부현황'!$BC:$BC,"완료",'2023년 신조차 고장관리 세부현황'!$CY:$CY,"신호")</f>
        <v>0</v>
      </c>
      <c r="AA288" s="85">
        <f>COUNTIFS('2023년 신조차 고장관리 세부현황'!$K:$K,"128R",'2023년 신조차 고장관리 세부현황'!$P:$P,"&gt;="&amp;'트랜드 분석_15일'!Z$18,'2023년 신조차 고장관리 세부현황'!$P:$P,"&lt;"&amp;'트랜드 분석_15일'!AA$18,'2023년 신조차 고장관리 세부현황'!$BC:$BC,"완료",'2023년 신조차 고장관리 세부현황'!$CY:$CY,"신호")</f>
        <v>0</v>
      </c>
      <c r="AB288" s="85">
        <f>COUNTIFS('2023년 신조차 고장관리 세부현황'!$K:$K,"128R",'2023년 신조차 고장관리 세부현황'!$P:$P,"&gt;="&amp;'트랜드 분석_15일'!AA$18,'2023년 신조차 고장관리 세부현황'!$P:$P,"&lt;"&amp;'트랜드 분석_15일'!AB$18,'2023년 신조차 고장관리 세부현황'!$BC:$BC,"완료",'2023년 신조차 고장관리 세부현황'!$CY:$CY,"신호")</f>
        <v>0</v>
      </c>
      <c r="AC288" s="85">
        <f>COUNTIFS('2023년 신조차 고장관리 세부현황'!$K:$K,"128R",'2023년 신조차 고장관리 세부현황'!$P:$P,"&gt;="&amp;'트랜드 분석_15일'!AB$18,'2023년 신조차 고장관리 세부현황'!$P:$P,"&lt;"&amp;'트랜드 분석_15일'!AC$18,'2023년 신조차 고장관리 세부현황'!$BC:$BC,"완료",'2023년 신조차 고장관리 세부현황'!$CY:$CY,"신호")</f>
        <v>0</v>
      </c>
      <c r="AD288" s="85">
        <f>COUNTIFS('2023년 신조차 고장관리 세부현황'!$K:$K,"128R",'2023년 신조차 고장관리 세부현황'!$P:$P,"&gt;="&amp;'트랜드 분석_15일'!AC$18,'2023년 신조차 고장관리 세부현황'!$P:$P,"&lt;"&amp;'트랜드 분석_15일'!AD$18,'2023년 신조차 고장관리 세부현황'!$BC:$BC,"완료",'2023년 신조차 고장관리 세부현황'!$CY:$CY,"신호")</f>
        <v>0</v>
      </c>
      <c r="AE288" s="85">
        <f>COUNTIFS('2023년 신조차 고장관리 세부현황'!$K:$K,"128R",'2023년 신조차 고장관리 세부현황'!$P:$P,"&gt;="&amp;'트랜드 분석_15일'!AD$18,'2023년 신조차 고장관리 세부현황'!$P:$P,"&lt;"&amp;'트랜드 분석_15일'!AE$18,'2023년 신조차 고장관리 세부현황'!$BC:$BC,"완료",'2023년 신조차 고장관리 세부현황'!$CY:$CY,"신호")</f>
        <v>0</v>
      </c>
      <c r="AF288" s="85">
        <f>COUNTIFS('2023년 신조차 고장관리 세부현황'!$K:$K,"128R",'2023년 신조차 고장관리 세부현황'!$P:$P,"&gt;="&amp;'트랜드 분석_15일'!AE$18,'2023년 신조차 고장관리 세부현황'!$P:$P,"&lt;"&amp;'트랜드 분석_15일'!AF$18,'2023년 신조차 고장관리 세부현황'!$BC:$BC,"완료",'2023년 신조차 고장관리 세부현황'!$CY:$CY,"신호")</f>
        <v>0</v>
      </c>
      <c r="AG288" s="85">
        <f>COUNTIFS('2023년 신조차 고장관리 세부현황'!$K:$K,"128R",'2023년 신조차 고장관리 세부현황'!$P:$P,"&gt;="&amp;'트랜드 분석_15일'!AF$18,'2023년 신조차 고장관리 세부현황'!$P:$P,"&lt;"&amp;'트랜드 분석_15일'!AG$18,'2023년 신조차 고장관리 세부현황'!$BC:$BC,"완료",'2023년 신조차 고장관리 세부현황'!$CY:$CY,"신호")</f>
        <v>0</v>
      </c>
      <c r="AH288" s="85">
        <f>COUNTIFS('2023년 신조차 고장관리 세부현황'!$K:$K,"128R",'2023년 신조차 고장관리 세부현황'!$P:$P,"&gt;="&amp;'트랜드 분석_15일'!AG$18,'2023년 신조차 고장관리 세부현황'!$P:$P,"&lt;"&amp;'트랜드 분석_15일'!AH$18,'2023년 신조차 고장관리 세부현황'!$BC:$BC,"완료",'2023년 신조차 고장관리 세부현황'!$CY:$CY,"신호")</f>
        <v>0</v>
      </c>
      <c r="AI288" s="85">
        <f>COUNTIFS('2023년 신조차 고장관리 세부현황'!$K:$K,"128R",'2023년 신조차 고장관리 세부현황'!$P:$P,"&gt;="&amp;'트랜드 분석_15일'!AH$18,'2023년 신조차 고장관리 세부현황'!$P:$P,"&lt;"&amp;'트랜드 분석_15일'!AI$18,'2023년 신조차 고장관리 세부현황'!$BC:$BC,"완료",'2023년 신조차 고장관리 세부현황'!$CY:$CY,"신호")</f>
        <v>0</v>
      </c>
      <c r="AJ288" s="85">
        <f>COUNTIFS('2023년 신조차 고장관리 세부현황'!$K:$K,"128R",'2023년 신조차 고장관리 세부현황'!$P:$P,"&gt;="&amp;'트랜드 분석_15일'!AI$18,'2023년 신조차 고장관리 세부현황'!$P:$P,"&lt;"&amp;'트랜드 분석_15일'!AJ$18,'2023년 신조차 고장관리 세부현황'!$BC:$BC,"완료",'2023년 신조차 고장관리 세부현황'!$CY:$CY,"신호")</f>
        <v>0</v>
      </c>
      <c r="AK288" s="85">
        <f>COUNTIFS('2023년 신조차 고장관리 세부현황'!$K:$K,"128R",'2023년 신조차 고장관리 세부현황'!$P:$P,"&gt;="&amp;'트랜드 분석_15일'!AJ$18,'2023년 신조차 고장관리 세부현황'!$P:$P,"&lt;"&amp;'트랜드 분석_15일'!AK$18,'2023년 신조차 고장관리 세부현황'!$BC:$BC,"완료",'2023년 신조차 고장관리 세부현황'!$CY:$CY,"신호")</f>
        <v>0</v>
      </c>
      <c r="AL288" s="85">
        <f>COUNTIFS('2023년 신조차 고장관리 세부현황'!$K:$K,"128R",'2023년 신조차 고장관리 세부현황'!$P:$P,"&gt;="&amp;'트랜드 분석_15일'!AK$18,'2023년 신조차 고장관리 세부현황'!$P:$P,"&lt;"&amp;'트랜드 분석_15일'!AL$18,'2023년 신조차 고장관리 세부현황'!$BC:$BC,"완료",'2023년 신조차 고장관리 세부현황'!$CY:$CY,"신호")</f>
        <v>0</v>
      </c>
      <c r="AM288" s="85">
        <f>COUNTIFS('2023년 신조차 고장관리 세부현황'!$K:$K,"128R",'2023년 신조차 고장관리 세부현황'!$P:$P,"&gt;="&amp;'트랜드 분석_15일'!AL$18,'2023년 신조차 고장관리 세부현황'!$P:$P,"&lt;"&amp;'트랜드 분석_15일'!AM$18,'2023년 신조차 고장관리 세부현황'!$BC:$BC,"완료",'2023년 신조차 고장관리 세부현황'!$CY:$CY,"신호")</f>
        <v>0</v>
      </c>
      <c r="AN288" s="85">
        <f>COUNTIFS('2023년 신조차 고장관리 세부현황'!$K:$K,"128R",'2023년 신조차 고장관리 세부현황'!$P:$P,"&gt;="&amp;'트랜드 분석_15일'!AM$18,'2023년 신조차 고장관리 세부현황'!$P:$P,"&lt;"&amp;'트랜드 분석_15일'!AN$18,'2023년 신조차 고장관리 세부현황'!$BC:$BC,"완료",'2023년 신조차 고장관리 세부현황'!$CY:$CY,"신호")</f>
        <v>0</v>
      </c>
      <c r="AO288" s="85">
        <f>COUNTIFS('2023년 신조차 고장관리 세부현황'!$K:$K,"128R",'2023년 신조차 고장관리 세부현황'!$P:$P,"&gt;="&amp;'트랜드 분석_15일'!AN$18,'2023년 신조차 고장관리 세부현황'!$P:$P,"&lt;"&amp;'트랜드 분석_15일'!AO$18,'2023년 신조차 고장관리 세부현황'!$BC:$BC,"완료",'2023년 신조차 고장관리 세부현황'!$CY:$CY,"신호")</f>
        <v>0</v>
      </c>
      <c r="AP288" s="85">
        <f>COUNTIFS('2023년 신조차 고장관리 세부현황'!$K:$K,"128R",'2023년 신조차 고장관리 세부현황'!$P:$P,"&gt;="&amp;'트랜드 분석_15일'!AO$18,'2023년 신조차 고장관리 세부현황'!$P:$P,"&lt;"&amp;'트랜드 분석_15일'!AP$18,'2023년 신조차 고장관리 세부현황'!$BC:$BC,"완료",'2023년 신조차 고장관리 세부현황'!$CY:$CY,"신호")</f>
        <v>0</v>
      </c>
      <c r="AQ288" s="85">
        <f>COUNTIFS('2023년 신조차 고장관리 세부현황'!$K:$K,"128R",'2023년 신조차 고장관리 세부현황'!$P:$P,"&gt;="&amp;'트랜드 분석_15일'!AP$18,'2023년 신조차 고장관리 세부현황'!$P:$P,"&lt;"&amp;'트랜드 분석_15일'!AQ$18,'2023년 신조차 고장관리 세부현황'!$BC:$BC,"완료",'2023년 신조차 고장관리 세부현황'!$CY:$CY,"신호")</f>
        <v>0</v>
      </c>
      <c r="AR288" s="85">
        <f>COUNTIFS('2023년 신조차 고장관리 세부현황'!$K:$K,"128R",'2023년 신조차 고장관리 세부현황'!$P:$P,"&gt;="&amp;'트랜드 분석_15일'!AQ$18,'2023년 신조차 고장관리 세부현황'!$P:$P,"&lt;"&amp;'트랜드 분석_15일'!AR$18,'2023년 신조차 고장관리 세부현황'!$BC:$BC,"완료",'2023년 신조차 고장관리 세부현황'!$CY:$CY,"신호")</f>
        <v>0</v>
      </c>
      <c r="AS288" s="85">
        <f>COUNTIFS('2023년 신조차 고장관리 세부현황'!$K:$K,"128R",'2023년 신조차 고장관리 세부현황'!$P:$P,"&gt;="&amp;'트랜드 분석_15일'!AR$18,'2023년 신조차 고장관리 세부현황'!$P:$P,"&lt;"&amp;'트랜드 분석_15일'!AS$18,'2023년 신조차 고장관리 세부현황'!$BC:$BC,"완료",'2023년 신조차 고장관리 세부현황'!$CY:$CY,"신호")</f>
        <v>0</v>
      </c>
      <c r="AT288" s="85">
        <f>COUNTIFS('2023년 신조차 고장관리 세부현황'!$K:$K,"128R",'2023년 신조차 고장관리 세부현황'!$P:$P,"&gt;="&amp;'트랜드 분석_15일'!AS$18,'2023년 신조차 고장관리 세부현황'!$P:$P,"&lt;"&amp;'트랜드 분석_15일'!AT$18,'2023년 신조차 고장관리 세부현황'!$BC:$BC,"완료",'2023년 신조차 고장관리 세부현황'!$CY:$CY,"신호")</f>
        <v>0</v>
      </c>
      <c r="AU288" s="85">
        <f>COUNTIFS('2023년 신조차 고장관리 세부현황'!$K:$K,"128R",'2023년 신조차 고장관리 세부현황'!$P:$P,"&gt;="&amp;'트랜드 분석_15일'!AT$18,'2023년 신조차 고장관리 세부현황'!$P:$P,"&lt;"&amp;'트랜드 분석_15일'!AU$18,'2023년 신조차 고장관리 세부현황'!$BC:$BC,"완료",'2023년 신조차 고장관리 세부현황'!$CY:$CY,"신호")</f>
        <v>0</v>
      </c>
      <c r="AV288" s="85">
        <f>COUNTIFS('2023년 신조차 고장관리 세부현황'!$K:$K,"128R",'2023년 신조차 고장관리 세부현황'!$P:$P,"&gt;="&amp;'트랜드 분석_15일'!AU$18,'2023년 신조차 고장관리 세부현황'!$P:$P,"&lt;"&amp;'트랜드 분석_15일'!AV$18,'2023년 신조차 고장관리 세부현황'!$BC:$BC,"완료",'2023년 신조차 고장관리 세부현황'!$CY:$CY,"신호")</f>
        <v>0</v>
      </c>
      <c r="AW288" s="85">
        <f>COUNTIFS('2023년 신조차 고장관리 세부현황'!$K:$K,"128R",'2023년 신조차 고장관리 세부현황'!$P:$P,"&gt;="&amp;'트랜드 분석_15일'!AV$18,'2023년 신조차 고장관리 세부현황'!$P:$P,"&lt;"&amp;'트랜드 분석_15일'!AW$18,'2023년 신조차 고장관리 세부현황'!$BC:$BC,"완료",'2023년 신조차 고장관리 세부현황'!$CY:$CY,"신호")</f>
        <v>0</v>
      </c>
      <c r="AX288" s="85">
        <f>COUNTIFS('2023년 신조차 고장관리 세부현황'!$K:$K,"128R",'2023년 신조차 고장관리 세부현황'!$P:$P,"&gt;="&amp;'트랜드 분석_15일'!AW$18,'2023년 신조차 고장관리 세부현황'!$P:$P,"&lt;"&amp;'트랜드 분석_15일'!AX$18,'2023년 신조차 고장관리 세부현황'!$BC:$BC,"완료",'2023년 신조차 고장관리 세부현황'!$CY:$CY,"신호")</f>
        <v>0</v>
      </c>
      <c r="AY288" s="85">
        <f>COUNTIFS('2023년 신조차 고장관리 세부현황'!$K:$K,"128R",'2023년 신조차 고장관리 세부현황'!$P:$P,"&gt;="&amp;'트랜드 분석_15일'!AX$18,'2023년 신조차 고장관리 세부현황'!$P:$P,"&lt;"&amp;'트랜드 분석_15일'!AY$18,'2023년 신조차 고장관리 세부현황'!$BC:$BC,"완료",'2023년 신조차 고장관리 세부현황'!$CY:$CY,"신호")</f>
        <v>0</v>
      </c>
      <c r="AZ288" s="85">
        <f>COUNTIFS('2023년 신조차 고장관리 세부현황'!$K:$K,"128R",'2023년 신조차 고장관리 세부현황'!$P:$P,"&gt;="&amp;'트랜드 분석_15일'!AY$18,'2023년 신조차 고장관리 세부현황'!$P:$P,"&lt;"&amp;'트랜드 분석_15일'!AZ$18,'2023년 신조차 고장관리 세부현황'!$BC:$BC,"완료",'2023년 신조차 고장관리 세부현황'!$CY:$CY,"신호")</f>
        <v>0</v>
      </c>
      <c r="BA288" s="85">
        <f>COUNTIFS('2023년 신조차 고장관리 세부현황'!$K:$K,"128R",'2023년 신조차 고장관리 세부현황'!$P:$P,"&gt;="&amp;'트랜드 분석_15일'!AZ$18,'2023년 신조차 고장관리 세부현황'!$P:$P,"&lt;"&amp;'트랜드 분석_15일'!BA$18,'2023년 신조차 고장관리 세부현황'!$BC:$BC,"완료",'2023년 신조차 고장관리 세부현황'!$CY:$CY,"신호")</f>
        <v>0</v>
      </c>
      <c r="BB288" s="85">
        <f>COUNTIFS('2023년 신조차 고장관리 세부현황'!$K:$K,"128R",'2023년 신조차 고장관리 세부현황'!$P:$P,"&gt;="&amp;'트랜드 분석_15일'!BA$18,'2023년 신조차 고장관리 세부현황'!$P:$P,"&lt;"&amp;'트랜드 분석_15일'!BB$18,'2023년 신조차 고장관리 세부현황'!$BC:$BC,"완료",'2023년 신조차 고장관리 세부현황'!$CY:$CY,"신호")</f>
        <v>0</v>
      </c>
      <c r="BC288" s="85">
        <f>COUNTIFS('2023년 신조차 고장관리 세부현황'!$K:$K,"128R",'2023년 신조차 고장관리 세부현황'!$P:$P,"&gt;="&amp;'트랜드 분석_15일'!BB$18,'2023년 신조차 고장관리 세부현황'!$P:$P,"&lt;"&amp;'트랜드 분석_15일'!BC$18,'2023년 신조차 고장관리 세부현황'!$BC:$BC,"완료",'2023년 신조차 고장관리 세부현황'!$CY:$CY,"신호")</f>
        <v>0</v>
      </c>
      <c r="BD288" s="85">
        <f>COUNTIFS('2023년 신조차 고장관리 세부현황'!$K:$K,"128R",'2023년 신조차 고장관리 세부현황'!$P:$P,"&gt;="&amp;'트랜드 분석_15일'!BC$18,'2023년 신조차 고장관리 세부현황'!$P:$P,"&lt;"&amp;'트랜드 분석_15일'!BD$18,'2023년 신조차 고장관리 세부현황'!$BC:$BC,"완료",'2023년 신조차 고장관리 세부현황'!$CY:$CY,"신호")</f>
        <v>0</v>
      </c>
      <c r="BE288" s="85">
        <f>COUNTIFS('2023년 신조차 고장관리 세부현황'!$K:$K,"128R",'2023년 신조차 고장관리 세부현황'!$P:$P,"&gt;="&amp;'트랜드 분석_15일'!BD$18,'2023년 신조차 고장관리 세부현황'!$P:$P,"&lt;"&amp;'트랜드 분석_15일'!BE$18,'2023년 신조차 고장관리 세부현황'!$BC:$BC,"완료",'2023년 신조차 고장관리 세부현황'!$CY:$CY,"신호")</f>
        <v>0</v>
      </c>
      <c r="BF288" s="85">
        <f>COUNTIFS('2023년 신조차 고장관리 세부현황'!$K:$K,"128R",'2023년 신조차 고장관리 세부현황'!$P:$P,"&gt;="&amp;'트랜드 분석_15일'!BE$18,'2023년 신조차 고장관리 세부현황'!$P:$P,"&lt;"&amp;'트랜드 분석_15일'!BF$18,'2023년 신조차 고장관리 세부현황'!$BC:$BC,"완료",'2023년 신조차 고장관리 세부현황'!$CY:$CY,"신호")</f>
        <v>0</v>
      </c>
      <c r="BG288" s="85">
        <f>COUNTIFS('2023년 신조차 고장관리 세부현황'!$K:$K,"128R",'2023년 신조차 고장관리 세부현황'!$P:$P,"&gt;="&amp;'트랜드 분석_15일'!BF$18,'2023년 신조차 고장관리 세부현황'!$P:$P,"&lt;"&amp;'트랜드 분석_15일'!BG$18,'2023년 신조차 고장관리 세부현황'!$BC:$BC,"완료",'2023년 신조차 고장관리 세부현황'!$CY:$CY,"신호")</f>
        <v>0</v>
      </c>
      <c r="BH288" s="85">
        <f>COUNTIFS('2023년 신조차 고장관리 세부현황'!$K:$K,"128R",'2023년 신조차 고장관리 세부현황'!$P:$P,"&gt;="&amp;'트랜드 분석_15일'!BG$18,'2023년 신조차 고장관리 세부현황'!$P:$P,"&lt;"&amp;'트랜드 분석_15일'!BH$18,'2023년 신조차 고장관리 세부현황'!$BC:$BC,"완료",'2023년 신조차 고장관리 세부현황'!$CY:$CY,"신호")</f>
        <v>0</v>
      </c>
      <c r="BI288" s="85">
        <f>COUNTIFS('2023년 신조차 고장관리 세부현황'!$K:$K,"128R",'2023년 신조차 고장관리 세부현황'!$P:$P,"&gt;="&amp;'트랜드 분석_15일'!BH$18,'2023년 신조차 고장관리 세부현황'!$P:$P,"&lt;"&amp;'트랜드 분석_15일'!BI$18,'2023년 신조차 고장관리 세부현황'!$BC:$BC,"완료",'2023년 신조차 고장관리 세부현황'!$CY:$CY,"신호")</f>
        <v>0</v>
      </c>
      <c r="BJ288" s="85">
        <f>COUNTIFS('2023년 신조차 고장관리 세부현황'!$K:$K,"128R",'2023년 신조차 고장관리 세부현황'!$P:$P,"&gt;="&amp;'트랜드 분석_15일'!BI$18,'2023년 신조차 고장관리 세부현황'!$P:$P,"&lt;"&amp;'트랜드 분석_15일'!BJ$18,'2023년 신조차 고장관리 세부현황'!$BC:$BC,"완료",'2023년 신조차 고장관리 세부현황'!$CY:$CY,"신호")</f>
        <v>0</v>
      </c>
      <c r="BK288" s="85">
        <f>COUNTIFS('2023년 신조차 고장관리 세부현황'!$K:$K,"128R",'2023년 신조차 고장관리 세부현황'!$P:$P,"&gt;="&amp;'트랜드 분석_15일'!BJ$18,'2023년 신조차 고장관리 세부현황'!$P:$P,"&lt;"&amp;'트랜드 분석_15일'!BK$18,'2023년 신조차 고장관리 세부현황'!$BC:$BC,"완료",'2023년 신조차 고장관리 세부현황'!$CY:$CY,"신호")</f>
        <v>0</v>
      </c>
      <c r="BL288" s="85">
        <f>COUNTIFS('2023년 신조차 고장관리 세부현황'!$K:$K,"128R",'2023년 신조차 고장관리 세부현황'!$P:$P,"&gt;="&amp;'트랜드 분석_15일'!BK$18,'2023년 신조차 고장관리 세부현황'!$P:$P,"&lt;"&amp;'트랜드 분석_15일'!BL$18,'2023년 신조차 고장관리 세부현황'!$BC:$BC,"완료",'2023년 신조차 고장관리 세부현황'!$CY:$CY,"신호")</f>
        <v>0</v>
      </c>
      <c r="BM288" s="85">
        <f>COUNTIFS('2023년 신조차 고장관리 세부현황'!$K:$K,"128R",'2023년 신조차 고장관리 세부현황'!$P:$P,"&gt;="&amp;'트랜드 분석_15일'!BL$18,'2023년 신조차 고장관리 세부현황'!$P:$P,"&lt;"&amp;'트랜드 분석_15일'!BM$18,'2023년 신조차 고장관리 세부현황'!$BC:$BC,"완료",'2023년 신조차 고장관리 세부현황'!$CY:$CY,"신호")</f>
        <v>0</v>
      </c>
      <c r="BN288" s="85">
        <f>COUNTIFS('2023년 신조차 고장관리 세부현황'!$K:$K,"128R",'2023년 신조차 고장관리 세부현황'!$P:$P,"&gt;="&amp;'트랜드 분석_15일'!BM$18,'2023년 신조차 고장관리 세부현황'!$P:$P,"&lt;"&amp;'트랜드 분석_15일'!BN$18,'2023년 신조차 고장관리 세부현황'!$BC:$BC,"완료",'2023년 신조차 고장관리 세부현황'!$CY:$CY,"신호")</f>
        <v>0</v>
      </c>
      <c r="BO288" s="85">
        <f>COUNTIFS('2023년 신조차 고장관리 세부현황'!$K:$K,"128R",'2023년 신조차 고장관리 세부현황'!$P:$P,"&gt;="&amp;'트랜드 분석_15일'!BN$18,'2023년 신조차 고장관리 세부현황'!$P:$P,"&lt;"&amp;'트랜드 분석_15일'!BO$18,'2023년 신조차 고장관리 세부현황'!$BC:$BC,"완료",'2023년 신조차 고장관리 세부현황'!$CY:$CY,"신호")</f>
        <v>0</v>
      </c>
      <c r="BP288" s="85">
        <f>COUNTIFS('2023년 신조차 고장관리 세부현황'!$K:$K,"128R",'2023년 신조차 고장관리 세부현황'!$P:$P,"&gt;="&amp;'트랜드 분석_15일'!BO$18,'2023년 신조차 고장관리 세부현황'!$P:$P,"&lt;"&amp;'트랜드 분석_15일'!BP$18,'2023년 신조차 고장관리 세부현황'!$BC:$BC,"완료",'2023년 신조차 고장관리 세부현황'!$CY:$CY,"신호")</f>
        <v>0</v>
      </c>
      <c r="BQ288" s="85">
        <f>COUNTIFS('2023년 신조차 고장관리 세부현황'!$K:$K,"128R",'2023년 신조차 고장관리 세부현황'!$P:$P,"&gt;="&amp;'트랜드 분석_15일'!BP$18,'2023년 신조차 고장관리 세부현황'!$P:$P,"&lt;"&amp;'트랜드 분석_15일'!BQ$18,'2023년 신조차 고장관리 세부현황'!$BC:$BC,"완료",'2023년 신조차 고장관리 세부현황'!$CY:$CY,"신호")</f>
        <v>0</v>
      </c>
      <c r="BR288" s="85">
        <f>COUNTIFS('2023년 신조차 고장관리 세부현황'!$K:$K,"128R",'2023년 신조차 고장관리 세부현황'!$P:$P,"&gt;="&amp;'트랜드 분석_15일'!BQ$18,'2023년 신조차 고장관리 세부현황'!$P:$P,"&lt;"&amp;'트랜드 분석_15일'!BR$18,'2023년 신조차 고장관리 세부현황'!$BC:$BC,"완료",'2023년 신조차 고장관리 세부현황'!$CY:$CY,"신호")</f>
        <v>0</v>
      </c>
      <c r="BS288" s="85">
        <f>COUNTIFS('2023년 신조차 고장관리 세부현황'!$K:$K,"128R",'2023년 신조차 고장관리 세부현황'!$P:$P,"&gt;="&amp;'트랜드 분석_15일'!BR$18,'2023년 신조차 고장관리 세부현황'!$P:$P,"&lt;"&amp;'트랜드 분석_15일'!BS$18,'2023년 신조차 고장관리 세부현황'!$BC:$BC,"완료",'2023년 신조차 고장관리 세부현황'!$CY:$CY,"신호")</f>
        <v>0</v>
      </c>
      <c r="BT288" s="85">
        <f>COUNTIFS('2023년 신조차 고장관리 세부현황'!$K:$K,"128R",'2023년 신조차 고장관리 세부현황'!$P:$P,"&gt;="&amp;'트랜드 분석_15일'!BS$18,'2023년 신조차 고장관리 세부현황'!$P:$P,"&lt;"&amp;'트랜드 분석_15일'!BT$18,'2023년 신조차 고장관리 세부현황'!$BC:$BC,"완료",'2023년 신조차 고장관리 세부현황'!$CY:$CY,"신호")</f>
        <v>0</v>
      </c>
      <c r="BU288" s="85">
        <f>COUNTIFS('2023년 신조차 고장관리 세부현황'!$K:$K,"128R",'2023년 신조차 고장관리 세부현황'!$P:$P,"&gt;="&amp;'트랜드 분석_15일'!BT$18,'2023년 신조차 고장관리 세부현황'!$P:$P,"&lt;"&amp;'트랜드 분석_15일'!BU$18,'2023년 신조차 고장관리 세부현황'!$BC:$BC,"완료",'2023년 신조차 고장관리 세부현황'!$CY:$CY,"신호")</f>
        <v>0</v>
      </c>
      <c r="BV288" s="85">
        <f>COUNTIFS('2023년 신조차 고장관리 세부현황'!$K:$K,"128R",'2023년 신조차 고장관리 세부현황'!$P:$P,"&gt;="&amp;'트랜드 분석_15일'!BU$18,'2023년 신조차 고장관리 세부현황'!$P:$P,"&lt;"&amp;'트랜드 분석_15일'!BV$18,'2023년 신조차 고장관리 세부현황'!$BC:$BC,"완료",'2023년 신조차 고장관리 세부현황'!$CY:$CY,"신호")</f>
        <v>0</v>
      </c>
      <c r="BW288" s="85">
        <f>COUNTIFS('2023년 신조차 고장관리 세부현황'!$K:$K,"128R",'2023년 신조차 고장관리 세부현황'!$P:$P,"&gt;="&amp;'트랜드 분석_15일'!BV$18,'2023년 신조차 고장관리 세부현황'!$P:$P,"&lt;"&amp;'트랜드 분석_15일'!BW$18,'2023년 신조차 고장관리 세부현황'!$BC:$BC,"완료",'2023년 신조차 고장관리 세부현황'!$CY:$CY,"신호")</f>
        <v>0</v>
      </c>
      <c r="BX288" s="85">
        <f>COUNTIFS('2023년 신조차 고장관리 세부현황'!$K:$K,"128R",'2023년 신조차 고장관리 세부현황'!$P:$P,"&gt;="&amp;'트랜드 분석_15일'!BW$18,'2023년 신조차 고장관리 세부현황'!$P:$P,"&lt;"&amp;'트랜드 분석_15일'!BX$18,'2023년 신조차 고장관리 세부현황'!$BC:$BC,"완료",'2023년 신조차 고장관리 세부현황'!$CY:$CY,"신호")</f>
        <v>0</v>
      </c>
      <c r="BY288" s="85">
        <f>COUNTIFS('2023년 신조차 고장관리 세부현황'!$K:$K,"128R",'2023년 신조차 고장관리 세부현황'!$P:$P,"&gt;="&amp;'트랜드 분석_15일'!BX$18,'2023년 신조차 고장관리 세부현황'!$P:$P,"&lt;"&amp;'트랜드 분석_15일'!BY$18,'2023년 신조차 고장관리 세부현황'!$BC:$BC,"완료",'2023년 신조차 고장관리 세부현황'!$CY:$CY,"신호")</f>
        <v>0</v>
      </c>
      <c r="BZ288" s="85">
        <f>COUNTIFS('2023년 신조차 고장관리 세부현황'!$K:$K,"128R",'2023년 신조차 고장관리 세부현황'!$P:$P,"&gt;="&amp;'트랜드 분석_15일'!BY$18,'2023년 신조차 고장관리 세부현황'!$P:$P,"&lt;"&amp;'트랜드 분석_15일'!BZ$18,'2023년 신조차 고장관리 세부현황'!$BC:$BC,"완료",'2023년 신조차 고장관리 세부현황'!$CY:$CY,"신호")</f>
        <v>0</v>
      </c>
      <c r="CA288" s="85">
        <f>COUNTIFS('2023년 신조차 고장관리 세부현황'!$K:$K,"128R",'2023년 신조차 고장관리 세부현황'!$P:$P,"&gt;="&amp;'트랜드 분석_15일'!BZ$18,'2023년 신조차 고장관리 세부현황'!$P:$P,"&lt;"&amp;'트랜드 분석_15일'!CA$18,'2023년 신조차 고장관리 세부현황'!$BC:$BC,"완료",'2023년 신조차 고장관리 세부현황'!$CY:$CY,"신호")</f>
        <v>0</v>
      </c>
      <c r="CB288" s="85">
        <f>COUNTIFS('2023년 신조차 고장관리 세부현황'!$K:$K,"128R",'2023년 신조차 고장관리 세부현황'!$P:$P,"&gt;="&amp;'트랜드 분석_15일'!CA$18,'2023년 신조차 고장관리 세부현황'!$P:$P,"&lt;"&amp;'트랜드 분석_15일'!CB$18,'2023년 신조차 고장관리 세부현황'!$BC:$BC,"완료",'2023년 신조차 고장관리 세부현황'!$CY:$CY,"신호")</f>
        <v>0</v>
      </c>
      <c r="CC288" s="85">
        <f>COUNTIFS('2023년 신조차 고장관리 세부현황'!$K:$K,"128R",'2023년 신조차 고장관리 세부현황'!$P:$P,"&gt;="&amp;'트랜드 분석_15일'!CB$18,'2023년 신조차 고장관리 세부현황'!$P:$P,"&lt;"&amp;'트랜드 분석_15일'!CC$18,'2023년 신조차 고장관리 세부현황'!$BC:$BC,"완료",'2023년 신조차 고장관리 세부현황'!$CY:$CY,"신호")</f>
        <v>0</v>
      </c>
      <c r="CD288" s="85">
        <f>COUNTIFS('2023년 신조차 고장관리 세부현황'!$K:$K,"128R",'2023년 신조차 고장관리 세부현황'!$P:$P,"&gt;="&amp;'트랜드 분석_15일'!CC$18,'2023년 신조차 고장관리 세부현황'!$P:$P,"&lt;"&amp;'트랜드 분석_15일'!CD$18,'2023년 신조차 고장관리 세부현황'!$BC:$BC,"완료",'2023년 신조차 고장관리 세부현황'!$CY:$CY,"신호")</f>
        <v>0</v>
      </c>
      <c r="CE288" s="85">
        <f>COUNTIFS('2023년 신조차 고장관리 세부현황'!$K:$K,"128R",'2023년 신조차 고장관리 세부현황'!$P:$P,"&gt;="&amp;'트랜드 분석_15일'!CD$18,'2023년 신조차 고장관리 세부현황'!$P:$P,"&lt;"&amp;'트랜드 분석_15일'!CE$18,'2023년 신조차 고장관리 세부현황'!$BC:$BC,"완료",'2023년 신조차 고장관리 세부현황'!$CY:$CY,"신호")</f>
        <v>0</v>
      </c>
      <c r="CF288" s="85">
        <f>COUNTIFS('2023년 신조차 고장관리 세부현황'!$K:$K,"128R",'2023년 신조차 고장관리 세부현황'!$P:$P,"&gt;="&amp;'트랜드 분석_15일'!CE$18,'2023년 신조차 고장관리 세부현황'!$P:$P,"&lt;"&amp;'트랜드 분석_15일'!CF$18,'2023년 신조차 고장관리 세부현황'!$BC:$BC,"완료",'2023년 신조차 고장관리 세부현황'!$CY:$CY,"신호")</f>
        <v>0</v>
      </c>
      <c r="CG288" s="85">
        <f>COUNTIFS('2023년 신조차 고장관리 세부현황'!$K:$K,"128R",'2023년 신조차 고장관리 세부현황'!$P:$P,"&gt;="&amp;'트랜드 분석_15일'!CF$18,'2023년 신조차 고장관리 세부현황'!$P:$P,"&lt;"&amp;'트랜드 분석_15일'!CG$18,'2023년 신조차 고장관리 세부현황'!$BC:$BC,"완료",'2023년 신조차 고장관리 세부현황'!$CY:$CY,"신호")</f>
        <v>0</v>
      </c>
      <c r="CH288" s="85">
        <f ca="1">COUNTIFS('2023년 신조차 고장관리 세부현황'!$K:$K,"128R",'2023년 신조차 고장관리 세부현황'!$P:$P,"&gt;="&amp;'트랜드 분석_15일'!CG$18,'2023년 신조차 고장관리 세부현황'!$P:$P,"&lt;"&amp;'트랜드 분석_15일'!CH$18,'2023년 신조차 고장관리 세부현황'!$BC:$BC,"완료",'2023년 신조차 고장관리 세부현황'!$CY:$CY,"신호")</f>
        <v>0</v>
      </c>
      <c r="CI288" s="85">
        <f>COUNTIFS('2023년 신조차 고장관리 세부현황'!$K:$K,"128R",'2023년 신조차 고장관리 세부현황'!$P:$P,"&gt;="&amp;'트랜드 분석_15일'!CH$18,'2023년 신조차 고장관리 세부현황'!$P:$P,"&lt;"&amp;'트랜드 분석_15일'!CI$18,'2023년 신조차 고장관리 세부현황'!$BC:$BC,"완료",'2023년 신조차 고장관리 세부현황'!$CY:$CY,"신호")</f>
        <v>0</v>
      </c>
      <c r="CJ288" s="85">
        <f ca="1">COUNTIFS('2023년 신조차 고장관리 세부현황'!$K:$K,"128R",'2023년 신조차 고장관리 세부현황'!$P:$P,"&gt;="&amp;'트랜드 분석_15일'!CI$18,'2023년 신조차 고장관리 세부현황'!$P:$P,"&lt;"&amp;'트랜드 분석_15일'!CJ$18,'2023년 신조차 고장관리 세부현황'!$BC:$BC,"완료",'2023년 신조차 고장관리 세부현황'!$CY:$CY,"신호")</f>
        <v>0</v>
      </c>
      <c r="CK288" s="85">
        <f>COUNTIFS('2023년 신조차 고장관리 세부현황'!$K:$K,"128R",'2023년 신조차 고장관리 세부현황'!$P:$P,"&gt;="&amp;'트랜드 분석_15일'!CJ$18,'2023년 신조차 고장관리 세부현황'!$P:$P,"&lt;"&amp;'트랜드 분석_15일'!CK$18,'2023년 신조차 고장관리 세부현황'!$BC:$BC,"완료",'2023년 신조차 고장관리 세부현황'!$CY:$CY,"신호")</f>
        <v>0</v>
      </c>
      <c r="CL288" s="85">
        <f>COUNTIFS('2023년 신조차 고장관리 세부현황'!$K:$K,"128R",'2023년 신조차 고장관리 세부현황'!$P:$P,"&gt;="&amp;'트랜드 분석_15일'!CK$18,'2023년 신조차 고장관리 세부현황'!$P:$P,"&lt;"&amp;'트랜드 분석_15일'!CL$18,'2023년 신조차 고장관리 세부현황'!$BC:$BC,"완료",'2023년 신조차 고장관리 세부현황'!$CY:$CY,"신호")</f>
        <v>0</v>
      </c>
      <c r="CM288" s="85">
        <f>COUNTIFS('2023년 신조차 고장관리 세부현황'!$K:$K,"128R",'2023년 신조차 고장관리 세부현황'!$P:$P,"&gt;="&amp;'트랜드 분석_15일'!CL$18,'2023년 신조차 고장관리 세부현황'!$P:$P,"&lt;"&amp;'트랜드 분석_15일'!CM$18,'2023년 신조차 고장관리 세부현황'!$BC:$BC,"완료",'2023년 신조차 고장관리 세부현황'!$CY:$CY,"신호")</f>
        <v>0</v>
      </c>
      <c r="CN288" s="85">
        <f>COUNTIFS('2023년 신조차 고장관리 세부현황'!$K:$K,"128R",'2023년 신조차 고장관리 세부현황'!$P:$P,"&gt;="&amp;'트랜드 분석_15일'!CM$18,'2023년 신조차 고장관리 세부현황'!$P:$P,"&lt;"&amp;'트랜드 분석_15일'!CN$18,'2023년 신조차 고장관리 세부현황'!$BC:$BC,"완료",'2023년 신조차 고장관리 세부현황'!$CY:$CY,"신호")</f>
        <v>0</v>
      </c>
      <c r="CO288" s="85">
        <f>COUNTIFS('2023년 신조차 고장관리 세부현황'!$K:$K,"128R",'2023년 신조차 고장관리 세부현황'!$P:$P,"&gt;="&amp;'트랜드 분석_15일'!CN$18,'2023년 신조차 고장관리 세부현황'!$P:$P,"&lt;"&amp;'트랜드 분석_15일'!CO$18,'2023년 신조차 고장관리 세부현황'!$BC:$BC,"완료",'2023년 신조차 고장관리 세부현황'!$CY:$CY,"신호")</f>
        <v>0</v>
      </c>
      <c r="CP288" s="85">
        <f>COUNTIFS('2023년 신조차 고장관리 세부현황'!$K:$K,"128R",'2023년 신조차 고장관리 세부현황'!$P:$P,"&gt;="&amp;'트랜드 분석_15일'!CO$18,'2023년 신조차 고장관리 세부현황'!$P:$P,"&lt;"&amp;'트랜드 분석_15일'!CP$18,'2023년 신조차 고장관리 세부현황'!$BC:$BC,"완료",'2023년 신조차 고장관리 세부현황'!$CY:$CY,"신호")</f>
        <v>0</v>
      </c>
      <c r="CQ288" s="85">
        <f>COUNTIFS('2023년 신조차 고장관리 세부현황'!$K:$K,"128R",'2023년 신조차 고장관리 세부현황'!$P:$P,"&gt;="&amp;'트랜드 분석_15일'!CP$18,'2023년 신조차 고장관리 세부현황'!$P:$P,"&lt;"&amp;'트랜드 분석_15일'!CQ$18,'2023년 신조차 고장관리 세부현황'!$BC:$BC,"완료",'2023년 신조차 고장관리 세부현황'!$CY:$CY,"신호")</f>
        <v>0</v>
      </c>
      <c r="CR288" s="85">
        <f>COUNTIFS('2023년 신조차 고장관리 세부현황'!$K:$K,"128R",'2023년 신조차 고장관리 세부현황'!$P:$P,"&gt;="&amp;'트랜드 분석_15일'!CQ$18,'2023년 신조차 고장관리 세부현황'!$P:$P,"&lt;"&amp;'트랜드 분석_15일'!CR$18,'2023년 신조차 고장관리 세부현황'!$BC:$BC,"완료",'2023년 신조차 고장관리 세부현황'!$CY:$CY,"신호")</f>
        <v>0</v>
      </c>
      <c r="CS288" s="85">
        <f>COUNTIFS('2023년 신조차 고장관리 세부현황'!$K:$K,"128R",'2023년 신조차 고장관리 세부현황'!$P:$P,"&gt;="&amp;'트랜드 분석_15일'!CR$18,'2023년 신조차 고장관리 세부현황'!$P:$P,"&lt;"&amp;'트랜드 분석_15일'!CS$18,'2023년 신조차 고장관리 세부현황'!$BC:$BC,"완료",'2023년 신조차 고장관리 세부현황'!$CY:$CY,"신호")</f>
        <v>0</v>
      </c>
      <c r="CT288" s="85">
        <f>COUNTIFS('2023년 신조차 고장관리 세부현황'!$K:$K,"128R",'2023년 신조차 고장관리 세부현황'!$P:$P,"&gt;="&amp;'트랜드 분석_15일'!CS$18,'2023년 신조차 고장관리 세부현황'!$P:$P,"&lt;"&amp;'트랜드 분석_15일'!CT$18,'2023년 신조차 고장관리 세부현황'!$BC:$BC,"완료",'2023년 신조차 고장관리 세부현황'!$CY:$CY,"신호")</f>
        <v>0</v>
      </c>
      <c r="CU288" s="85">
        <f>COUNTIFS('2023년 신조차 고장관리 세부현황'!$K:$K,"128R",'2023년 신조차 고장관리 세부현황'!$P:$P,"&gt;="&amp;'트랜드 분석_15일'!CT$18,'2023년 신조차 고장관리 세부현황'!$P:$P,"&lt;"&amp;'트랜드 분석_15일'!CU$18,'2023년 신조차 고장관리 세부현황'!$BC:$BC,"완료",'2023년 신조차 고장관리 세부현황'!$CY:$CY,"신호")</f>
        <v>0</v>
      </c>
      <c r="CV288" s="85">
        <f>COUNTIFS('2023년 신조차 고장관리 세부현황'!$K:$K,"128R",'2023년 신조차 고장관리 세부현황'!$P:$P,"&gt;="&amp;'트랜드 분석_15일'!CU$18,'2023년 신조차 고장관리 세부현황'!$P:$P,"&lt;"&amp;'트랜드 분석_15일'!CV$18,'2023년 신조차 고장관리 세부현황'!$BC:$BC,"완료",'2023년 신조차 고장관리 세부현황'!$CY:$CY,"신호")</f>
        <v>0</v>
      </c>
      <c r="CW288" s="85">
        <f>COUNTIFS('2023년 신조차 고장관리 세부현황'!$K:$K,"128R",'2023년 신조차 고장관리 세부현황'!$P:$P,"&gt;="&amp;'트랜드 분석_15일'!CV$18,'2023년 신조차 고장관리 세부현황'!$P:$P,"&lt;"&amp;'트랜드 분석_15일'!CW$18,'2023년 신조차 고장관리 세부현황'!$BC:$BC,"완료",'2023년 신조차 고장관리 세부현황'!$CY:$CY,"신호")</f>
        <v>0</v>
      </c>
      <c r="CX288">
        <f ca="1">SUM(G288:CW288)</f>
        <v>0</v>
      </c>
    </row>
    <row r="289" spans="6:103" x14ac:dyDescent="0.4">
      <c r="F289" s="85" t="s">
        <v>164</v>
      </c>
      <c r="G289" s="85">
        <f>COUNTIFS('2023년 신조차 고장관리 세부현황'!$K:$K,"128R",'2023년 신조차 고장관리 세부현황'!$P:$P,"&gt;="&amp;$G$17,'2023년 신조차 고장관리 세부현황'!$P:$P,"&lt;"&amp;'트랜드 분석_15일'!G$18,'2023년 신조차 고장관리 세부현황'!$S:$S,'트랜드 분석_15일'!$F289,'2023년 신조차 고장관리 세부현황'!$BC:$BC,"완료",'2023년 신조차 고장관리 세부현황'!$CY:$CY,"신호")</f>
        <v>0</v>
      </c>
      <c r="H289"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분석_15일'!$F289,'2023년 신조차 고장관리 세부현황'!$BC:$BC,"완료",'2023년 신조차 고장관리 세부현황'!$CY:$CY,"신호")</f>
        <v>0</v>
      </c>
      <c r="I289"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분석_15일'!$F289,'2023년 신조차 고장관리 세부현황'!$BC:$BC,"완료",'2023년 신조차 고장관리 세부현황'!$CY:$CY,"신호")</f>
        <v>0</v>
      </c>
      <c r="J289"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분석_15일'!$F289,'2023년 신조차 고장관리 세부현황'!$BC:$BC,"완료",'2023년 신조차 고장관리 세부현황'!$CY:$CY,"신호")</f>
        <v>0</v>
      </c>
      <c r="K289"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분석_15일'!$F289,'2023년 신조차 고장관리 세부현황'!$BC:$BC,"완료",'2023년 신조차 고장관리 세부현황'!$CY:$CY,"신호")</f>
        <v>0</v>
      </c>
      <c r="L289"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분석_15일'!$F289,'2023년 신조차 고장관리 세부현황'!$BC:$BC,"완료",'2023년 신조차 고장관리 세부현황'!$CY:$CY,"신호")</f>
        <v>0</v>
      </c>
      <c r="M289"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분석_15일'!$F289,'2023년 신조차 고장관리 세부현황'!$BC:$BC,"완료",'2023년 신조차 고장관리 세부현황'!$CY:$CY,"신호")</f>
        <v>0</v>
      </c>
      <c r="N289"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분석_15일'!$F289,'2023년 신조차 고장관리 세부현황'!$BC:$BC,"완료",'2023년 신조차 고장관리 세부현황'!$CY:$CY,"신호")</f>
        <v>0</v>
      </c>
      <c r="O289"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분석_15일'!$F289,'2023년 신조차 고장관리 세부현황'!$BC:$BC,"완료",'2023년 신조차 고장관리 세부현황'!$CY:$CY,"신호")</f>
        <v>0</v>
      </c>
      <c r="P289"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분석_15일'!$F289,'2023년 신조차 고장관리 세부현황'!$BC:$BC,"완료",'2023년 신조차 고장관리 세부현황'!$CY:$CY,"신호")</f>
        <v>0</v>
      </c>
      <c r="Q289"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분석_15일'!$F289,'2023년 신조차 고장관리 세부현황'!$BC:$BC,"완료",'2023년 신조차 고장관리 세부현황'!$CY:$CY,"신호")</f>
        <v>0</v>
      </c>
      <c r="R289"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분석_15일'!$F289,'2023년 신조차 고장관리 세부현황'!$BC:$BC,"완료",'2023년 신조차 고장관리 세부현황'!$CY:$CY,"신호")</f>
        <v>0</v>
      </c>
      <c r="S289"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분석_15일'!$F289,'2023년 신조차 고장관리 세부현황'!$BC:$BC,"완료",'2023년 신조차 고장관리 세부현황'!$CY:$CY,"신호")</f>
        <v>0</v>
      </c>
      <c r="T289"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분석_15일'!$F289,'2023년 신조차 고장관리 세부현황'!$BC:$BC,"완료",'2023년 신조차 고장관리 세부현황'!$CY:$CY,"신호")</f>
        <v>0</v>
      </c>
      <c r="U289"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분석_15일'!$F289,'2023년 신조차 고장관리 세부현황'!$BC:$BC,"완료",'2023년 신조차 고장관리 세부현황'!$CY:$CY,"신호")</f>
        <v>0</v>
      </c>
      <c r="V289"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분석_15일'!$F289,'2023년 신조차 고장관리 세부현황'!$BC:$BC,"완료",'2023년 신조차 고장관리 세부현황'!$CY:$CY,"신호")</f>
        <v>0</v>
      </c>
      <c r="W289"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분석_15일'!$F289,'2023년 신조차 고장관리 세부현황'!$BC:$BC,"완료",'2023년 신조차 고장관리 세부현황'!$CY:$CY,"신호")</f>
        <v>0</v>
      </c>
      <c r="X289"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분석_15일'!$F289,'2023년 신조차 고장관리 세부현황'!$BC:$BC,"완료",'2023년 신조차 고장관리 세부현황'!$CY:$CY,"신호")</f>
        <v>0</v>
      </c>
      <c r="Y289"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분석_15일'!$F289,'2023년 신조차 고장관리 세부현황'!$BC:$BC,"완료",'2023년 신조차 고장관리 세부현황'!$CY:$CY,"신호")</f>
        <v>0</v>
      </c>
      <c r="Z289"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분석_15일'!$F289,'2023년 신조차 고장관리 세부현황'!$BC:$BC,"완료",'2023년 신조차 고장관리 세부현황'!$CY:$CY,"신호")</f>
        <v>0</v>
      </c>
      <c r="AA289"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분석_15일'!$F289,'2023년 신조차 고장관리 세부현황'!$BC:$BC,"완료",'2023년 신조차 고장관리 세부현황'!$CY:$CY,"신호")</f>
        <v>0</v>
      </c>
      <c r="AB289"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분석_15일'!$F289,'2023년 신조차 고장관리 세부현황'!$BC:$BC,"완료",'2023년 신조차 고장관리 세부현황'!$CY:$CY,"신호")</f>
        <v>0</v>
      </c>
      <c r="AC289"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분석_15일'!$F289,'2023년 신조차 고장관리 세부현황'!$BC:$BC,"완료",'2023년 신조차 고장관리 세부현황'!$CY:$CY,"신호")</f>
        <v>0</v>
      </c>
      <c r="AD289"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분석_15일'!$F289,'2023년 신조차 고장관리 세부현황'!$BC:$BC,"완료",'2023년 신조차 고장관리 세부현황'!$CY:$CY,"신호")</f>
        <v>0</v>
      </c>
      <c r="AE289"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분석_15일'!$F289,'2023년 신조차 고장관리 세부현황'!$BC:$BC,"완료",'2023년 신조차 고장관리 세부현황'!$CY:$CY,"신호")</f>
        <v>0</v>
      </c>
      <c r="AF289"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분석_15일'!$F289,'2023년 신조차 고장관리 세부현황'!$BC:$BC,"완료",'2023년 신조차 고장관리 세부현황'!$CY:$CY,"신호")</f>
        <v>0</v>
      </c>
      <c r="AG289"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분석_15일'!$F289,'2023년 신조차 고장관리 세부현황'!$BC:$BC,"완료",'2023년 신조차 고장관리 세부현황'!$CY:$CY,"신호")</f>
        <v>0</v>
      </c>
      <c r="AH289"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분석_15일'!$F289,'2023년 신조차 고장관리 세부현황'!$BC:$BC,"완료",'2023년 신조차 고장관리 세부현황'!$CY:$CY,"신호")</f>
        <v>0</v>
      </c>
      <c r="AI289"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분석_15일'!$F289,'2023년 신조차 고장관리 세부현황'!$BC:$BC,"완료",'2023년 신조차 고장관리 세부현황'!$CY:$CY,"신호")</f>
        <v>0</v>
      </c>
      <c r="AJ289"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분석_15일'!$F289,'2023년 신조차 고장관리 세부현황'!$BC:$BC,"완료",'2023년 신조차 고장관리 세부현황'!$CY:$CY,"신호")</f>
        <v>0</v>
      </c>
      <c r="AK289"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분석_15일'!$F289,'2023년 신조차 고장관리 세부현황'!$BC:$BC,"완료",'2023년 신조차 고장관리 세부현황'!$CY:$CY,"신호")</f>
        <v>0</v>
      </c>
      <c r="AL289"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분석_15일'!$F289,'2023년 신조차 고장관리 세부현황'!$BC:$BC,"완료",'2023년 신조차 고장관리 세부현황'!$CY:$CY,"신호")</f>
        <v>0</v>
      </c>
      <c r="AM289"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분석_15일'!$F289,'2023년 신조차 고장관리 세부현황'!$BC:$BC,"완료",'2023년 신조차 고장관리 세부현황'!$CY:$CY,"신호")</f>
        <v>0</v>
      </c>
      <c r="AN289"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분석_15일'!$F289,'2023년 신조차 고장관리 세부현황'!$BC:$BC,"완료",'2023년 신조차 고장관리 세부현황'!$CY:$CY,"신호")</f>
        <v>0</v>
      </c>
      <c r="AO289"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분석_15일'!$F289,'2023년 신조차 고장관리 세부현황'!$BC:$BC,"완료",'2023년 신조차 고장관리 세부현황'!$CY:$CY,"신호")</f>
        <v>0</v>
      </c>
      <c r="AP289"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분석_15일'!$F289,'2023년 신조차 고장관리 세부현황'!$BC:$BC,"완료",'2023년 신조차 고장관리 세부현황'!$CY:$CY,"신호")</f>
        <v>0</v>
      </c>
      <c r="AQ289"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분석_15일'!$F289,'2023년 신조차 고장관리 세부현황'!$BC:$BC,"완료",'2023년 신조차 고장관리 세부현황'!$CY:$CY,"신호")</f>
        <v>0</v>
      </c>
      <c r="AR289"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분석_15일'!$F289,'2023년 신조차 고장관리 세부현황'!$BC:$BC,"완료",'2023년 신조차 고장관리 세부현황'!$CY:$CY,"신호")</f>
        <v>0</v>
      </c>
      <c r="AS289"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분석_15일'!$F289,'2023년 신조차 고장관리 세부현황'!$BC:$BC,"완료",'2023년 신조차 고장관리 세부현황'!$CY:$CY,"신호")</f>
        <v>0</v>
      </c>
      <c r="AT289"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분석_15일'!$F289,'2023년 신조차 고장관리 세부현황'!$BC:$BC,"완료",'2023년 신조차 고장관리 세부현황'!$CY:$CY,"신호")</f>
        <v>0</v>
      </c>
      <c r="AU289"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분석_15일'!$F289,'2023년 신조차 고장관리 세부현황'!$BC:$BC,"완료",'2023년 신조차 고장관리 세부현황'!$CY:$CY,"신호")</f>
        <v>0</v>
      </c>
      <c r="AV289"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분석_15일'!$F289,'2023년 신조차 고장관리 세부현황'!$BC:$BC,"완료",'2023년 신조차 고장관리 세부현황'!$CY:$CY,"신호")</f>
        <v>0</v>
      </c>
      <c r="AW289"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분석_15일'!$F289,'2023년 신조차 고장관리 세부현황'!$BC:$BC,"완료",'2023년 신조차 고장관리 세부현황'!$CY:$CY,"신호")</f>
        <v>0</v>
      </c>
      <c r="AX289"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분석_15일'!$F289,'2023년 신조차 고장관리 세부현황'!$BC:$BC,"완료",'2023년 신조차 고장관리 세부현황'!$CY:$CY,"신호")</f>
        <v>0</v>
      </c>
      <c r="AY289"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분석_15일'!$F289,'2023년 신조차 고장관리 세부현황'!$BC:$BC,"완료",'2023년 신조차 고장관리 세부현황'!$CY:$CY,"신호")</f>
        <v>0</v>
      </c>
      <c r="AZ289"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분석_15일'!$F289,'2023년 신조차 고장관리 세부현황'!$BC:$BC,"완료",'2023년 신조차 고장관리 세부현황'!$CY:$CY,"신호")</f>
        <v>0</v>
      </c>
      <c r="BA289"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분석_15일'!$F289,'2023년 신조차 고장관리 세부현황'!$BC:$BC,"완료",'2023년 신조차 고장관리 세부현황'!$CY:$CY,"신호")</f>
        <v>0</v>
      </c>
      <c r="BB289"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분석_15일'!$F289,'2023년 신조차 고장관리 세부현황'!$BC:$BC,"완료",'2023년 신조차 고장관리 세부현황'!$CY:$CY,"신호")</f>
        <v>0</v>
      </c>
      <c r="BC289"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분석_15일'!$F289,'2023년 신조차 고장관리 세부현황'!$BC:$BC,"완료",'2023년 신조차 고장관리 세부현황'!$CY:$CY,"신호")</f>
        <v>0</v>
      </c>
      <c r="BD289"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분석_15일'!$F289,'2023년 신조차 고장관리 세부현황'!$BC:$BC,"완료",'2023년 신조차 고장관리 세부현황'!$CY:$CY,"신호")</f>
        <v>0</v>
      </c>
      <c r="BE289"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분석_15일'!$F289,'2023년 신조차 고장관리 세부현황'!$BC:$BC,"완료",'2023년 신조차 고장관리 세부현황'!$CY:$CY,"신호")</f>
        <v>0</v>
      </c>
      <c r="BF289"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분석_15일'!$F289,'2023년 신조차 고장관리 세부현황'!$BC:$BC,"완료",'2023년 신조차 고장관리 세부현황'!$CY:$CY,"신호")</f>
        <v>0</v>
      </c>
      <c r="BG289"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분석_15일'!$F289,'2023년 신조차 고장관리 세부현황'!$BC:$BC,"완료",'2023년 신조차 고장관리 세부현황'!$CY:$CY,"신호")</f>
        <v>0</v>
      </c>
      <c r="BH289"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분석_15일'!$F289,'2023년 신조차 고장관리 세부현황'!$BC:$BC,"완료",'2023년 신조차 고장관리 세부현황'!$CY:$CY,"신호")</f>
        <v>0</v>
      </c>
      <c r="BI289"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분석_15일'!$F289,'2023년 신조차 고장관리 세부현황'!$BC:$BC,"완료",'2023년 신조차 고장관리 세부현황'!$CY:$CY,"신호")</f>
        <v>0</v>
      </c>
      <c r="BJ289"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분석_15일'!$F289,'2023년 신조차 고장관리 세부현황'!$BC:$BC,"완료",'2023년 신조차 고장관리 세부현황'!$CY:$CY,"신호")</f>
        <v>0</v>
      </c>
      <c r="BK289"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분석_15일'!$F289,'2023년 신조차 고장관리 세부현황'!$BC:$BC,"완료",'2023년 신조차 고장관리 세부현황'!$CY:$CY,"신호")</f>
        <v>0</v>
      </c>
      <c r="BL289"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분석_15일'!$F289,'2023년 신조차 고장관리 세부현황'!$BC:$BC,"완료",'2023년 신조차 고장관리 세부현황'!$CY:$CY,"신호")</f>
        <v>0</v>
      </c>
      <c r="BM289"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분석_15일'!$F289,'2023년 신조차 고장관리 세부현황'!$BC:$BC,"완료",'2023년 신조차 고장관리 세부현황'!$CY:$CY,"신호")</f>
        <v>0</v>
      </c>
      <c r="BN289"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분석_15일'!$F289,'2023년 신조차 고장관리 세부현황'!$BC:$BC,"완료",'2023년 신조차 고장관리 세부현황'!$CY:$CY,"신호")</f>
        <v>0</v>
      </c>
      <c r="BO289"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분석_15일'!$F289,'2023년 신조차 고장관리 세부현황'!$BC:$BC,"완료",'2023년 신조차 고장관리 세부현황'!$CY:$CY,"신호")</f>
        <v>0</v>
      </c>
      <c r="BP289"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분석_15일'!$F289,'2023년 신조차 고장관리 세부현황'!$BC:$BC,"완료",'2023년 신조차 고장관리 세부현황'!$CY:$CY,"신호")</f>
        <v>0</v>
      </c>
      <c r="BQ289"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분석_15일'!$F289,'2023년 신조차 고장관리 세부현황'!$BC:$BC,"완료",'2023년 신조차 고장관리 세부현황'!$CY:$CY,"신호")</f>
        <v>0</v>
      </c>
      <c r="BR289"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분석_15일'!$F289,'2023년 신조차 고장관리 세부현황'!$BC:$BC,"완료",'2023년 신조차 고장관리 세부현황'!$CY:$CY,"신호")</f>
        <v>0</v>
      </c>
      <c r="BS289"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분석_15일'!$F289,'2023년 신조차 고장관리 세부현황'!$BC:$BC,"완료",'2023년 신조차 고장관리 세부현황'!$CY:$CY,"신호")</f>
        <v>0</v>
      </c>
      <c r="BT289"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분석_15일'!$F289,'2023년 신조차 고장관리 세부현황'!$BC:$BC,"완료",'2023년 신조차 고장관리 세부현황'!$CY:$CY,"신호")</f>
        <v>0</v>
      </c>
      <c r="BU289"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분석_15일'!$F289,'2023년 신조차 고장관리 세부현황'!$BC:$BC,"완료",'2023년 신조차 고장관리 세부현황'!$CY:$CY,"신호")</f>
        <v>0</v>
      </c>
      <c r="BV289"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분석_15일'!$F289,'2023년 신조차 고장관리 세부현황'!$BC:$BC,"완료",'2023년 신조차 고장관리 세부현황'!$CY:$CY,"신호")</f>
        <v>0</v>
      </c>
      <c r="BW289"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분석_15일'!$F289,'2023년 신조차 고장관리 세부현황'!$BC:$BC,"완료",'2023년 신조차 고장관리 세부현황'!$CY:$CY,"신호")</f>
        <v>0</v>
      </c>
      <c r="BX289"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분석_15일'!$F289,'2023년 신조차 고장관리 세부현황'!$BC:$BC,"완료",'2023년 신조차 고장관리 세부현황'!$CY:$CY,"신호")</f>
        <v>0</v>
      </c>
      <c r="BY289"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분석_15일'!$F289,'2023년 신조차 고장관리 세부현황'!$BC:$BC,"완료",'2023년 신조차 고장관리 세부현황'!$CY:$CY,"신호")</f>
        <v>0</v>
      </c>
      <c r="BZ289"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분석_15일'!$F289,'2023년 신조차 고장관리 세부현황'!$BC:$BC,"완료",'2023년 신조차 고장관리 세부현황'!$CY:$CY,"신호")</f>
        <v>0</v>
      </c>
      <c r="CA289"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분석_15일'!$F289,'2023년 신조차 고장관리 세부현황'!$BC:$BC,"완료",'2023년 신조차 고장관리 세부현황'!$CY:$CY,"신호")</f>
        <v>0</v>
      </c>
      <c r="CB289"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분석_15일'!$F289,'2023년 신조차 고장관리 세부현황'!$BC:$BC,"완료",'2023년 신조차 고장관리 세부현황'!$CY:$CY,"신호")</f>
        <v>0</v>
      </c>
      <c r="CC289"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분석_15일'!$F289,'2023년 신조차 고장관리 세부현황'!$BC:$BC,"완료",'2023년 신조차 고장관리 세부현황'!$CY:$CY,"신호")</f>
        <v>0</v>
      </c>
      <c r="CD289"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분석_15일'!$F289,'2023년 신조차 고장관리 세부현황'!$BC:$BC,"완료",'2023년 신조차 고장관리 세부현황'!$CY:$CY,"신호")</f>
        <v>0</v>
      </c>
      <c r="CE289"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분석_15일'!$F289,'2023년 신조차 고장관리 세부현황'!$BC:$BC,"완료",'2023년 신조차 고장관리 세부현황'!$CY:$CY,"신호")</f>
        <v>0</v>
      </c>
      <c r="CF289"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분석_15일'!$F289,'2023년 신조차 고장관리 세부현황'!$BC:$BC,"완료",'2023년 신조차 고장관리 세부현황'!$CY:$CY,"신호")</f>
        <v>0</v>
      </c>
      <c r="CG289"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분석_15일'!$F289,'2023년 신조차 고장관리 세부현황'!$BC:$BC,"완료",'2023년 신조차 고장관리 세부현황'!$CY:$CY,"신호")</f>
        <v>0</v>
      </c>
      <c r="CH289"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분석_15일'!$F289,'2023년 신조차 고장관리 세부현황'!$BC:$BC,"완료",'2023년 신조차 고장관리 세부현황'!$CY:$CY,"신호")</f>
        <v>0</v>
      </c>
      <c r="CI289"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분석_15일'!$F289,'2023년 신조차 고장관리 세부현황'!$BC:$BC,"완료",'2023년 신조차 고장관리 세부현황'!$CY:$CY,"신호")</f>
        <v>0</v>
      </c>
      <c r="CJ289"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분석_15일'!$F289,'2023년 신조차 고장관리 세부현황'!$BC:$BC,"완료",'2023년 신조차 고장관리 세부현황'!$CY:$CY,"신호")</f>
        <v>0</v>
      </c>
      <c r="CK289"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분석_15일'!$F289,'2023년 신조차 고장관리 세부현황'!$BC:$BC,"완료",'2023년 신조차 고장관리 세부현황'!$CY:$CY,"신호")</f>
        <v>0</v>
      </c>
      <c r="CL289"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분석_15일'!$F289,'2023년 신조차 고장관리 세부현황'!$BC:$BC,"완료",'2023년 신조차 고장관리 세부현황'!$CY:$CY,"신호")</f>
        <v>0</v>
      </c>
      <c r="CM289"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분석_15일'!$F289,'2023년 신조차 고장관리 세부현황'!$BC:$BC,"완료",'2023년 신조차 고장관리 세부현황'!$CY:$CY,"신호")</f>
        <v>0</v>
      </c>
      <c r="CN289"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분석_15일'!$F289,'2023년 신조차 고장관리 세부현황'!$BC:$BC,"완료",'2023년 신조차 고장관리 세부현황'!$CY:$CY,"신호")</f>
        <v>0</v>
      </c>
      <c r="CO289"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분석_15일'!$F289,'2023년 신조차 고장관리 세부현황'!$BC:$BC,"완료",'2023년 신조차 고장관리 세부현황'!$CY:$CY,"신호")</f>
        <v>0</v>
      </c>
      <c r="CP289"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분석_15일'!$F289,'2023년 신조차 고장관리 세부현황'!$BC:$BC,"완료",'2023년 신조차 고장관리 세부현황'!$CY:$CY,"신호")</f>
        <v>0</v>
      </c>
      <c r="CQ289"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분석_15일'!$F289,'2023년 신조차 고장관리 세부현황'!$BC:$BC,"완료",'2023년 신조차 고장관리 세부현황'!$CY:$CY,"신호")</f>
        <v>0</v>
      </c>
      <c r="CR289"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분석_15일'!$F289,'2023년 신조차 고장관리 세부현황'!$BC:$BC,"완료",'2023년 신조차 고장관리 세부현황'!$CY:$CY,"신호")</f>
        <v>0</v>
      </c>
      <c r="CS289"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분석_15일'!$F289,'2023년 신조차 고장관리 세부현황'!$BC:$BC,"완료",'2023년 신조차 고장관리 세부현황'!$CY:$CY,"신호")</f>
        <v>0</v>
      </c>
      <c r="CT289"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분석_15일'!$F289,'2023년 신조차 고장관리 세부현황'!$BC:$BC,"완료",'2023년 신조차 고장관리 세부현황'!$CY:$CY,"신호")</f>
        <v>0</v>
      </c>
      <c r="CU289"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분석_15일'!$F289,'2023년 신조차 고장관리 세부현황'!$BC:$BC,"완료",'2023년 신조차 고장관리 세부현황'!$CY:$CY,"신호")</f>
        <v>0</v>
      </c>
      <c r="CV289"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분석_15일'!$F289,'2023년 신조차 고장관리 세부현황'!$BC:$BC,"완료",'2023년 신조차 고장관리 세부현황'!$CY:$CY,"신호")</f>
        <v>0</v>
      </c>
      <c r="CW289"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분석_15일'!$F289,'2023년 신조차 고장관리 세부현황'!$BC:$BC,"완료",'2023년 신조차 고장관리 세부현황'!$CY:$CY,"신호")</f>
        <v>0</v>
      </c>
      <c r="CX289">
        <f>SUM(G289:CW289)</f>
        <v>0</v>
      </c>
    </row>
    <row r="290" spans="6:103" x14ac:dyDescent="0.4">
      <c r="F290" s="85" t="s">
        <v>223</v>
      </c>
      <c r="G290" s="85">
        <f>COUNTIFS('2023년 신조차 고장관리 세부현황'!$K:$K,"128R",'2023년 신조차 고장관리 세부현황'!$P:$P,"&gt;="&amp;$G$17,'2023년 신조차 고장관리 세부현황'!$P:$P,"&lt;"&amp;'트랜드 분석_15일'!G$18,'2023년 신조차 고장관리 세부현황'!$S:$S,'트랜드 분석_15일'!$F290,'2023년 신조차 고장관리 세부현황'!$BC:$BC,"완료",'2023년 신조차 고장관리 세부현황'!$CY:$CY,"신호")</f>
        <v>0</v>
      </c>
      <c r="H290"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분석_15일'!$F290,'2023년 신조차 고장관리 세부현황'!$BC:$BC,"완료",'2023년 신조차 고장관리 세부현황'!$CY:$CY,"신호")</f>
        <v>0</v>
      </c>
      <c r="I290"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분석_15일'!$F290,'2023년 신조차 고장관리 세부현황'!$BC:$BC,"완료",'2023년 신조차 고장관리 세부현황'!$CY:$CY,"신호")</f>
        <v>0</v>
      </c>
      <c r="J290"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분석_15일'!$F290,'2023년 신조차 고장관리 세부현황'!$BC:$BC,"완료",'2023년 신조차 고장관리 세부현황'!$CY:$CY,"신호")</f>
        <v>0</v>
      </c>
      <c r="K290"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분석_15일'!$F290,'2023년 신조차 고장관리 세부현황'!$BC:$BC,"완료",'2023년 신조차 고장관리 세부현황'!$CY:$CY,"신호")</f>
        <v>0</v>
      </c>
      <c r="L290"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분석_15일'!$F290,'2023년 신조차 고장관리 세부현황'!$BC:$BC,"완료",'2023년 신조차 고장관리 세부현황'!$CY:$CY,"신호")</f>
        <v>0</v>
      </c>
      <c r="M290"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분석_15일'!$F290,'2023년 신조차 고장관리 세부현황'!$BC:$BC,"완료",'2023년 신조차 고장관리 세부현황'!$CY:$CY,"신호")</f>
        <v>0</v>
      </c>
      <c r="N290"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분석_15일'!$F290,'2023년 신조차 고장관리 세부현황'!$BC:$BC,"완료",'2023년 신조차 고장관리 세부현황'!$CY:$CY,"신호")</f>
        <v>0</v>
      </c>
      <c r="O290"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분석_15일'!$F290,'2023년 신조차 고장관리 세부현황'!$BC:$BC,"완료",'2023년 신조차 고장관리 세부현황'!$CY:$CY,"신호")</f>
        <v>0</v>
      </c>
      <c r="P290"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분석_15일'!$F290,'2023년 신조차 고장관리 세부현황'!$BC:$BC,"완료",'2023년 신조차 고장관리 세부현황'!$CY:$CY,"신호")</f>
        <v>0</v>
      </c>
      <c r="Q290"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분석_15일'!$F290,'2023년 신조차 고장관리 세부현황'!$BC:$BC,"완료",'2023년 신조차 고장관리 세부현황'!$CY:$CY,"신호")</f>
        <v>0</v>
      </c>
      <c r="R290"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분석_15일'!$F290,'2023년 신조차 고장관리 세부현황'!$BC:$BC,"완료",'2023년 신조차 고장관리 세부현황'!$CY:$CY,"신호")</f>
        <v>0</v>
      </c>
      <c r="S290"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분석_15일'!$F290,'2023년 신조차 고장관리 세부현황'!$BC:$BC,"완료",'2023년 신조차 고장관리 세부현황'!$CY:$CY,"신호")</f>
        <v>0</v>
      </c>
      <c r="T290"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분석_15일'!$F290,'2023년 신조차 고장관리 세부현황'!$BC:$BC,"완료",'2023년 신조차 고장관리 세부현황'!$CY:$CY,"신호")</f>
        <v>0</v>
      </c>
      <c r="U290"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분석_15일'!$F290,'2023년 신조차 고장관리 세부현황'!$BC:$BC,"완료",'2023년 신조차 고장관리 세부현황'!$CY:$CY,"신호")</f>
        <v>0</v>
      </c>
      <c r="V290"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분석_15일'!$F290,'2023년 신조차 고장관리 세부현황'!$BC:$BC,"완료",'2023년 신조차 고장관리 세부현황'!$CY:$CY,"신호")</f>
        <v>0</v>
      </c>
      <c r="W290"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분석_15일'!$F290,'2023년 신조차 고장관리 세부현황'!$BC:$BC,"완료",'2023년 신조차 고장관리 세부현황'!$CY:$CY,"신호")</f>
        <v>0</v>
      </c>
      <c r="X290"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분석_15일'!$F290,'2023년 신조차 고장관리 세부현황'!$BC:$BC,"완료",'2023년 신조차 고장관리 세부현황'!$CY:$CY,"신호")</f>
        <v>0</v>
      </c>
      <c r="Y290"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분석_15일'!$F290,'2023년 신조차 고장관리 세부현황'!$BC:$BC,"완료",'2023년 신조차 고장관리 세부현황'!$CY:$CY,"신호")</f>
        <v>0</v>
      </c>
      <c r="Z290"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분석_15일'!$F290,'2023년 신조차 고장관리 세부현황'!$BC:$BC,"완료",'2023년 신조차 고장관리 세부현황'!$CY:$CY,"신호")</f>
        <v>0</v>
      </c>
      <c r="AA290"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분석_15일'!$F290,'2023년 신조차 고장관리 세부현황'!$BC:$BC,"완료",'2023년 신조차 고장관리 세부현황'!$CY:$CY,"신호")</f>
        <v>0</v>
      </c>
      <c r="AB290"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분석_15일'!$F290,'2023년 신조차 고장관리 세부현황'!$BC:$BC,"완료",'2023년 신조차 고장관리 세부현황'!$CY:$CY,"신호")</f>
        <v>0</v>
      </c>
      <c r="AC290"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분석_15일'!$F290,'2023년 신조차 고장관리 세부현황'!$BC:$BC,"완료",'2023년 신조차 고장관리 세부현황'!$CY:$CY,"신호")</f>
        <v>0</v>
      </c>
      <c r="AD290"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분석_15일'!$F290,'2023년 신조차 고장관리 세부현황'!$BC:$BC,"완료",'2023년 신조차 고장관리 세부현황'!$CY:$CY,"신호")</f>
        <v>0</v>
      </c>
      <c r="AE290"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분석_15일'!$F290,'2023년 신조차 고장관리 세부현황'!$BC:$BC,"완료",'2023년 신조차 고장관리 세부현황'!$CY:$CY,"신호")</f>
        <v>0</v>
      </c>
      <c r="AF290"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분석_15일'!$F290,'2023년 신조차 고장관리 세부현황'!$BC:$BC,"완료",'2023년 신조차 고장관리 세부현황'!$CY:$CY,"신호")</f>
        <v>0</v>
      </c>
      <c r="AG290"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분석_15일'!$F290,'2023년 신조차 고장관리 세부현황'!$BC:$BC,"완료",'2023년 신조차 고장관리 세부현황'!$CY:$CY,"신호")</f>
        <v>0</v>
      </c>
      <c r="AH290"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분석_15일'!$F290,'2023년 신조차 고장관리 세부현황'!$BC:$BC,"완료",'2023년 신조차 고장관리 세부현황'!$CY:$CY,"신호")</f>
        <v>0</v>
      </c>
      <c r="AI290"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분석_15일'!$F290,'2023년 신조차 고장관리 세부현황'!$BC:$BC,"완료",'2023년 신조차 고장관리 세부현황'!$CY:$CY,"신호")</f>
        <v>0</v>
      </c>
      <c r="AJ290"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분석_15일'!$F290,'2023년 신조차 고장관리 세부현황'!$BC:$BC,"완료",'2023년 신조차 고장관리 세부현황'!$CY:$CY,"신호")</f>
        <v>0</v>
      </c>
      <c r="AK290"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분석_15일'!$F290,'2023년 신조차 고장관리 세부현황'!$BC:$BC,"완료",'2023년 신조차 고장관리 세부현황'!$CY:$CY,"신호")</f>
        <v>0</v>
      </c>
      <c r="AL290"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분석_15일'!$F290,'2023년 신조차 고장관리 세부현황'!$BC:$BC,"완료",'2023년 신조차 고장관리 세부현황'!$CY:$CY,"신호")</f>
        <v>0</v>
      </c>
      <c r="AM290"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분석_15일'!$F290,'2023년 신조차 고장관리 세부현황'!$BC:$BC,"완료",'2023년 신조차 고장관리 세부현황'!$CY:$CY,"신호")</f>
        <v>0</v>
      </c>
      <c r="AN290"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분석_15일'!$F290,'2023년 신조차 고장관리 세부현황'!$BC:$BC,"완료",'2023년 신조차 고장관리 세부현황'!$CY:$CY,"신호")</f>
        <v>0</v>
      </c>
      <c r="AO290"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분석_15일'!$F290,'2023년 신조차 고장관리 세부현황'!$BC:$BC,"완료",'2023년 신조차 고장관리 세부현황'!$CY:$CY,"신호")</f>
        <v>0</v>
      </c>
      <c r="AP290"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분석_15일'!$F290,'2023년 신조차 고장관리 세부현황'!$BC:$BC,"완료",'2023년 신조차 고장관리 세부현황'!$CY:$CY,"신호")</f>
        <v>0</v>
      </c>
      <c r="AQ290"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분석_15일'!$F290,'2023년 신조차 고장관리 세부현황'!$BC:$BC,"완료",'2023년 신조차 고장관리 세부현황'!$CY:$CY,"신호")</f>
        <v>0</v>
      </c>
      <c r="AR290"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분석_15일'!$F290,'2023년 신조차 고장관리 세부현황'!$BC:$BC,"완료",'2023년 신조차 고장관리 세부현황'!$CY:$CY,"신호")</f>
        <v>0</v>
      </c>
      <c r="AS290"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분석_15일'!$F290,'2023년 신조차 고장관리 세부현황'!$BC:$BC,"완료",'2023년 신조차 고장관리 세부현황'!$CY:$CY,"신호")</f>
        <v>0</v>
      </c>
      <c r="AT290"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분석_15일'!$F290,'2023년 신조차 고장관리 세부현황'!$BC:$BC,"완료",'2023년 신조차 고장관리 세부현황'!$CY:$CY,"신호")</f>
        <v>0</v>
      </c>
      <c r="AU290"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분석_15일'!$F290,'2023년 신조차 고장관리 세부현황'!$BC:$BC,"완료",'2023년 신조차 고장관리 세부현황'!$CY:$CY,"신호")</f>
        <v>0</v>
      </c>
      <c r="AV290"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분석_15일'!$F290,'2023년 신조차 고장관리 세부현황'!$BC:$BC,"완료",'2023년 신조차 고장관리 세부현황'!$CY:$CY,"신호")</f>
        <v>0</v>
      </c>
      <c r="AW290"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분석_15일'!$F290,'2023년 신조차 고장관리 세부현황'!$BC:$BC,"완료",'2023년 신조차 고장관리 세부현황'!$CY:$CY,"신호")</f>
        <v>0</v>
      </c>
      <c r="AX290"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분석_15일'!$F290,'2023년 신조차 고장관리 세부현황'!$BC:$BC,"완료",'2023년 신조차 고장관리 세부현황'!$CY:$CY,"신호")</f>
        <v>0</v>
      </c>
      <c r="AY290"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분석_15일'!$F290,'2023년 신조차 고장관리 세부현황'!$BC:$BC,"완료",'2023년 신조차 고장관리 세부현황'!$CY:$CY,"신호")</f>
        <v>0</v>
      </c>
      <c r="AZ290"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분석_15일'!$F290,'2023년 신조차 고장관리 세부현황'!$BC:$BC,"완료",'2023년 신조차 고장관리 세부현황'!$CY:$CY,"신호")</f>
        <v>0</v>
      </c>
      <c r="BA290"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분석_15일'!$F290,'2023년 신조차 고장관리 세부현황'!$BC:$BC,"완료",'2023년 신조차 고장관리 세부현황'!$CY:$CY,"신호")</f>
        <v>0</v>
      </c>
      <c r="BB290"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분석_15일'!$F290,'2023년 신조차 고장관리 세부현황'!$BC:$BC,"완료",'2023년 신조차 고장관리 세부현황'!$CY:$CY,"신호")</f>
        <v>0</v>
      </c>
      <c r="BC290"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분석_15일'!$F290,'2023년 신조차 고장관리 세부현황'!$BC:$BC,"완료",'2023년 신조차 고장관리 세부현황'!$CY:$CY,"신호")</f>
        <v>0</v>
      </c>
      <c r="BD290"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분석_15일'!$F290,'2023년 신조차 고장관리 세부현황'!$BC:$BC,"완료",'2023년 신조차 고장관리 세부현황'!$CY:$CY,"신호")</f>
        <v>0</v>
      </c>
      <c r="BE290"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분석_15일'!$F290,'2023년 신조차 고장관리 세부현황'!$BC:$BC,"완료",'2023년 신조차 고장관리 세부현황'!$CY:$CY,"신호")</f>
        <v>0</v>
      </c>
      <c r="BF290"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분석_15일'!$F290,'2023년 신조차 고장관리 세부현황'!$BC:$BC,"완료",'2023년 신조차 고장관리 세부현황'!$CY:$CY,"신호")</f>
        <v>0</v>
      </c>
      <c r="BG290"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분석_15일'!$F290,'2023년 신조차 고장관리 세부현황'!$BC:$BC,"완료",'2023년 신조차 고장관리 세부현황'!$CY:$CY,"신호")</f>
        <v>0</v>
      </c>
      <c r="BH290"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분석_15일'!$F290,'2023년 신조차 고장관리 세부현황'!$BC:$BC,"완료",'2023년 신조차 고장관리 세부현황'!$CY:$CY,"신호")</f>
        <v>0</v>
      </c>
      <c r="BI290"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분석_15일'!$F290,'2023년 신조차 고장관리 세부현황'!$BC:$BC,"완료",'2023년 신조차 고장관리 세부현황'!$CY:$CY,"신호")</f>
        <v>0</v>
      </c>
      <c r="BJ290"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분석_15일'!$F290,'2023년 신조차 고장관리 세부현황'!$BC:$BC,"완료",'2023년 신조차 고장관리 세부현황'!$CY:$CY,"신호")</f>
        <v>0</v>
      </c>
      <c r="BK290"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분석_15일'!$F290,'2023년 신조차 고장관리 세부현황'!$BC:$BC,"완료",'2023년 신조차 고장관리 세부현황'!$CY:$CY,"신호")</f>
        <v>0</v>
      </c>
      <c r="BL290"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분석_15일'!$F290,'2023년 신조차 고장관리 세부현황'!$BC:$BC,"완료",'2023년 신조차 고장관리 세부현황'!$CY:$CY,"신호")</f>
        <v>0</v>
      </c>
      <c r="BM290"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분석_15일'!$F290,'2023년 신조차 고장관리 세부현황'!$BC:$BC,"완료",'2023년 신조차 고장관리 세부현황'!$CY:$CY,"신호")</f>
        <v>0</v>
      </c>
      <c r="BN290"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분석_15일'!$F290,'2023년 신조차 고장관리 세부현황'!$BC:$BC,"완료",'2023년 신조차 고장관리 세부현황'!$CY:$CY,"신호")</f>
        <v>0</v>
      </c>
      <c r="BO290"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분석_15일'!$F290,'2023년 신조차 고장관리 세부현황'!$BC:$BC,"완료",'2023년 신조차 고장관리 세부현황'!$CY:$CY,"신호")</f>
        <v>0</v>
      </c>
      <c r="BP290"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분석_15일'!$F290,'2023년 신조차 고장관리 세부현황'!$BC:$BC,"완료",'2023년 신조차 고장관리 세부현황'!$CY:$CY,"신호")</f>
        <v>0</v>
      </c>
      <c r="BQ290"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분석_15일'!$F290,'2023년 신조차 고장관리 세부현황'!$BC:$BC,"완료",'2023년 신조차 고장관리 세부현황'!$CY:$CY,"신호")</f>
        <v>0</v>
      </c>
      <c r="BR290"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분석_15일'!$F290,'2023년 신조차 고장관리 세부현황'!$BC:$BC,"완료",'2023년 신조차 고장관리 세부현황'!$CY:$CY,"신호")</f>
        <v>0</v>
      </c>
      <c r="BS290"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분석_15일'!$F290,'2023년 신조차 고장관리 세부현황'!$BC:$BC,"완료",'2023년 신조차 고장관리 세부현황'!$CY:$CY,"신호")</f>
        <v>0</v>
      </c>
      <c r="BT290"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분석_15일'!$F290,'2023년 신조차 고장관리 세부현황'!$BC:$BC,"완료",'2023년 신조차 고장관리 세부현황'!$CY:$CY,"신호")</f>
        <v>0</v>
      </c>
      <c r="BU290"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분석_15일'!$F290,'2023년 신조차 고장관리 세부현황'!$BC:$BC,"완료",'2023년 신조차 고장관리 세부현황'!$CY:$CY,"신호")</f>
        <v>0</v>
      </c>
      <c r="BV290"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분석_15일'!$F290,'2023년 신조차 고장관리 세부현황'!$BC:$BC,"완료",'2023년 신조차 고장관리 세부현황'!$CY:$CY,"신호")</f>
        <v>0</v>
      </c>
      <c r="BW290"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분석_15일'!$F290,'2023년 신조차 고장관리 세부현황'!$BC:$BC,"완료",'2023년 신조차 고장관리 세부현황'!$CY:$CY,"신호")</f>
        <v>0</v>
      </c>
      <c r="BX290"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분석_15일'!$F290,'2023년 신조차 고장관리 세부현황'!$BC:$BC,"완료",'2023년 신조차 고장관리 세부현황'!$CY:$CY,"신호")</f>
        <v>0</v>
      </c>
      <c r="BY290"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분석_15일'!$F290,'2023년 신조차 고장관리 세부현황'!$BC:$BC,"완료",'2023년 신조차 고장관리 세부현황'!$CY:$CY,"신호")</f>
        <v>0</v>
      </c>
      <c r="BZ290"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분석_15일'!$F290,'2023년 신조차 고장관리 세부현황'!$BC:$BC,"완료",'2023년 신조차 고장관리 세부현황'!$CY:$CY,"신호")</f>
        <v>0</v>
      </c>
      <c r="CA290"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분석_15일'!$F290,'2023년 신조차 고장관리 세부현황'!$BC:$BC,"완료",'2023년 신조차 고장관리 세부현황'!$CY:$CY,"신호")</f>
        <v>0</v>
      </c>
      <c r="CB290"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분석_15일'!$F290,'2023년 신조차 고장관리 세부현황'!$BC:$BC,"완료",'2023년 신조차 고장관리 세부현황'!$CY:$CY,"신호")</f>
        <v>0</v>
      </c>
      <c r="CC290"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분석_15일'!$F290,'2023년 신조차 고장관리 세부현황'!$BC:$BC,"완료",'2023년 신조차 고장관리 세부현황'!$CY:$CY,"신호")</f>
        <v>0</v>
      </c>
      <c r="CD290"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분석_15일'!$F290,'2023년 신조차 고장관리 세부현황'!$BC:$BC,"완료",'2023년 신조차 고장관리 세부현황'!$CY:$CY,"신호")</f>
        <v>0</v>
      </c>
      <c r="CE290"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분석_15일'!$F290,'2023년 신조차 고장관리 세부현황'!$BC:$BC,"완료",'2023년 신조차 고장관리 세부현황'!$CY:$CY,"신호")</f>
        <v>0</v>
      </c>
      <c r="CF290"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분석_15일'!$F290,'2023년 신조차 고장관리 세부현황'!$BC:$BC,"완료",'2023년 신조차 고장관리 세부현황'!$CY:$CY,"신호")</f>
        <v>0</v>
      </c>
      <c r="CG290"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분석_15일'!$F290,'2023년 신조차 고장관리 세부현황'!$BC:$BC,"완료",'2023년 신조차 고장관리 세부현황'!$CY:$CY,"신호")</f>
        <v>0</v>
      </c>
      <c r="CH290"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분석_15일'!$F290,'2023년 신조차 고장관리 세부현황'!$BC:$BC,"완료",'2023년 신조차 고장관리 세부현황'!$CY:$CY,"신호")</f>
        <v>0</v>
      </c>
      <c r="CI290"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분석_15일'!$F290,'2023년 신조차 고장관리 세부현황'!$BC:$BC,"완료",'2023년 신조차 고장관리 세부현황'!$CY:$CY,"신호")</f>
        <v>0</v>
      </c>
      <c r="CJ290"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분석_15일'!$F290,'2023년 신조차 고장관리 세부현황'!$BC:$BC,"완료",'2023년 신조차 고장관리 세부현황'!$CY:$CY,"신호")</f>
        <v>0</v>
      </c>
      <c r="CK290"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분석_15일'!$F290,'2023년 신조차 고장관리 세부현황'!$BC:$BC,"완료",'2023년 신조차 고장관리 세부현황'!$CY:$CY,"신호")</f>
        <v>0</v>
      </c>
      <c r="CL290"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분석_15일'!$F290,'2023년 신조차 고장관리 세부현황'!$BC:$BC,"완료",'2023년 신조차 고장관리 세부현황'!$CY:$CY,"신호")</f>
        <v>0</v>
      </c>
      <c r="CM290"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분석_15일'!$F290,'2023년 신조차 고장관리 세부현황'!$BC:$BC,"완료",'2023년 신조차 고장관리 세부현황'!$CY:$CY,"신호")</f>
        <v>0</v>
      </c>
      <c r="CN290"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분석_15일'!$F290,'2023년 신조차 고장관리 세부현황'!$BC:$BC,"완료",'2023년 신조차 고장관리 세부현황'!$CY:$CY,"신호")</f>
        <v>0</v>
      </c>
      <c r="CO290"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분석_15일'!$F290,'2023년 신조차 고장관리 세부현황'!$BC:$BC,"완료",'2023년 신조차 고장관리 세부현황'!$CY:$CY,"신호")</f>
        <v>0</v>
      </c>
      <c r="CP290"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분석_15일'!$F290,'2023년 신조차 고장관리 세부현황'!$BC:$BC,"완료",'2023년 신조차 고장관리 세부현황'!$CY:$CY,"신호")</f>
        <v>0</v>
      </c>
      <c r="CQ290"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분석_15일'!$F290,'2023년 신조차 고장관리 세부현황'!$BC:$BC,"완료",'2023년 신조차 고장관리 세부현황'!$CY:$CY,"신호")</f>
        <v>0</v>
      </c>
      <c r="CR290"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분석_15일'!$F290,'2023년 신조차 고장관리 세부현황'!$BC:$BC,"완료",'2023년 신조차 고장관리 세부현황'!$CY:$CY,"신호")</f>
        <v>0</v>
      </c>
      <c r="CS290"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분석_15일'!$F290,'2023년 신조차 고장관리 세부현황'!$BC:$BC,"완료",'2023년 신조차 고장관리 세부현황'!$CY:$CY,"신호")</f>
        <v>0</v>
      </c>
      <c r="CT290"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분석_15일'!$F290,'2023년 신조차 고장관리 세부현황'!$BC:$BC,"완료",'2023년 신조차 고장관리 세부현황'!$CY:$CY,"신호")</f>
        <v>0</v>
      </c>
      <c r="CU290"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분석_15일'!$F290,'2023년 신조차 고장관리 세부현황'!$BC:$BC,"완료",'2023년 신조차 고장관리 세부현황'!$CY:$CY,"신호")</f>
        <v>0</v>
      </c>
      <c r="CV290"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분석_15일'!$F290,'2023년 신조차 고장관리 세부현황'!$BC:$BC,"완료",'2023년 신조차 고장관리 세부현황'!$CY:$CY,"신호")</f>
        <v>0</v>
      </c>
      <c r="CW290"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분석_15일'!$F290,'2023년 신조차 고장관리 세부현황'!$BC:$BC,"완료",'2023년 신조차 고장관리 세부현황'!$CY:$CY,"신호")</f>
        <v>0</v>
      </c>
      <c r="CX290">
        <f>SUM(G290:CW290)</f>
        <v>0</v>
      </c>
    </row>
    <row r="291" spans="6:103" x14ac:dyDescent="0.4">
      <c r="F291" s="85" t="s">
        <v>243</v>
      </c>
      <c r="G291" s="85">
        <f>G289+G290</f>
        <v>0</v>
      </c>
      <c r="H291" s="85">
        <f t="shared" ref="H291:BS291" si="309">H289+H290</f>
        <v>0</v>
      </c>
      <c r="I291" s="85">
        <f t="shared" si="309"/>
        <v>0</v>
      </c>
      <c r="J291" s="85">
        <f t="shared" si="309"/>
        <v>0</v>
      </c>
      <c r="K291" s="85">
        <f t="shared" si="309"/>
        <v>0</v>
      </c>
      <c r="L291" s="85">
        <f t="shared" si="309"/>
        <v>0</v>
      </c>
      <c r="M291" s="85">
        <f t="shared" si="309"/>
        <v>0</v>
      </c>
      <c r="N291" s="85">
        <f t="shared" si="309"/>
        <v>0</v>
      </c>
      <c r="O291" s="85">
        <f t="shared" si="309"/>
        <v>0</v>
      </c>
      <c r="P291" s="85">
        <f t="shared" si="309"/>
        <v>0</v>
      </c>
      <c r="Q291" s="85">
        <f t="shared" si="309"/>
        <v>0</v>
      </c>
      <c r="R291" s="85">
        <f t="shared" si="309"/>
        <v>0</v>
      </c>
      <c r="S291" s="85">
        <f t="shared" si="309"/>
        <v>0</v>
      </c>
      <c r="T291" s="85">
        <f t="shared" si="309"/>
        <v>0</v>
      </c>
      <c r="U291" s="85">
        <f t="shared" si="309"/>
        <v>0</v>
      </c>
      <c r="V291" s="85">
        <f t="shared" si="309"/>
        <v>0</v>
      </c>
      <c r="W291" s="85">
        <f t="shared" si="309"/>
        <v>0</v>
      </c>
      <c r="X291" s="85">
        <f t="shared" si="309"/>
        <v>0</v>
      </c>
      <c r="Y291" s="85">
        <f t="shared" si="309"/>
        <v>0</v>
      </c>
      <c r="Z291" s="85">
        <f t="shared" si="309"/>
        <v>0</v>
      </c>
      <c r="AA291" s="85">
        <f t="shared" si="309"/>
        <v>0</v>
      </c>
      <c r="AB291" s="85">
        <f t="shared" si="309"/>
        <v>0</v>
      </c>
      <c r="AC291" s="85">
        <f t="shared" si="309"/>
        <v>0</v>
      </c>
      <c r="AD291" s="85">
        <f t="shared" si="309"/>
        <v>0</v>
      </c>
      <c r="AE291" s="85">
        <f t="shared" si="309"/>
        <v>0</v>
      </c>
      <c r="AF291" s="85">
        <f t="shared" si="309"/>
        <v>0</v>
      </c>
      <c r="AG291" s="85">
        <f t="shared" si="309"/>
        <v>0</v>
      </c>
      <c r="AH291" s="85">
        <f t="shared" si="309"/>
        <v>0</v>
      </c>
      <c r="AI291" s="85">
        <f t="shared" si="309"/>
        <v>0</v>
      </c>
      <c r="AJ291" s="85">
        <f t="shared" si="309"/>
        <v>0</v>
      </c>
      <c r="AK291" s="85">
        <f t="shared" si="309"/>
        <v>0</v>
      </c>
      <c r="AL291" s="85">
        <f t="shared" si="309"/>
        <v>0</v>
      </c>
      <c r="AM291" s="85">
        <f t="shared" si="309"/>
        <v>0</v>
      </c>
      <c r="AN291" s="85">
        <f t="shared" si="309"/>
        <v>0</v>
      </c>
      <c r="AO291" s="85">
        <f t="shared" si="309"/>
        <v>0</v>
      </c>
      <c r="AP291" s="85">
        <f t="shared" si="309"/>
        <v>0</v>
      </c>
      <c r="AQ291" s="85">
        <f t="shared" si="309"/>
        <v>0</v>
      </c>
      <c r="AR291" s="85">
        <f t="shared" si="309"/>
        <v>0</v>
      </c>
      <c r="AS291" s="85">
        <f t="shared" si="309"/>
        <v>0</v>
      </c>
      <c r="AT291" s="85">
        <f t="shared" si="309"/>
        <v>0</v>
      </c>
      <c r="AU291" s="85">
        <f t="shared" si="309"/>
        <v>0</v>
      </c>
      <c r="AV291" s="85">
        <f t="shared" si="309"/>
        <v>0</v>
      </c>
      <c r="AW291" s="85">
        <f t="shared" si="309"/>
        <v>0</v>
      </c>
      <c r="AX291" s="85">
        <f t="shared" si="309"/>
        <v>0</v>
      </c>
      <c r="AY291" s="85">
        <f t="shared" si="309"/>
        <v>0</v>
      </c>
      <c r="AZ291" s="85">
        <f t="shared" si="309"/>
        <v>0</v>
      </c>
      <c r="BA291" s="85">
        <f t="shared" si="309"/>
        <v>0</v>
      </c>
      <c r="BB291" s="85">
        <f t="shared" si="309"/>
        <v>0</v>
      </c>
      <c r="BC291" s="85">
        <f t="shared" si="309"/>
        <v>0</v>
      </c>
      <c r="BD291" s="85">
        <f t="shared" si="309"/>
        <v>0</v>
      </c>
      <c r="BE291" s="85">
        <f t="shared" si="309"/>
        <v>0</v>
      </c>
      <c r="BF291" s="85">
        <f t="shared" si="309"/>
        <v>0</v>
      </c>
      <c r="BG291" s="85">
        <f t="shared" si="309"/>
        <v>0</v>
      </c>
      <c r="BH291" s="85">
        <f t="shared" si="309"/>
        <v>0</v>
      </c>
      <c r="BI291" s="85">
        <f t="shared" si="309"/>
        <v>0</v>
      </c>
      <c r="BJ291" s="85">
        <f t="shared" si="309"/>
        <v>0</v>
      </c>
      <c r="BK291" s="85">
        <f t="shared" si="309"/>
        <v>0</v>
      </c>
      <c r="BL291" s="85">
        <f t="shared" si="309"/>
        <v>0</v>
      </c>
      <c r="BM291" s="85">
        <f t="shared" si="309"/>
        <v>0</v>
      </c>
      <c r="BN291" s="85">
        <f t="shared" si="309"/>
        <v>0</v>
      </c>
      <c r="BO291" s="85">
        <f t="shared" si="309"/>
        <v>0</v>
      </c>
      <c r="BP291" s="85">
        <f t="shared" si="309"/>
        <v>0</v>
      </c>
      <c r="BQ291" s="85">
        <f t="shared" si="309"/>
        <v>0</v>
      </c>
      <c r="BR291" s="85">
        <f t="shared" si="309"/>
        <v>0</v>
      </c>
      <c r="BS291" s="85">
        <f t="shared" si="309"/>
        <v>0</v>
      </c>
      <c r="BT291" s="85">
        <f t="shared" ref="BT291:CW291" si="310">BT289+BT290</f>
        <v>0</v>
      </c>
      <c r="BU291" s="85">
        <f t="shared" si="310"/>
        <v>0</v>
      </c>
      <c r="BV291" s="85">
        <f t="shared" si="310"/>
        <v>0</v>
      </c>
      <c r="BW291" s="85">
        <f t="shared" si="310"/>
        <v>0</v>
      </c>
      <c r="BX291" s="85">
        <f t="shared" si="310"/>
        <v>0</v>
      </c>
      <c r="BY291" s="85">
        <f t="shared" si="310"/>
        <v>0</v>
      </c>
      <c r="BZ291" s="85">
        <f t="shared" si="310"/>
        <v>0</v>
      </c>
      <c r="CA291" s="85">
        <f t="shared" si="310"/>
        <v>0</v>
      </c>
      <c r="CB291" s="85">
        <f t="shared" si="310"/>
        <v>0</v>
      </c>
      <c r="CC291" s="85">
        <f t="shared" si="310"/>
        <v>0</v>
      </c>
      <c r="CD291" s="85">
        <f t="shared" si="310"/>
        <v>0</v>
      </c>
      <c r="CE291" s="85">
        <f t="shared" si="310"/>
        <v>0</v>
      </c>
      <c r="CF291" s="85">
        <f t="shared" si="310"/>
        <v>0</v>
      </c>
      <c r="CG291" s="85">
        <f t="shared" si="310"/>
        <v>0</v>
      </c>
      <c r="CH291" s="85">
        <f t="shared" si="310"/>
        <v>0</v>
      </c>
      <c r="CI291" s="85">
        <f t="shared" si="310"/>
        <v>0</v>
      </c>
      <c r="CJ291" s="85">
        <f t="shared" si="310"/>
        <v>0</v>
      </c>
      <c r="CK291" s="85">
        <f t="shared" si="310"/>
        <v>0</v>
      </c>
      <c r="CL291" s="85">
        <f t="shared" si="310"/>
        <v>0</v>
      </c>
      <c r="CM291" s="85">
        <f t="shared" si="310"/>
        <v>0</v>
      </c>
      <c r="CN291" s="85">
        <f t="shared" si="310"/>
        <v>0</v>
      </c>
      <c r="CO291" s="85">
        <f t="shared" si="310"/>
        <v>0</v>
      </c>
      <c r="CP291" s="85">
        <f t="shared" si="310"/>
        <v>0</v>
      </c>
      <c r="CQ291" s="85">
        <f t="shared" si="310"/>
        <v>0</v>
      </c>
      <c r="CR291" s="85">
        <f t="shared" si="310"/>
        <v>0</v>
      </c>
      <c r="CS291" s="85">
        <f t="shared" si="310"/>
        <v>0</v>
      </c>
      <c r="CT291" s="85">
        <f t="shared" si="310"/>
        <v>0</v>
      </c>
      <c r="CU291" s="85">
        <f t="shared" si="310"/>
        <v>0</v>
      </c>
      <c r="CV291" s="85">
        <f t="shared" si="310"/>
        <v>0</v>
      </c>
      <c r="CW291" s="85">
        <f t="shared" si="310"/>
        <v>0</v>
      </c>
      <c r="CX291">
        <f>SUM(G291:CW291)</f>
        <v>0</v>
      </c>
    </row>
    <row r="292" spans="6:103" x14ac:dyDescent="0.4">
      <c r="F292" s="86" t="s">
        <v>222</v>
      </c>
      <c r="G292" s="85">
        <f>COUNTIFS('2023년 신조차 고장관리 세부현황'!$K:$K,"128R",'2023년 신조차 고장관리 세부현황'!$P:$P,"&gt;="&amp;$G$17,'2023년 신조차 고장관리 세부현황'!$P:$P,"&lt;"&amp;'트랜드 분석_15일'!G$18,'2023년 신조차 고장관리 세부현황'!$S:$S,'트랜드 분석_15일'!$F292,'2023년 신조차 고장관리 세부현황'!$BC:$BC,"완료",'2023년 신조차 고장관리 세부현황'!$CY:$CY,"신호")</f>
        <v>0</v>
      </c>
      <c r="H292"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분석_15일'!$F292,'2023년 신조차 고장관리 세부현황'!$BC:$BC,"완료",'2023년 신조차 고장관리 세부현황'!$CY:$CY,"신호")</f>
        <v>0</v>
      </c>
      <c r="I292"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분석_15일'!$F292,'2023년 신조차 고장관리 세부현황'!$BC:$BC,"완료",'2023년 신조차 고장관리 세부현황'!$CY:$CY,"신호")</f>
        <v>0</v>
      </c>
      <c r="J292"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분석_15일'!$F292,'2023년 신조차 고장관리 세부현황'!$BC:$BC,"완료",'2023년 신조차 고장관리 세부현황'!$CY:$CY,"신호")</f>
        <v>0</v>
      </c>
      <c r="K292"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분석_15일'!$F292,'2023년 신조차 고장관리 세부현황'!$BC:$BC,"완료",'2023년 신조차 고장관리 세부현황'!$CY:$CY,"신호")</f>
        <v>0</v>
      </c>
      <c r="L292"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분석_15일'!$F292,'2023년 신조차 고장관리 세부현황'!$BC:$BC,"완료",'2023년 신조차 고장관리 세부현황'!$CY:$CY,"신호")</f>
        <v>0</v>
      </c>
      <c r="M292"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분석_15일'!$F292,'2023년 신조차 고장관리 세부현황'!$BC:$BC,"완료",'2023년 신조차 고장관리 세부현황'!$CY:$CY,"신호")</f>
        <v>0</v>
      </c>
      <c r="N292"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분석_15일'!$F292,'2023년 신조차 고장관리 세부현황'!$BC:$BC,"완료",'2023년 신조차 고장관리 세부현황'!$CY:$CY,"신호")</f>
        <v>0</v>
      </c>
      <c r="O292"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분석_15일'!$F292,'2023년 신조차 고장관리 세부현황'!$BC:$BC,"완료",'2023년 신조차 고장관리 세부현황'!$CY:$CY,"신호")</f>
        <v>0</v>
      </c>
      <c r="P292"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분석_15일'!$F292,'2023년 신조차 고장관리 세부현황'!$BC:$BC,"완료",'2023년 신조차 고장관리 세부현황'!$CY:$CY,"신호")</f>
        <v>0</v>
      </c>
      <c r="Q292"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분석_15일'!$F292,'2023년 신조차 고장관리 세부현황'!$BC:$BC,"완료",'2023년 신조차 고장관리 세부현황'!$CY:$CY,"신호")</f>
        <v>0</v>
      </c>
      <c r="R292"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분석_15일'!$F292,'2023년 신조차 고장관리 세부현황'!$BC:$BC,"완료",'2023년 신조차 고장관리 세부현황'!$CY:$CY,"신호")</f>
        <v>0</v>
      </c>
      <c r="S292"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분석_15일'!$F292,'2023년 신조차 고장관리 세부현황'!$BC:$BC,"완료",'2023년 신조차 고장관리 세부현황'!$CY:$CY,"신호")</f>
        <v>0</v>
      </c>
      <c r="T292"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분석_15일'!$F292,'2023년 신조차 고장관리 세부현황'!$BC:$BC,"완료",'2023년 신조차 고장관리 세부현황'!$CY:$CY,"신호")</f>
        <v>0</v>
      </c>
      <c r="U292"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분석_15일'!$F292,'2023년 신조차 고장관리 세부현황'!$BC:$BC,"완료",'2023년 신조차 고장관리 세부현황'!$CY:$CY,"신호")</f>
        <v>0</v>
      </c>
      <c r="V292"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분석_15일'!$F292,'2023년 신조차 고장관리 세부현황'!$BC:$BC,"완료",'2023년 신조차 고장관리 세부현황'!$CY:$CY,"신호")</f>
        <v>0</v>
      </c>
      <c r="W292"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분석_15일'!$F292,'2023년 신조차 고장관리 세부현황'!$BC:$BC,"완료",'2023년 신조차 고장관리 세부현황'!$CY:$CY,"신호")</f>
        <v>0</v>
      </c>
      <c r="X292"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분석_15일'!$F292,'2023년 신조차 고장관리 세부현황'!$BC:$BC,"완료",'2023년 신조차 고장관리 세부현황'!$CY:$CY,"신호")</f>
        <v>0</v>
      </c>
      <c r="Y292"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분석_15일'!$F292,'2023년 신조차 고장관리 세부현황'!$BC:$BC,"완료",'2023년 신조차 고장관리 세부현황'!$CY:$CY,"신호")</f>
        <v>0</v>
      </c>
      <c r="Z292"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분석_15일'!$F292,'2023년 신조차 고장관리 세부현황'!$BC:$BC,"완료",'2023년 신조차 고장관리 세부현황'!$CY:$CY,"신호")</f>
        <v>0</v>
      </c>
      <c r="AA292"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분석_15일'!$F292,'2023년 신조차 고장관리 세부현황'!$BC:$BC,"완료",'2023년 신조차 고장관리 세부현황'!$CY:$CY,"신호")</f>
        <v>0</v>
      </c>
      <c r="AB292"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분석_15일'!$F292,'2023년 신조차 고장관리 세부현황'!$BC:$BC,"완료",'2023년 신조차 고장관리 세부현황'!$CY:$CY,"신호")</f>
        <v>0</v>
      </c>
      <c r="AC292"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분석_15일'!$F292,'2023년 신조차 고장관리 세부현황'!$BC:$BC,"완료",'2023년 신조차 고장관리 세부현황'!$CY:$CY,"신호")</f>
        <v>0</v>
      </c>
      <c r="AD292"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분석_15일'!$F292,'2023년 신조차 고장관리 세부현황'!$BC:$BC,"완료",'2023년 신조차 고장관리 세부현황'!$CY:$CY,"신호")</f>
        <v>0</v>
      </c>
      <c r="AE292"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분석_15일'!$F292,'2023년 신조차 고장관리 세부현황'!$BC:$BC,"완료",'2023년 신조차 고장관리 세부현황'!$CY:$CY,"신호")</f>
        <v>0</v>
      </c>
      <c r="AF292"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분석_15일'!$F292,'2023년 신조차 고장관리 세부현황'!$BC:$BC,"완료",'2023년 신조차 고장관리 세부현황'!$CY:$CY,"신호")</f>
        <v>0</v>
      </c>
      <c r="AG292"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분석_15일'!$F292,'2023년 신조차 고장관리 세부현황'!$BC:$BC,"완료",'2023년 신조차 고장관리 세부현황'!$CY:$CY,"신호")</f>
        <v>0</v>
      </c>
      <c r="AH292"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분석_15일'!$F292,'2023년 신조차 고장관리 세부현황'!$BC:$BC,"완료",'2023년 신조차 고장관리 세부현황'!$CY:$CY,"신호")</f>
        <v>0</v>
      </c>
      <c r="AI292"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분석_15일'!$F292,'2023년 신조차 고장관리 세부현황'!$BC:$BC,"완료",'2023년 신조차 고장관리 세부현황'!$CY:$CY,"신호")</f>
        <v>0</v>
      </c>
      <c r="AJ292"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분석_15일'!$F292,'2023년 신조차 고장관리 세부현황'!$BC:$BC,"완료",'2023년 신조차 고장관리 세부현황'!$CY:$CY,"신호")</f>
        <v>0</v>
      </c>
      <c r="AK292"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분석_15일'!$F292,'2023년 신조차 고장관리 세부현황'!$BC:$BC,"완료",'2023년 신조차 고장관리 세부현황'!$CY:$CY,"신호")</f>
        <v>0</v>
      </c>
      <c r="AL292"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분석_15일'!$F292,'2023년 신조차 고장관리 세부현황'!$BC:$BC,"완료",'2023년 신조차 고장관리 세부현황'!$CY:$CY,"신호")</f>
        <v>0</v>
      </c>
      <c r="AM292"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분석_15일'!$F292,'2023년 신조차 고장관리 세부현황'!$BC:$BC,"완료",'2023년 신조차 고장관리 세부현황'!$CY:$CY,"신호")</f>
        <v>0</v>
      </c>
      <c r="AN292"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분석_15일'!$F292,'2023년 신조차 고장관리 세부현황'!$BC:$BC,"완료",'2023년 신조차 고장관리 세부현황'!$CY:$CY,"신호")</f>
        <v>0</v>
      </c>
      <c r="AO292"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분석_15일'!$F292,'2023년 신조차 고장관리 세부현황'!$BC:$BC,"완료",'2023년 신조차 고장관리 세부현황'!$CY:$CY,"신호")</f>
        <v>0</v>
      </c>
      <c r="AP292"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분석_15일'!$F292,'2023년 신조차 고장관리 세부현황'!$BC:$BC,"완료",'2023년 신조차 고장관리 세부현황'!$CY:$CY,"신호")</f>
        <v>0</v>
      </c>
      <c r="AQ292"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분석_15일'!$F292,'2023년 신조차 고장관리 세부현황'!$BC:$BC,"완료",'2023년 신조차 고장관리 세부현황'!$CY:$CY,"신호")</f>
        <v>0</v>
      </c>
      <c r="AR292"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분석_15일'!$F292,'2023년 신조차 고장관리 세부현황'!$BC:$BC,"완료",'2023년 신조차 고장관리 세부현황'!$CY:$CY,"신호")</f>
        <v>0</v>
      </c>
      <c r="AS292"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분석_15일'!$F292,'2023년 신조차 고장관리 세부현황'!$BC:$BC,"완료",'2023년 신조차 고장관리 세부현황'!$CY:$CY,"신호")</f>
        <v>0</v>
      </c>
      <c r="AT292"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분석_15일'!$F292,'2023년 신조차 고장관리 세부현황'!$BC:$BC,"완료",'2023년 신조차 고장관리 세부현황'!$CY:$CY,"신호")</f>
        <v>0</v>
      </c>
      <c r="AU292"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분석_15일'!$F292,'2023년 신조차 고장관리 세부현황'!$BC:$BC,"완료",'2023년 신조차 고장관리 세부현황'!$CY:$CY,"신호")</f>
        <v>0</v>
      </c>
      <c r="AV292"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분석_15일'!$F292,'2023년 신조차 고장관리 세부현황'!$BC:$BC,"완료",'2023년 신조차 고장관리 세부현황'!$CY:$CY,"신호")</f>
        <v>0</v>
      </c>
      <c r="AW292"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분석_15일'!$F292,'2023년 신조차 고장관리 세부현황'!$BC:$BC,"완료",'2023년 신조차 고장관리 세부현황'!$CY:$CY,"신호")</f>
        <v>0</v>
      </c>
      <c r="AX292"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분석_15일'!$F292,'2023년 신조차 고장관리 세부현황'!$BC:$BC,"완료",'2023년 신조차 고장관리 세부현황'!$CY:$CY,"신호")</f>
        <v>0</v>
      </c>
      <c r="AY292"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분석_15일'!$F292,'2023년 신조차 고장관리 세부현황'!$BC:$BC,"완료",'2023년 신조차 고장관리 세부현황'!$CY:$CY,"신호")</f>
        <v>0</v>
      </c>
      <c r="AZ292"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분석_15일'!$F292,'2023년 신조차 고장관리 세부현황'!$BC:$BC,"완료",'2023년 신조차 고장관리 세부현황'!$CY:$CY,"신호")</f>
        <v>0</v>
      </c>
      <c r="BA292"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분석_15일'!$F292,'2023년 신조차 고장관리 세부현황'!$BC:$BC,"완료",'2023년 신조차 고장관리 세부현황'!$CY:$CY,"신호")</f>
        <v>0</v>
      </c>
      <c r="BB292"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분석_15일'!$F292,'2023년 신조차 고장관리 세부현황'!$BC:$BC,"완료",'2023년 신조차 고장관리 세부현황'!$CY:$CY,"신호")</f>
        <v>0</v>
      </c>
      <c r="BC292"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분석_15일'!$F292,'2023년 신조차 고장관리 세부현황'!$BC:$BC,"완료",'2023년 신조차 고장관리 세부현황'!$CY:$CY,"신호")</f>
        <v>0</v>
      </c>
      <c r="BD292"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분석_15일'!$F292,'2023년 신조차 고장관리 세부현황'!$BC:$BC,"완료",'2023년 신조차 고장관리 세부현황'!$CY:$CY,"신호")</f>
        <v>0</v>
      </c>
      <c r="BE292"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분석_15일'!$F292,'2023년 신조차 고장관리 세부현황'!$BC:$BC,"완료",'2023년 신조차 고장관리 세부현황'!$CY:$CY,"신호")</f>
        <v>0</v>
      </c>
      <c r="BF292"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분석_15일'!$F292,'2023년 신조차 고장관리 세부현황'!$BC:$BC,"완료",'2023년 신조차 고장관리 세부현황'!$CY:$CY,"신호")</f>
        <v>0</v>
      </c>
      <c r="BG292"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분석_15일'!$F292,'2023년 신조차 고장관리 세부현황'!$BC:$BC,"완료",'2023년 신조차 고장관리 세부현황'!$CY:$CY,"신호")</f>
        <v>0</v>
      </c>
      <c r="BH292"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분석_15일'!$F292,'2023년 신조차 고장관리 세부현황'!$BC:$BC,"완료",'2023년 신조차 고장관리 세부현황'!$CY:$CY,"신호")</f>
        <v>0</v>
      </c>
      <c r="BI292"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분석_15일'!$F292,'2023년 신조차 고장관리 세부현황'!$BC:$BC,"완료",'2023년 신조차 고장관리 세부현황'!$CY:$CY,"신호")</f>
        <v>0</v>
      </c>
      <c r="BJ292"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분석_15일'!$F292,'2023년 신조차 고장관리 세부현황'!$BC:$BC,"완료",'2023년 신조차 고장관리 세부현황'!$CY:$CY,"신호")</f>
        <v>0</v>
      </c>
      <c r="BK292"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분석_15일'!$F292,'2023년 신조차 고장관리 세부현황'!$BC:$BC,"완료",'2023년 신조차 고장관리 세부현황'!$CY:$CY,"신호")</f>
        <v>0</v>
      </c>
      <c r="BL292"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분석_15일'!$F292,'2023년 신조차 고장관리 세부현황'!$BC:$BC,"완료",'2023년 신조차 고장관리 세부현황'!$CY:$CY,"신호")</f>
        <v>0</v>
      </c>
      <c r="BM292"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분석_15일'!$F292,'2023년 신조차 고장관리 세부현황'!$BC:$BC,"완료",'2023년 신조차 고장관리 세부현황'!$CY:$CY,"신호")</f>
        <v>0</v>
      </c>
      <c r="BN292"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분석_15일'!$F292,'2023년 신조차 고장관리 세부현황'!$BC:$BC,"완료",'2023년 신조차 고장관리 세부현황'!$CY:$CY,"신호")</f>
        <v>0</v>
      </c>
      <c r="BO292"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분석_15일'!$F292,'2023년 신조차 고장관리 세부현황'!$BC:$BC,"완료",'2023년 신조차 고장관리 세부현황'!$CY:$CY,"신호")</f>
        <v>0</v>
      </c>
      <c r="BP292"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분석_15일'!$F292,'2023년 신조차 고장관리 세부현황'!$BC:$BC,"완료",'2023년 신조차 고장관리 세부현황'!$CY:$CY,"신호")</f>
        <v>0</v>
      </c>
      <c r="BQ292"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분석_15일'!$F292,'2023년 신조차 고장관리 세부현황'!$BC:$BC,"완료",'2023년 신조차 고장관리 세부현황'!$CY:$CY,"신호")</f>
        <v>0</v>
      </c>
      <c r="BR292"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분석_15일'!$F292,'2023년 신조차 고장관리 세부현황'!$BC:$BC,"완료",'2023년 신조차 고장관리 세부현황'!$CY:$CY,"신호")</f>
        <v>0</v>
      </c>
      <c r="BS292"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분석_15일'!$F292,'2023년 신조차 고장관리 세부현황'!$BC:$BC,"완료",'2023년 신조차 고장관리 세부현황'!$CY:$CY,"신호")</f>
        <v>0</v>
      </c>
      <c r="BT292"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분석_15일'!$F292,'2023년 신조차 고장관리 세부현황'!$BC:$BC,"완료",'2023년 신조차 고장관리 세부현황'!$CY:$CY,"신호")</f>
        <v>0</v>
      </c>
      <c r="BU292"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분석_15일'!$F292,'2023년 신조차 고장관리 세부현황'!$BC:$BC,"완료",'2023년 신조차 고장관리 세부현황'!$CY:$CY,"신호")</f>
        <v>0</v>
      </c>
      <c r="BV292"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분석_15일'!$F292,'2023년 신조차 고장관리 세부현황'!$BC:$BC,"완료",'2023년 신조차 고장관리 세부현황'!$CY:$CY,"신호")</f>
        <v>0</v>
      </c>
      <c r="BW292"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분석_15일'!$F292,'2023년 신조차 고장관리 세부현황'!$BC:$BC,"완료",'2023년 신조차 고장관리 세부현황'!$CY:$CY,"신호")</f>
        <v>0</v>
      </c>
      <c r="BX292"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분석_15일'!$F292,'2023년 신조차 고장관리 세부현황'!$BC:$BC,"완료",'2023년 신조차 고장관리 세부현황'!$CY:$CY,"신호")</f>
        <v>0</v>
      </c>
      <c r="BY292"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분석_15일'!$F292,'2023년 신조차 고장관리 세부현황'!$BC:$BC,"완료",'2023년 신조차 고장관리 세부현황'!$CY:$CY,"신호")</f>
        <v>0</v>
      </c>
      <c r="BZ292"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분석_15일'!$F292,'2023년 신조차 고장관리 세부현황'!$BC:$BC,"완료",'2023년 신조차 고장관리 세부현황'!$CY:$CY,"신호")</f>
        <v>0</v>
      </c>
      <c r="CA292"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분석_15일'!$F292,'2023년 신조차 고장관리 세부현황'!$BC:$BC,"완료",'2023년 신조차 고장관리 세부현황'!$CY:$CY,"신호")</f>
        <v>0</v>
      </c>
      <c r="CB292"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분석_15일'!$F292,'2023년 신조차 고장관리 세부현황'!$BC:$BC,"완료",'2023년 신조차 고장관리 세부현황'!$CY:$CY,"신호")</f>
        <v>0</v>
      </c>
      <c r="CC292"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분석_15일'!$F292,'2023년 신조차 고장관리 세부현황'!$BC:$BC,"완료",'2023년 신조차 고장관리 세부현황'!$CY:$CY,"신호")</f>
        <v>0</v>
      </c>
      <c r="CD292"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분석_15일'!$F292,'2023년 신조차 고장관리 세부현황'!$BC:$BC,"완료",'2023년 신조차 고장관리 세부현황'!$CY:$CY,"신호")</f>
        <v>0</v>
      </c>
      <c r="CE292"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분석_15일'!$F292,'2023년 신조차 고장관리 세부현황'!$BC:$BC,"완료",'2023년 신조차 고장관리 세부현황'!$CY:$CY,"신호")</f>
        <v>0</v>
      </c>
      <c r="CF292"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분석_15일'!$F292,'2023년 신조차 고장관리 세부현황'!$BC:$BC,"완료",'2023년 신조차 고장관리 세부현황'!$CY:$CY,"신호")</f>
        <v>0</v>
      </c>
      <c r="CG292"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분석_15일'!$F292,'2023년 신조차 고장관리 세부현황'!$BC:$BC,"완료",'2023년 신조차 고장관리 세부현황'!$CY:$CY,"신호")</f>
        <v>0</v>
      </c>
      <c r="CH292"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분석_15일'!$F292,'2023년 신조차 고장관리 세부현황'!$BC:$BC,"완료",'2023년 신조차 고장관리 세부현황'!$CY:$CY,"신호")</f>
        <v>0</v>
      </c>
      <c r="CI292"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분석_15일'!$F292,'2023년 신조차 고장관리 세부현황'!$BC:$BC,"완료",'2023년 신조차 고장관리 세부현황'!$CY:$CY,"신호")</f>
        <v>0</v>
      </c>
      <c r="CJ292"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분석_15일'!$F292,'2023년 신조차 고장관리 세부현황'!$BC:$BC,"완료",'2023년 신조차 고장관리 세부현황'!$CY:$CY,"신호")</f>
        <v>0</v>
      </c>
      <c r="CK292"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분석_15일'!$F292,'2023년 신조차 고장관리 세부현황'!$BC:$BC,"완료",'2023년 신조차 고장관리 세부현황'!$CY:$CY,"신호")</f>
        <v>0</v>
      </c>
      <c r="CL292"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분석_15일'!$F292,'2023년 신조차 고장관리 세부현황'!$BC:$BC,"완료",'2023년 신조차 고장관리 세부현황'!$CY:$CY,"신호")</f>
        <v>0</v>
      </c>
      <c r="CM292"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분석_15일'!$F292,'2023년 신조차 고장관리 세부현황'!$BC:$BC,"완료",'2023년 신조차 고장관리 세부현황'!$CY:$CY,"신호")</f>
        <v>0</v>
      </c>
      <c r="CN292"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분석_15일'!$F292,'2023년 신조차 고장관리 세부현황'!$BC:$BC,"완료",'2023년 신조차 고장관리 세부현황'!$CY:$CY,"신호")</f>
        <v>0</v>
      </c>
      <c r="CO292"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분석_15일'!$F292,'2023년 신조차 고장관리 세부현황'!$BC:$BC,"완료",'2023년 신조차 고장관리 세부현황'!$CY:$CY,"신호")</f>
        <v>0</v>
      </c>
      <c r="CP292"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분석_15일'!$F292,'2023년 신조차 고장관리 세부현황'!$BC:$BC,"완료",'2023년 신조차 고장관리 세부현황'!$CY:$CY,"신호")</f>
        <v>0</v>
      </c>
      <c r="CQ292"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분석_15일'!$F292,'2023년 신조차 고장관리 세부현황'!$BC:$BC,"완료",'2023년 신조차 고장관리 세부현황'!$CY:$CY,"신호")</f>
        <v>0</v>
      </c>
      <c r="CR292"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분석_15일'!$F292,'2023년 신조차 고장관리 세부현황'!$BC:$BC,"완료",'2023년 신조차 고장관리 세부현황'!$CY:$CY,"신호")</f>
        <v>0</v>
      </c>
      <c r="CS292"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분석_15일'!$F292,'2023년 신조차 고장관리 세부현황'!$BC:$BC,"완료",'2023년 신조차 고장관리 세부현황'!$CY:$CY,"신호")</f>
        <v>0</v>
      </c>
      <c r="CT292"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분석_15일'!$F292,'2023년 신조차 고장관리 세부현황'!$BC:$BC,"완료",'2023년 신조차 고장관리 세부현황'!$CY:$CY,"신호")</f>
        <v>0</v>
      </c>
      <c r="CU292"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분석_15일'!$F292,'2023년 신조차 고장관리 세부현황'!$BC:$BC,"완료",'2023년 신조차 고장관리 세부현황'!$CY:$CY,"신호")</f>
        <v>0</v>
      </c>
      <c r="CV292"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분석_15일'!$F292,'2023년 신조차 고장관리 세부현황'!$BC:$BC,"완료",'2023년 신조차 고장관리 세부현황'!$CY:$CY,"신호")</f>
        <v>0</v>
      </c>
      <c r="CW292"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분석_15일'!$F292,'2023년 신조차 고장관리 세부현황'!$BC:$BC,"완료",'2023년 신조차 고장관리 세부현황'!$CY:$CY,"신호")</f>
        <v>0</v>
      </c>
      <c r="CX292">
        <f>SUM(G292:CW292)</f>
        <v>0</v>
      </c>
    </row>
    <row r="293" spans="6:103" x14ac:dyDescent="0.4">
      <c r="F293" t="s">
        <v>350</v>
      </c>
    </row>
    <row r="294" spans="6:103" x14ac:dyDescent="0.4">
      <c r="F294" t="s">
        <v>343</v>
      </c>
      <c r="CS294" t="s">
        <v>393</v>
      </c>
    </row>
    <row r="295" spans="6:103" x14ac:dyDescent="0.4">
      <c r="F295" s="85" t="s">
        <v>242</v>
      </c>
      <c r="G295" s="85">
        <v>1</v>
      </c>
      <c r="H295" s="85">
        <v>2</v>
      </c>
      <c r="I295" s="85">
        <v>3</v>
      </c>
      <c r="J295" s="85">
        <v>4</v>
      </c>
      <c r="K295" s="85">
        <v>5</v>
      </c>
      <c r="L295" s="85">
        <v>6</v>
      </c>
      <c r="M295" s="85">
        <v>7</v>
      </c>
      <c r="N295" s="85">
        <v>8</v>
      </c>
      <c r="O295" s="85">
        <v>9</v>
      </c>
      <c r="P295" s="85">
        <v>10</v>
      </c>
      <c r="Q295" s="85">
        <v>11</v>
      </c>
      <c r="R295" s="85">
        <v>12</v>
      </c>
      <c r="S295" s="85">
        <v>13</v>
      </c>
      <c r="T295" s="85">
        <v>14</v>
      </c>
      <c r="U295" s="85">
        <v>15</v>
      </c>
      <c r="V295" s="85">
        <v>16</v>
      </c>
      <c r="W295" s="85">
        <v>17</v>
      </c>
      <c r="X295" s="85">
        <v>18</v>
      </c>
      <c r="Y295" s="85">
        <v>19</v>
      </c>
      <c r="Z295" s="85">
        <v>20</v>
      </c>
      <c r="AA295" s="85">
        <v>21</v>
      </c>
      <c r="AB295" s="85">
        <v>22</v>
      </c>
      <c r="AC295" s="85">
        <v>23</v>
      </c>
      <c r="AD295" s="85">
        <v>24</v>
      </c>
      <c r="AE295" s="85">
        <v>25</v>
      </c>
      <c r="AF295" s="85">
        <v>26</v>
      </c>
      <c r="AG295" s="85">
        <v>27</v>
      </c>
      <c r="AH295" s="85">
        <v>28</v>
      </c>
      <c r="AI295" s="85">
        <v>29</v>
      </c>
      <c r="AJ295" s="85">
        <v>30</v>
      </c>
      <c r="AK295" s="85">
        <v>31</v>
      </c>
      <c r="AL295" s="85">
        <v>32</v>
      </c>
      <c r="AM295" s="85">
        <v>33</v>
      </c>
      <c r="AN295" s="85">
        <v>34</v>
      </c>
      <c r="AO295" s="85">
        <v>35</v>
      </c>
      <c r="AP295" s="85">
        <v>36</v>
      </c>
      <c r="AQ295" s="85">
        <v>37</v>
      </c>
      <c r="AR295" s="85">
        <v>38</v>
      </c>
      <c r="AS295" s="85">
        <v>39</v>
      </c>
      <c r="AT295" s="85">
        <v>40</v>
      </c>
      <c r="AU295" s="85">
        <v>41</v>
      </c>
      <c r="AV295" s="85">
        <v>42</v>
      </c>
      <c r="AW295" s="85">
        <v>43</v>
      </c>
      <c r="AX295" s="85">
        <v>44</v>
      </c>
      <c r="AY295" s="85">
        <v>45</v>
      </c>
      <c r="AZ295" s="85">
        <v>46</v>
      </c>
      <c r="BA295" s="85">
        <v>47</v>
      </c>
      <c r="BB295" s="85">
        <v>48</v>
      </c>
      <c r="BC295" s="85">
        <v>49</v>
      </c>
      <c r="BD295" s="85">
        <v>50</v>
      </c>
      <c r="BE295" s="85">
        <v>51</v>
      </c>
      <c r="BF295" s="85">
        <v>52</v>
      </c>
      <c r="BG295" s="85">
        <v>53</v>
      </c>
      <c r="BH295" s="85">
        <v>54</v>
      </c>
      <c r="BI295" s="85">
        <v>55</v>
      </c>
      <c r="BJ295" s="85">
        <v>56</v>
      </c>
      <c r="BK295" s="85">
        <v>57</v>
      </c>
      <c r="BL295" s="85">
        <v>58</v>
      </c>
      <c r="BM295" s="85">
        <v>59</v>
      </c>
      <c r="BN295" s="85">
        <v>60</v>
      </c>
      <c r="BO295" s="85">
        <v>61</v>
      </c>
      <c r="BP295" s="85">
        <v>62</v>
      </c>
      <c r="BQ295" s="85">
        <v>63</v>
      </c>
      <c r="BR295" s="85">
        <v>64</v>
      </c>
      <c r="BS295" s="85">
        <v>65</v>
      </c>
      <c r="BT295" s="85">
        <v>66</v>
      </c>
      <c r="BU295" s="85">
        <v>67</v>
      </c>
      <c r="BV295" s="85">
        <v>68</v>
      </c>
      <c r="BW295" s="85">
        <v>69</v>
      </c>
      <c r="BX295" s="85">
        <v>70</v>
      </c>
      <c r="BY295" s="85">
        <v>71</v>
      </c>
      <c r="BZ295" s="85">
        <v>72</v>
      </c>
      <c r="CA295" s="85">
        <v>73</v>
      </c>
      <c r="CB295" s="85">
        <v>74</v>
      </c>
      <c r="CC295" s="85">
        <v>75</v>
      </c>
      <c r="CD295" s="85">
        <v>76</v>
      </c>
      <c r="CE295" s="85">
        <v>77</v>
      </c>
      <c r="CF295" s="85">
        <v>78</v>
      </c>
      <c r="CG295" s="85">
        <v>79</v>
      </c>
      <c r="CH295" s="85">
        <v>80</v>
      </c>
      <c r="CI295" s="85">
        <v>81</v>
      </c>
      <c r="CJ295" s="85">
        <v>82</v>
      </c>
      <c r="CK295" s="85">
        <v>83</v>
      </c>
      <c r="CL295" s="85">
        <v>84</v>
      </c>
      <c r="CM295" s="85">
        <v>85</v>
      </c>
      <c r="CN295" s="85">
        <v>86</v>
      </c>
      <c r="CO295" s="85">
        <v>87</v>
      </c>
      <c r="CP295" s="85">
        <v>88</v>
      </c>
      <c r="CQ295" s="85">
        <v>89</v>
      </c>
      <c r="CR295" s="85">
        <v>90</v>
      </c>
      <c r="CS295" s="85">
        <v>91</v>
      </c>
      <c r="CT295" s="85">
        <v>92</v>
      </c>
      <c r="CU295" s="85">
        <v>93</v>
      </c>
      <c r="CV295" s="85">
        <v>94</v>
      </c>
      <c r="CW295" s="85">
        <v>95</v>
      </c>
      <c r="CY295" t="s">
        <v>356</v>
      </c>
    </row>
    <row r="296" spans="6:103" x14ac:dyDescent="0.4">
      <c r="F296" s="85" t="s">
        <v>239</v>
      </c>
      <c r="G296" s="139">
        <f>15*G295</f>
        <v>15</v>
      </c>
      <c r="H296" s="139">
        <f t="shared" ref="H296:BS296" si="311">15*H295</f>
        <v>30</v>
      </c>
      <c r="I296" s="139">
        <f t="shared" si="311"/>
        <v>45</v>
      </c>
      <c r="J296" s="139">
        <f t="shared" si="311"/>
        <v>60</v>
      </c>
      <c r="K296" s="139">
        <f t="shared" si="311"/>
        <v>75</v>
      </c>
      <c r="L296" s="139">
        <f t="shared" si="311"/>
        <v>90</v>
      </c>
      <c r="M296" s="139">
        <f t="shared" si="311"/>
        <v>105</v>
      </c>
      <c r="N296" s="139">
        <f t="shared" si="311"/>
        <v>120</v>
      </c>
      <c r="O296" s="139">
        <f t="shared" si="311"/>
        <v>135</v>
      </c>
      <c r="P296" s="139">
        <f t="shared" si="311"/>
        <v>150</v>
      </c>
      <c r="Q296" s="139">
        <f t="shared" si="311"/>
        <v>165</v>
      </c>
      <c r="R296" s="139">
        <f t="shared" si="311"/>
        <v>180</v>
      </c>
      <c r="S296" s="139">
        <f t="shared" si="311"/>
        <v>195</v>
      </c>
      <c r="T296" s="139">
        <f t="shared" si="311"/>
        <v>210</v>
      </c>
      <c r="U296" s="139">
        <f t="shared" si="311"/>
        <v>225</v>
      </c>
      <c r="V296" s="139">
        <f t="shared" si="311"/>
        <v>240</v>
      </c>
      <c r="W296" s="139">
        <f t="shared" si="311"/>
        <v>255</v>
      </c>
      <c r="X296" s="139">
        <f t="shared" si="311"/>
        <v>270</v>
      </c>
      <c r="Y296" s="139">
        <f t="shared" si="311"/>
        <v>285</v>
      </c>
      <c r="Z296" s="139">
        <f t="shared" si="311"/>
        <v>300</v>
      </c>
      <c r="AA296" s="139">
        <f t="shared" si="311"/>
        <v>315</v>
      </c>
      <c r="AB296" s="139">
        <f t="shared" si="311"/>
        <v>330</v>
      </c>
      <c r="AC296" s="139">
        <f t="shared" si="311"/>
        <v>345</v>
      </c>
      <c r="AD296" s="139">
        <f t="shared" si="311"/>
        <v>360</v>
      </c>
      <c r="AE296" s="139">
        <f t="shared" si="311"/>
        <v>375</v>
      </c>
      <c r="AF296" s="139">
        <f t="shared" si="311"/>
        <v>390</v>
      </c>
      <c r="AG296" s="139">
        <f t="shared" si="311"/>
        <v>405</v>
      </c>
      <c r="AH296" s="139">
        <f t="shared" si="311"/>
        <v>420</v>
      </c>
      <c r="AI296" s="139">
        <f t="shared" si="311"/>
        <v>435</v>
      </c>
      <c r="AJ296" s="139">
        <f t="shared" si="311"/>
        <v>450</v>
      </c>
      <c r="AK296" s="139">
        <f t="shared" si="311"/>
        <v>465</v>
      </c>
      <c r="AL296" s="139">
        <f t="shared" si="311"/>
        <v>480</v>
      </c>
      <c r="AM296" s="139">
        <f t="shared" si="311"/>
        <v>495</v>
      </c>
      <c r="AN296" s="139">
        <f t="shared" si="311"/>
        <v>510</v>
      </c>
      <c r="AO296" s="139">
        <f t="shared" si="311"/>
        <v>525</v>
      </c>
      <c r="AP296" s="139">
        <f t="shared" si="311"/>
        <v>540</v>
      </c>
      <c r="AQ296" s="139">
        <f t="shared" si="311"/>
        <v>555</v>
      </c>
      <c r="AR296" s="139">
        <f t="shared" si="311"/>
        <v>570</v>
      </c>
      <c r="AS296" s="139">
        <f t="shared" si="311"/>
        <v>585</v>
      </c>
      <c r="AT296" s="139">
        <f t="shared" si="311"/>
        <v>600</v>
      </c>
      <c r="AU296" s="139">
        <f t="shared" si="311"/>
        <v>615</v>
      </c>
      <c r="AV296" s="139">
        <f t="shared" si="311"/>
        <v>630</v>
      </c>
      <c r="AW296" s="139">
        <f t="shared" si="311"/>
        <v>645</v>
      </c>
      <c r="AX296" s="139">
        <f t="shared" si="311"/>
        <v>660</v>
      </c>
      <c r="AY296" s="139">
        <f t="shared" si="311"/>
        <v>675</v>
      </c>
      <c r="AZ296" s="139">
        <f t="shared" si="311"/>
        <v>690</v>
      </c>
      <c r="BA296" s="139">
        <f t="shared" si="311"/>
        <v>705</v>
      </c>
      <c r="BB296" s="139">
        <f t="shared" si="311"/>
        <v>720</v>
      </c>
      <c r="BC296" s="139">
        <f t="shared" si="311"/>
        <v>735</v>
      </c>
      <c r="BD296" s="139">
        <f t="shared" si="311"/>
        <v>750</v>
      </c>
      <c r="BE296" s="139">
        <f t="shared" si="311"/>
        <v>765</v>
      </c>
      <c r="BF296" s="139">
        <f t="shared" si="311"/>
        <v>780</v>
      </c>
      <c r="BG296" s="139">
        <f t="shared" si="311"/>
        <v>795</v>
      </c>
      <c r="BH296" s="139">
        <f t="shared" si="311"/>
        <v>810</v>
      </c>
      <c r="BI296" s="139">
        <f t="shared" si="311"/>
        <v>825</v>
      </c>
      <c r="BJ296" s="139">
        <f t="shared" si="311"/>
        <v>840</v>
      </c>
      <c r="BK296" s="139">
        <f t="shared" si="311"/>
        <v>855</v>
      </c>
      <c r="BL296" s="139">
        <f t="shared" si="311"/>
        <v>870</v>
      </c>
      <c r="BM296" s="139">
        <f t="shared" si="311"/>
        <v>885</v>
      </c>
      <c r="BN296" s="139">
        <f t="shared" si="311"/>
        <v>900</v>
      </c>
      <c r="BO296" s="139">
        <f t="shared" si="311"/>
        <v>915</v>
      </c>
      <c r="BP296" s="139">
        <f t="shared" si="311"/>
        <v>930</v>
      </c>
      <c r="BQ296" s="139">
        <f t="shared" si="311"/>
        <v>945</v>
      </c>
      <c r="BR296" s="139">
        <f t="shared" si="311"/>
        <v>960</v>
      </c>
      <c r="BS296" s="139">
        <f t="shared" si="311"/>
        <v>975</v>
      </c>
      <c r="BT296" s="139">
        <f t="shared" ref="BT296:CW296" si="312">15*BT295</f>
        <v>990</v>
      </c>
      <c r="BU296" s="139">
        <f t="shared" si="312"/>
        <v>1005</v>
      </c>
      <c r="BV296" s="139">
        <f t="shared" si="312"/>
        <v>1020</v>
      </c>
      <c r="BW296" s="139">
        <f t="shared" si="312"/>
        <v>1035</v>
      </c>
      <c r="BX296" s="139">
        <f t="shared" si="312"/>
        <v>1050</v>
      </c>
      <c r="BY296" s="139">
        <f t="shared" si="312"/>
        <v>1065</v>
      </c>
      <c r="BZ296" s="139">
        <f t="shared" si="312"/>
        <v>1080</v>
      </c>
      <c r="CA296" s="139">
        <f t="shared" si="312"/>
        <v>1095</v>
      </c>
      <c r="CB296" s="139">
        <f t="shared" si="312"/>
        <v>1110</v>
      </c>
      <c r="CC296" s="139">
        <f t="shared" si="312"/>
        <v>1125</v>
      </c>
      <c r="CD296" s="139">
        <f t="shared" si="312"/>
        <v>1140</v>
      </c>
      <c r="CE296" s="139">
        <f t="shared" si="312"/>
        <v>1155</v>
      </c>
      <c r="CF296" s="139">
        <f t="shared" si="312"/>
        <v>1170</v>
      </c>
      <c r="CG296" s="139">
        <f t="shared" si="312"/>
        <v>1185</v>
      </c>
      <c r="CH296" s="139">
        <f t="shared" si="312"/>
        <v>1200</v>
      </c>
      <c r="CI296" s="139">
        <f t="shared" si="312"/>
        <v>1215</v>
      </c>
      <c r="CJ296" s="139">
        <f t="shared" si="312"/>
        <v>1230</v>
      </c>
      <c r="CK296" s="139">
        <f t="shared" si="312"/>
        <v>1245</v>
      </c>
      <c r="CL296" s="139">
        <f t="shared" si="312"/>
        <v>1260</v>
      </c>
      <c r="CM296" s="139">
        <f t="shared" si="312"/>
        <v>1275</v>
      </c>
      <c r="CN296" s="139">
        <f t="shared" si="312"/>
        <v>1290</v>
      </c>
      <c r="CO296" s="139">
        <f t="shared" si="312"/>
        <v>1305</v>
      </c>
      <c r="CP296" s="139">
        <f t="shared" si="312"/>
        <v>1320</v>
      </c>
      <c r="CQ296" s="139">
        <f t="shared" si="312"/>
        <v>1335</v>
      </c>
      <c r="CR296" s="139">
        <f t="shared" si="312"/>
        <v>1350</v>
      </c>
      <c r="CS296" s="139">
        <f t="shared" si="312"/>
        <v>1365</v>
      </c>
      <c r="CT296" s="139">
        <f t="shared" si="312"/>
        <v>1380</v>
      </c>
      <c r="CU296" s="139">
        <f t="shared" si="312"/>
        <v>1395</v>
      </c>
      <c r="CV296" s="139">
        <f t="shared" si="312"/>
        <v>1410</v>
      </c>
      <c r="CW296" s="139">
        <f t="shared" si="312"/>
        <v>1425</v>
      </c>
    </row>
    <row r="297" spans="6:103" x14ac:dyDescent="0.4">
      <c r="F297" s="85" t="s">
        <v>154</v>
      </c>
      <c r="G297" s="85">
        <f>COUNTIFS('2023년 신조차 고장관리 세부현황'!$K:$K,"448R",'2023년 신조차 고장관리 세부현황'!$P:$P,"&gt;="&amp;G295,'2023년 신조차 고장관리 세부현황'!$P:$P,"&lt;"&amp;'트랜드 분석_15일'!G296,'2023년 신조차 고장관리 세부현황'!$BC:$BC,"완료",'2023년 신조차 고장관리 세부현황'!$CY:$CY,"신호")</f>
        <v>0</v>
      </c>
      <c r="H297" s="85">
        <f>COUNTIFS('2023년 신조차 고장관리 세부현황'!$K:$K,"448R",'2023년 신조차 고장관리 세부현황'!$P:$P,"&gt;="&amp;'트랜드 분석_15일'!G$27,'2023년 신조차 고장관리 세부현황'!$P:$P,"&lt;"&amp;'트랜드 분석_15일'!H$27,'2023년 신조차 고장관리 세부현황'!$BC:$BC,"완료",'2023년 신조차 고장관리 세부현황'!$CY:$CY,"신호")</f>
        <v>0</v>
      </c>
      <c r="I297" s="85">
        <f>COUNTIFS('2023년 신조차 고장관리 세부현황'!$K:$K,"448R",'2023년 신조차 고장관리 세부현황'!$P:$P,"&gt;="&amp;'트랜드 분석_15일'!H$27,'2023년 신조차 고장관리 세부현황'!$P:$P,"&lt;"&amp;'트랜드 분석_15일'!I$27,'2023년 신조차 고장관리 세부현황'!$BC:$BC,"완료",'2023년 신조차 고장관리 세부현황'!$CY:$CY,"신호")</f>
        <v>0</v>
      </c>
      <c r="J297" s="85">
        <f>COUNTIFS('2023년 신조차 고장관리 세부현황'!$K:$K,"448R",'2023년 신조차 고장관리 세부현황'!$P:$P,"&gt;="&amp;'트랜드 분석_15일'!I$27,'2023년 신조차 고장관리 세부현황'!$P:$P,"&lt;"&amp;'트랜드 분석_15일'!J$27,'2023년 신조차 고장관리 세부현황'!$BC:$BC,"완료",'2023년 신조차 고장관리 세부현황'!$CY:$CY,"신호")</f>
        <v>0</v>
      </c>
      <c r="K297" s="85">
        <f>COUNTIFS('2023년 신조차 고장관리 세부현황'!$K:$K,"448R",'2023년 신조차 고장관리 세부현황'!$P:$P,"&gt;="&amp;'트랜드 분석_15일'!J$27,'2023년 신조차 고장관리 세부현황'!$P:$P,"&lt;"&amp;'트랜드 분석_15일'!K$27,'2023년 신조차 고장관리 세부현황'!$BC:$BC,"완료",'2023년 신조차 고장관리 세부현황'!$CY:$CY,"신호")</f>
        <v>0</v>
      </c>
      <c r="L297" s="85">
        <f>COUNTIFS('2023년 신조차 고장관리 세부현황'!$K:$K,"448R",'2023년 신조차 고장관리 세부현황'!$P:$P,"&gt;="&amp;'트랜드 분석_15일'!K$27,'2023년 신조차 고장관리 세부현황'!$P:$P,"&lt;"&amp;'트랜드 분석_15일'!L$27,'2023년 신조차 고장관리 세부현황'!$BC:$BC,"완료",'2023년 신조차 고장관리 세부현황'!$CY:$CY,"신호")</f>
        <v>0</v>
      </c>
      <c r="M297" s="85">
        <f>COUNTIFS('2023년 신조차 고장관리 세부현황'!$K:$K,"448R",'2023년 신조차 고장관리 세부현황'!$P:$P,"&gt;="&amp;'트랜드 분석_15일'!L$27,'2023년 신조차 고장관리 세부현황'!$P:$P,"&lt;"&amp;'트랜드 분석_15일'!M$27,'2023년 신조차 고장관리 세부현황'!$BC:$BC,"완료",'2023년 신조차 고장관리 세부현황'!$CY:$CY,"신호")</f>
        <v>0</v>
      </c>
      <c r="N297" s="85">
        <f>COUNTIFS('2023년 신조차 고장관리 세부현황'!$K:$K,"448R",'2023년 신조차 고장관리 세부현황'!$P:$P,"&gt;="&amp;'트랜드 분석_15일'!M$27,'2023년 신조차 고장관리 세부현황'!$P:$P,"&lt;"&amp;'트랜드 분석_15일'!N$27,'2023년 신조차 고장관리 세부현황'!$BC:$BC,"완료",'2023년 신조차 고장관리 세부현황'!$CY:$CY,"신호")</f>
        <v>0</v>
      </c>
      <c r="O297" s="85">
        <f>COUNTIFS('2023년 신조차 고장관리 세부현황'!$K:$K,"448R",'2023년 신조차 고장관리 세부현황'!$P:$P,"&gt;="&amp;'트랜드 분석_15일'!N$27,'2023년 신조차 고장관리 세부현황'!$P:$P,"&lt;"&amp;'트랜드 분석_15일'!O$27,'2023년 신조차 고장관리 세부현황'!$BC:$BC,"완료",'2023년 신조차 고장관리 세부현황'!$CY:$CY,"신호")</f>
        <v>0</v>
      </c>
      <c r="P297" s="85">
        <f ca="1">COUNTIFS('2023년 신조차 고장관리 세부현황'!$K:$K,"448R",'2023년 신조차 고장관리 세부현황'!$P:$P,"&gt;="&amp;'트랜드 분석_15일'!O$27,'2023년 신조차 고장관리 세부현황'!$P:$P,"&lt;"&amp;'트랜드 분석_15일'!P$27,'2023년 신조차 고장관리 세부현황'!$BC:$BC,"완료",'2023년 신조차 고장관리 세부현황'!$CY:$CY,"신호")</f>
        <v>0</v>
      </c>
      <c r="Q297" s="85">
        <f ca="1">COUNTIFS('2023년 신조차 고장관리 세부현황'!$K:$K,"448R",'2023년 신조차 고장관리 세부현황'!$P:$P,"&gt;="&amp;'트랜드 분석_15일'!P$27,'2023년 신조차 고장관리 세부현황'!$P:$P,"&lt;"&amp;'트랜드 분석_15일'!Q$27,'2023년 신조차 고장관리 세부현황'!$BC:$BC,"완료",'2023년 신조차 고장관리 세부현황'!$CY:$CY,"신호")</f>
        <v>0</v>
      </c>
      <c r="R297" s="85">
        <f ca="1">COUNTIFS('2023년 신조차 고장관리 세부현황'!$K:$K,"448R",'2023년 신조차 고장관리 세부현황'!$P:$P,"&gt;="&amp;'트랜드 분석_15일'!Q$27,'2023년 신조차 고장관리 세부현황'!$P:$P,"&lt;"&amp;'트랜드 분석_15일'!R$27,'2023년 신조차 고장관리 세부현황'!$BC:$BC,"완료",'2023년 신조차 고장관리 세부현황'!$CY:$CY,"신호")</f>
        <v>0</v>
      </c>
      <c r="S297" s="85">
        <f ca="1">COUNTIFS('2023년 신조차 고장관리 세부현황'!$K:$K,"448R",'2023년 신조차 고장관리 세부현황'!$P:$P,"&gt;="&amp;'트랜드 분석_15일'!R$27,'2023년 신조차 고장관리 세부현황'!$P:$P,"&lt;"&amp;'트랜드 분석_15일'!S$27,'2023년 신조차 고장관리 세부현황'!$BC:$BC,"완료",'2023년 신조차 고장관리 세부현황'!$CY:$CY,"신호")</f>
        <v>0</v>
      </c>
      <c r="T297" s="85">
        <f ca="1">COUNTIFS('2023년 신조차 고장관리 세부현황'!$K:$K,"448R",'2023년 신조차 고장관리 세부현황'!$P:$P,"&gt;="&amp;'트랜드 분석_15일'!S$27,'2023년 신조차 고장관리 세부현황'!$P:$P,"&lt;"&amp;'트랜드 분석_15일'!T$27,'2023년 신조차 고장관리 세부현황'!$BC:$BC,"완료",'2023년 신조차 고장관리 세부현황'!$CY:$CY,"신호")</f>
        <v>0</v>
      </c>
      <c r="U297" s="85">
        <f>COUNTIFS('2023년 신조차 고장관리 세부현황'!$K:$K,"448R",'2023년 신조차 고장관리 세부현황'!$P:$P,"&gt;="&amp;'트랜드 분석_15일'!T$27,'2023년 신조차 고장관리 세부현황'!$P:$P,"&lt;"&amp;'트랜드 분석_15일'!U$27,'2023년 신조차 고장관리 세부현황'!$BC:$BC,"완료",'2023년 신조차 고장관리 세부현황'!$CY:$CY,"신호")</f>
        <v>0</v>
      </c>
      <c r="V297" s="85">
        <f>COUNTIFS('2023년 신조차 고장관리 세부현황'!$K:$K,"448R",'2023년 신조차 고장관리 세부현황'!$P:$P,"&gt;="&amp;'트랜드 분석_15일'!U$27,'2023년 신조차 고장관리 세부현황'!$P:$P,"&lt;"&amp;'트랜드 분석_15일'!V$27,'2023년 신조차 고장관리 세부현황'!$BC:$BC,"완료",'2023년 신조차 고장관리 세부현황'!$CY:$CY,"신호")</f>
        <v>0</v>
      </c>
      <c r="W297" s="85">
        <f ca="1">COUNTIFS('2023년 신조차 고장관리 세부현황'!$K:$K,"448R",'2023년 신조차 고장관리 세부현황'!$P:$P,"&gt;="&amp;'트랜드 분석_15일'!V$27,'2023년 신조차 고장관리 세부현황'!$P:$P,"&lt;"&amp;'트랜드 분석_15일'!W$27,'2023년 신조차 고장관리 세부현황'!$BC:$BC,"완료",'2023년 신조차 고장관리 세부현황'!$CY:$CY,"신호")</f>
        <v>0</v>
      </c>
      <c r="X297" s="85">
        <f ca="1">COUNTIFS('2023년 신조차 고장관리 세부현황'!$K:$K,"448R",'2023년 신조차 고장관리 세부현황'!$P:$P,"&gt;="&amp;'트랜드 분석_15일'!W$27,'2023년 신조차 고장관리 세부현황'!$P:$P,"&lt;"&amp;'트랜드 분석_15일'!X$27,'2023년 신조차 고장관리 세부현황'!$BC:$BC,"완료",'2023년 신조차 고장관리 세부현황'!$CY:$CY,"신호")</f>
        <v>0</v>
      </c>
      <c r="Y297" s="85">
        <f ca="1">COUNTIFS('2023년 신조차 고장관리 세부현황'!$K:$K,"448R",'2023년 신조차 고장관리 세부현황'!$P:$P,"&gt;="&amp;'트랜드 분석_15일'!X$27,'2023년 신조차 고장관리 세부현황'!$P:$P,"&lt;"&amp;'트랜드 분석_15일'!Y$27,'2023년 신조차 고장관리 세부현황'!$BC:$BC,"완료",'2023년 신조차 고장관리 세부현황'!$CY:$CY,"신호")</f>
        <v>0</v>
      </c>
      <c r="Z297" s="85">
        <f ca="1">COUNTIFS('2023년 신조차 고장관리 세부현황'!$K:$K,"448R",'2023년 신조차 고장관리 세부현황'!$P:$P,"&gt;="&amp;'트랜드 분석_15일'!Y$27,'2023년 신조차 고장관리 세부현황'!$P:$P,"&lt;"&amp;'트랜드 분석_15일'!Z$27,'2023년 신조차 고장관리 세부현황'!$BC:$BC,"완료",'2023년 신조차 고장관리 세부현황'!$CY:$CY,"신호")</f>
        <v>0</v>
      </c>
      <c r="AA297" s="85">
        <f ca="1">COUNTIFS('2023년 신조차 고장관리 세부현황'!$K:$K,"448R",'2023년 신조차 고장관리 세부현황'!$P:$P,"&gt;="&amp;'트랜드 분석_15일'!Z$27,'2023년 신조차 고장관리 세부현황'!$P:$P,"&lt;"&amp;'트랜드 분석_15일'!AA$27,'2023년 신조차 고장관리 세부현황'!$BC:$BC,"완료",'2023년 신조차 고장관리 세부현황'!$CY:$CY,"신호")</f>
        <v>0</v>
      </c>
      <c r="AB297" s="85">
        <f ca="1">COUNTIFS('2023년 신조차 고장관리 세부현황'!$K:$K,"448R",'2023년 신조차 고장관리 세부현황'!$P:$P,"&gt;="&amp;'트랜드 분석_15일'!AA$27,'2023년 신조차 고장관리 세부현황'!$P:$P,"&lt;"&amp;'트랜드 분석_15일'!AB$27,'2023년 신조차 고장관리 세부현황'!$BC:$BC,"완료",'2023년 신조차 고장관리 세부현황'!$CY:$CY,"신호")</f>
        <v>0</v>
      </c>
      <c r="AC297" s="85">
        <f ca="1">COUNTIFS('2023년 신조차 고장관리 세부현황'!$K:$K,"448R",'2023년 신조차 고장관리 세부현황'!$P:$P,"&gt;="&amp;'트랜드 분석_15일'!AB$27,'2023년 신조차 고장관리 세부현황'!$P:$P,"&lt;"&amp;'트랜드 분석_15일'!AC$27,'2023년 신조차 고장관리 세부현황'!$BC:$BC,"완료",'2023년 신조차 고장관리 세부현황'!$CY:$CY,"신호")</f>
        <v>0</v>
      </c>
      <c r="AD297" s="85">
        <f ca="1">COUNTIFS('2023년 신조차 고장관리 세부현황'!$K:$K,"448R",'2023년 신조차 고장관리 세부현황'!$P:$P,"&gt;="&amp;'트랜드 분석_15일'!AC$27,'2023년 신조차 고장관리 세부현황'!$P:$P,"&lt;"&amp;'트랜드 분석_15일'!AD$27,'2023년 신조차 고장관리 세부현황'!$BC:$BC,"완료",'2023년 신조차 고장관리 세부현황'!$CY:$CY,"신호")</f>
        <v>0</v>
      </c>
      <c r="AE297" s="85">
        <f ca="1">COUNTIFS('2023년 신조차 고장관리 세부현황'!$K:$K,"448R",'2023년 신조차 고장관리 세부현황'!$P:$P,"&gt;="&amp;'트랜드 분석_15일'!AD$27,'2023년 신조차 고장관리 세부현황'!$P:$P,"&lt;"&amp;'트랜드 분석_15일'!AE$27,'2023년 신조차 고장관리 세부현황'!$BC:$BC,"완료",'2023년 신조차 고장관리 세부현황'!$CY:$CY,"신호")</f>
        <v>0</v>
      </c>
      <c r="AF297" s="85">
        <f ca="1">COUNTIFS('2023년 신조차 고장관리 세부현황'!$K:$K,"448R",'2023년 신조차 고장관리 세부현황'!$P:$P,"&gt;="&amp;'트랜드 분석_15일'!AE$27,'2023년 신조차 고장관리 세부현황'!$P:$P,"&lt;"&amp;'트랜드 분석_15일'!AF$27,'2023년 신조차 고장관리 세부현황'!$BC:$BC,"완료",'2023년 신조차 고장관리 세부현황'!$CY:$CY,"신호")</f>
        <v>0</v>
      </c>
      <c r="AG297" s="85">
        <f ca="1">COUNTIFS('2023년 신조차 고장관리 세부현황'!$K:$K,"448R",'2023년 신조차 고장관리 세부현황'!$P:$P,"&gt;="&amp;'트랜드 분석_15일'!AF$27,'2023년 신조차 고장관리 세부현황'!$P:$P,"&lt;"&amp;'트랜드 분석_15일'!AG$27,'2023년 신조차 고장관리 세부현황'!$BC:$BC,"완료",'2023년 신조차 고장관리 세부현황'!$CY:$CY,"신호")</f>
        <v>0</v>
      </c>
      <c r="AH297" s="85">
        <f>COUNTIFS('2023년 신조차 고장관리 세부현황'!$K:$K,"448R",'2023년 신조차 고장관리 세부현황'!$P:$P,"&gt;="&amp;'트랜드 분석_15일'!AG$27,'2023년 신조차 고장관리 세부현황'!$P:$P,"&lt;"&amp;'트랜드 분석_15일'!AH$27,'2023년 신조차 고장관리 세부현황'!$BC:$BC,"완료",'2023년 신조차 고장관리 세부현황'!$CY:$CY,"신호")</f>
        <v>0</v>
      </c>
      <c r="AI297" s="85">
        <f>COUNTIFS('2023년 신조차 고장관리 세부현황'!$K:$K,"448R",'2023년 신조차 고장관리 세부현황'!$P:$P,"&gt;="&amp;'트랜드 분석_15일'!AH$27,'2023년 신조차 고장관리 세부현황'!$P:$P,"&lt;"&amp;'트랜드 분석_15일'!AI$27,'2023년 신조차 고장관리 세부현황'!$BC:$BC,"완료",'2023년 신조차 고장관리 세부현황'!$CY:$CY,"신호")</f>
        <v>0</v>
      </c>
      <c r="AJ297" s="85">
        <f>COUNTIFS('2023년 신조차 고장관리 세부현황'!$K:$K,"448R",'2023년 신조차 고장관리 세부현황'!$P:$P,"&gt;="&amp;'트랜드 분석_15일'!AI$27,'2023년 신조차 고장관리 세부현황'!$P:$P,"&lt;"&amp;'트랜드 분석_15일'!AJ$27,'2023년 신조차 고장관리 세부현황'!$BC:$BC,"완료",'2023년 신조차 고장관리 세부현황'!$CY:$CY,"신호")</f>
        <v>0</v>
      </c>
      <c r="AK297" s="85">
        <f ca="1">COUNTIFS('2023년 신조차 고장관리 세부현황'!$K:$K,"448R",'2023년 신조차 고장관리 세부현황'!$P:$P,"&gt;="&amp;'트랜드 분석_15일'!AJ$27,'2023년 신조차 고장관리 세부현황'!$P:$P,"&lt;"&amp;'트랜드 분석_15일'!AK$27,'2023년 신조차 고장관리 세부현황'!$BC:$BC,"완료",'2023년 신조차 고장관리 세부현황'!$CY:$CY,"신호")</f>
        <v>0</v>
      </c>
      <c r="AL297" s="85">
        <f ca="1">COUNTIFS('2023년 신조차 고장관리 세부현황'!$K:$K,"448R",'2023년 신조차 고장관리 세부현황'!$P:$P,"&gt;="&amp;'트랜드 분석_15일'!AK$27,'2023년 신조차 고장관리 세부현황'!$P:$P,"&lt;"&amp;'트랜드 분석_15일'!AL$27,'2023년 신조차 고장관리 세부현황'!$BC:$BC,"완료",'2023년 신조차 고장관리 세부현황'!$CY:$CY,"신호")</f>
        <v>0</v>
      </c>
      <c r="AM297" s="85">
        <f>COUNTIFS('2023년 신조차 고장관리 세부현황'!$K:$K,"448R",'2023년 신조차 고장관리 세부현황'!$P:$P,"&gt;="&amp;'트랜드 분석_15일'!AL$27,'2023년 신조차 고장관리 세부현황'!$P:$P,"&lt;"&amp;'트랜드 분석_15일'!AM$27,'2023년 신조차 고장관리 세부현황'!$BC:$BC,"완료",'2023년 신조차 고장관리 세부현황'!$CY:$CY,"신호")</f>
        <v>0</v>
      </c>
      <c r="AN297" s="85">
        <f>COUNTIFS('2023년 신조차 고장관리 세부현황'!$K:$K,"448R",'2023년 신조차 고장관리 세부현황'!$P:$P,"&gt;="&amp;'트랜드 분석_15일'!AM$27,'2023년 신조차 고장관리 세부현황'!$P:$P,"&lt;"&amp;'트랜드 분석_15일'!AN$27,'2023년 신조차 고장관리 세부현황'!$BC:$BC,"완료",'2023년 신조차 고장관리 세부현황'!$CY:$CY,"신호")</f>
        <v>0</v>
      </c>
      <c r="AO297" s="85">
        <f ca="1">COUNTIFS('2023년 신조차 고장관리 세부현황'!$K:$K,"448R",'2023년 신조차 고장관리 세부현황'!$P:$P,"&gt;="&amp;'트랜드 분석_15일'!AN$27,'2023년 신조차 고장관리 세부현황'!$P:$P,"&lt;"&amp;'트랜드 분석_15일'!AO$27,'2023년 신조차 고장관리 세부현황'!$BC:$BC,"완료",'2023년 신조차 고장관리 세부현황'!$CY:$CY,"신호")</f>
        <v>0</v>
      </c>
      <c r="AP297" s="85">
        <f>COUNTIFS('2023년 신조차 고장관리 세부현황'!$K:$K,"448R",'2023년 신조차 고장관리 세부현황'!$P:$P,"&gt;="&amp;'트랜드 분석_15일'!AO$27,'2023년 신조차 고장관리 세부현황'!$P:$P,"&lt;"&amp;'트랜드 분석_15일'!AP$27,'2023년 신조차 고장관리 세부현황'!$BC:$BC,"완료",'2023년 신조차 고장관리 세부현황'!$CY:$CY,"신호")</f>
        <v>0</v>
      </c>
      <c r="AQ297" s="85">
        <f ca="1">COUNTIFS('2023년 신조차 고장관리 세부현황'!$K:$K,"448R",'2023년 신조차 고장관리 세부현황'!$P:$P,"&gt;="&amp;'트랜드 분석_15일'!AP$27,'2023년 신조차 고장관리 세부현황'!$P:$P,"&lt;"&amp;'트랜드 분석_15일'!AQ$27,'2023년 신조차 고장관리 세부현황'!$BC:$BC,"완료",'2023년 신조차 고장관리 세부현황'!$CY:$CY,"신호")</f>
        <v>0</v>
      </c>
      <c r="AR297" s="85">
        <f>COUNTIFS('2023년 신조차 고장관리 세부현황'!$K:$K,"448R",'2023년 신조차 고장관리 세부현황'!$P:$P,"&gt;="&amp;'트랜드 분석_15일'!AQ$27,'2023년 신조차 고장관리 세부현황'!$P:$P,"&lt;"&amp;'트랜드 분석_15일'!AR$27,'2023년 신조차 고장관리 세부현황'!$BC:$BC,"완료",'2023년 신조차 고장관리 세부현황'!$CY:$CY,"신호")</f>
        <v>0</v>
      </c>
      <c r="AS297" s="85">
        <f>COUNTIFS('2023년 신조차 고장관리 세부현황'!$K:$K,"448R",'2023년 신조차 고장관리 세부현황'!$P:$P,"&gt;="&amp;'트랜드 분석_15일'!AR$27,'2023년 신조차 고장관리 세부현황'!$P:$P,"&lt;"&amp;'트랜드 분석_15일'!AS$27,'2023년 신조차 고장관리 세부현황'!$BC:$BC,"완료",'2023년 신조차 고장관리 세부현황'!$CY:$CY,"신호")</f>
        <v>0</v>
      </c>
      <c r="AT297" s="85">
        <f>COUNTIFS('2023년 신조차 고장관리 세부현황'!$K:$K,"448R",'2023년 신조차 고장관리 세부현황'!$P:$P,"&gt;="&amp;'트랜드 분석_15일'!AS$27,'2023년 신조차 고장관리 세부현황'!$P:$P,"&lt;"&amp;'트랜드 분석_15일'!AT$27,'2023년 신조차 고장관리 세부현황'!$BC:$BC,"완료",'2023년 신조차 고장관리 세부현황'!$CY:$CY,"신호")</f>
        <v>0</v>
      </c>
      <c r="AU297" s="85">
        <f>COUNTIFS('2023년 신조차 고장관리 세부현황'!$K:$K,"448R",'2023년 신조차 고장관리 세부현황'!$P:$P,"&gt;="&amp;'트랜드 분석_15일'!AT$27,'2023년 신조차 고장관리 세부현황'!$P:$P,"&lt;"&amp;'트랜드 분석_15일'!AU$27,'2023년 신조차 고장관리 세부현황'!$BC:$BC,"완료",'2023년 신조차 고장관리 세부현황'!$CY:$CY,"신호")</f>
        <v>0</v>
      </c>
      <c r="AV297" s="85">
        <f>COUNTIFS('2023년 신조차 고장관리 세부현황'!$K:$K,"448R",'2023년 신조차 고장관리 세부현황'!$P:$P,"&gt;="&amp;'트랜드 분석_15일'!AU$27,'2023년 신조차 고장관리 세부현황'!$P:$P,"&lt;"&amp;'트랜드 분석_15일'!AV$27,'2023년 신조차 고장관리 세부현황'!$BC:$BC,"완료",'2023년 신조차 고장관리 세부현황'!$CY:$CY,"신호")</f>
        <v>0</v>
      </c>
      <c r="AW297" s="85">
        <f>COUNTIFS('2023년 신조차 고장관리 세부현황'!$K:$K,"448R",'2023년 신조차 고장관리 세부현황'!$P:$P,"&gt;="&amp;'트랜드 분석_15일'!AV$27,'2023년 신조차 고장관리 세부현황'!$P:$P,"&lt;"&amp;'트랜드 분석_15일'!AW$27,'2023년 신조차 고장관리 세부현황'!$BC:$BC,"완료",'2023년 신조차 고장관리 세부현황'!$CY:$CY,"신호")</f>
        <v>0</v>
      </c>
      <c r="AX297" s="85">
        <f>COUNTIFS('2023년 신조차 고장관리 세부현황'!$K:$K,"448R",'2023년 신조차 고장관리 세부현황'!$P:$P,"&gt;="&amp;'트랜드 분석_15일'!AW$27,'2023년 신조차 고장관리 세부현황'!$P:$P,"&lt;"&amp;'트랜드 분석_15일'!AX$27,'2023년 신조차 고장관리 세부현황'!$BC:$BC,"완료",'2023년 신조차 고장관리 세부현황'!$CY:$CY,"신호")</f>
        <v>0</v>
      </c>
      <c r="AY297" s="85">
        <f>COUNTIFS('2023년 신조차 고장관리 세부현황'!$K:$K,"448R",'2023년 신조차 고장관리 세부현황'!$P:$P,"&gt;="&amp;'트랜드 분석_15일'!AX$27,'2023년 신조차 고장관리 세부현황'!$P:$P,"&lt;"&amp;'트랜드 분석_15일'!AY$27,'2023년 신조차 고장관리 세부현황'!$BC:$BC,"완료",'2023년 신조차 고장관리 세부현황'!$CY:$CY,"신호")</f>
        <v>0</v>
      </c>
      <c r="AZ297" s="85">
        <f>COUNTIFS('2023년 신조차 고장관리 세부현황'!$K:$K,"448R",'2023년 신조차 고장관리 세부현황'!$P:$P,"&gt;="&amp;'트랜드 분석_15일'!AY$27,'2023년 신조차 고장관리 세부현황'!$P:$P,"&lt;"&amp;'트랜드 분석_15일'!AZ$27,'2023년 신조차 고장관리 세부현황'!$BC:$BC,"완료",'2023년 신조차 고장관리 세부현황'!$CY:$CY,"신호")</f>
        <v>0</v>
      </c>
      <c r="BA297" s="85">
        <f>COUNTIFS('2023년 신조차 고장관리 세부현황'!$K:$K,"448R",'2023년 신조차 고장관리 세부현황'!$P:$P,"&gt;="&amp;'트랜드 분석_15일'!AZ$27,'2023년 신조차 고장관리 세부현황'!$P:$P,"&lt;"&amp;'트랜드 분석_15일'!BA$27,'2023년 신조차 고장관리 세부현황'!$BC:$BC,"완료",'2023년 신조차 고장관리 세부현황'!$CY:$CY,"신호")</f>
        <v>0</v>
      </c>
      <c r="BB297" s="85">
        <f>COUNTIFS('2023년 신조차 고장관리 세부현황'!$K:$K,"448R",'2023년 신조차 고장관리 세부현황'!$P:$P,"&gt;="&amp;'트랜드 분석_15일'!BA$27,'2023년 신조차 고장관리 세부현황'!$P:$P,"&lt;"&amp;'트랜드 분석_15일'!BB$27,'2023년 신조차 고장관리 세부현황'!$BC:$BC,"완료",'2023년 신조차 고장관리 세부현황'!$CY:$CY,"신호")</f>
        <v>0</v>
      </c>
      <c r="BC297" s="85">
        <f>COUNTIFS('2023년 신조차 고장관리 세부현황'!$K:$K,"448R",'2023년 신조차 고장관리 세부현황'!$P:$P,"&gt;="&amp;'트랜드 분석_15일'!BB$27,'2023년 신조차 고장관리 세부현황'!$P:$P,"&lt;"&amp;'트랜드 분석_15일'!BC$27,'2023년 신조차 고장관리 세부현황'!$BC:$BC,"완료",'2023년 신조차 고장관리 세부현황'!$CY:$CY,"신호")</f>
        <v>0</v>
      </c>
      <c r="BD297" s="85">
        <f>COUNTIFS('2023년 신조차 고장관리 세부현황'!$K:$K,"448R",'2023년 신조차 고장관리 세부현황'!$P:$P,"&gt;="&amp;'트랜드 분석_15일'!BC$27,'2023년 신조차 고장관리 세부현황'!$P:$P,"&lt;"&amp;'트랜드 분석_15일'!BD$27,'2023년 신조차 고장관리 세부현황'!$BC:$BC,"완료",'2023년 신조차 고장관리 세부현황'!$CY:$CY,"신호")</f>
        <v>0</v>
      </c>
      <c r="BE297" s="85">
        <f>COUNTIFS('2023년 신조차 고장관리 세부현황'!$K:$K,"448R",'2023년 신조차 고장관리 세부현황'!$P:$P,"&gt;="&amp;'트랜드 분석_15일'!BD$27,'2023년 신조차 고장관리 세부현황'!$P:$P,"&lt;"&amp;'트랜드 분석_15일'!BE$27,'2023년 신조차 고장관리 세부현황'!$BC:$BC,"완료",'2023년 신조차 고장관리 세부현황'!$CY:$CY,"신호")</f>
        <v>0</v>
      </c>
      <c r="BF297" s="85">
        <f>COUNTIFS('2023년 신조차 고장관리 세부현황'!$K:$K,"448R",'2023년 신조차 고장관리 세부현황'!$P:$P,"&gt;="&amp;'트랜드 분석_15일'!BE$27,'2023년 신조차 고장관리 세부현황'!$P:$P,"&lt;"&amp;'트랜드 분석_15일'!BF$27,'2023년 신조차 고장관리 세부현황'!$BC:$BC,"완료",'2023년 신조차 고장관리 세부현황'!$CY:$CY,"신호")</f>
        <v>0</v>
      </c>
      <c r="BG297" s="85">
        <f>COUNTIFS('2023년 신조차 고장관리 세부현황'!$K:$K,"448R",'2023년 신조차 고장관리 세부현황'!$P:$P,"&gt;="&amp;'트랜드 분석_15일'!BF$27,'2023년 신조차 고장관리 세부현황'!$P:$P,"&lt;"&amp;'트랜드 분석_15일'!BG$27,'2023년 신조차 고장관리 세부현황'!$BC:$BC,"완료",'2023년 신조차 고장관리 세부현황'!$CY:$CY,"신호")</f>
        <v>0</v>
      </c>
      <c r="BH297" s="85">
        <f>COUNTIFS('2023년 신조차 고장관리 세부현황'!$K:$K,"448R",'2023년 신조차 고장관리 세부현황'!$P:$P,"&gt;="&amp;'트랜드 분석_15일'!BG$27,'2023년 신조차 고장관리 세부현황'!$P:$P,"&lt;"&amp;'트랜드 분석_15일'!BH$27,'2023년 신조차 고장관리 세부현황'!$BC:$BC,"완료",'2023년 신조차 고장관리 세부현황'!$CY:$CY,"신호")</f>
        <v>0</v>
      </c>
      <c r="BI297" s="85">
        <f>COUNTIFS('2023년 신조차 고장관리 세부현황'!$K:$K,"448R",'2023년 신조차 고장관리 세부현황'!$P:$P,"&gt;="&amp;'트랜드 분석_15일'!BH$27,'2023년 신조차 고장관리 세부현황'!$P:$P,"&lt;"&amp;'트랜드 분석_15일'!BI$27,'2023년 신조차 고장관리 세부현황'!$BC:$BC,"완료",'2023년 신조차 고장관리 세부현황'!$CY:$CY,"신호")</f>
        <v>0</v>
      </c>
      <c r="BJ297" s="85">
        <f>COUNTIFS('2023년 신조차 고장관리 세부현황'!$K:$K,"448R",'2023년 신조차 고장관리 세부현황'!$P:$P,"&gt;="&amp;'트랜드 분석_15일'!BI$27,'2023년 신조차 고장관리 세부현황'!$P:$P,"&lt;"&amp;'트랜드 분석_15일'!BJ$27,'2023년 신조차 고장관리 세부현황'!$BC:$BC,"완료",'2023년 신조차 고장관리 세부현황'!$CY:$CY,"신호")</f>
        <v>0</v>
      </c>
      <c r="BK297" s="85">
        <f>COUNTIFS('2023년 신조차 고장관리 세부현황'!$K:$K,"448R",'2023년 신조차 고장관리 세부현황'!$P:$P,"&gt;="&amp;'트랜드 분석_15일'!BJ$27,'2023년 신조차 고장관리 세부현황'!$P:$P,"&lt;"&amp;'트랜드 분석_15일'!BK$27,'2023년 신조차 고장관리 세부현황'!$BC:$BC,"완료",'2023년 신조차 고장관리 세부현황'!$CY:$CY,"신호")</f>
        <v>0</v>
      </c>
      <c r="BL297" s="85">
        <f>COUNTIFS('2023년 신조차 고장관리 세부현황'!$K:$K,"448R",'2023년 신조차 고장관리 세부현황'!$P:$P,"&gt;="&amp;'트랜드 분석_15일'!BK$27,'2023년 신조차 고장관리 세부현황'!$P:$P,"&lt;"&amp;'트랜드 분석_15일'!BL$27,'2023년 신조차 고장관리 세부현황'!$BC:$BC,"완료",'2023년 신조차 고장관리 세부현황'!$CY:$CY,"신호")</f>
        <v>0</v>
      </c>
      <c r="BM297" s="85">
        <f>COUNTIFS('2023년 신조차 고장관리 세부현황'!$K:$K,"448R",'2023년 신조차 고장관리 세부현황'!$P:$P,"&gt;="&amp;'트랜드 분석_15일'!BL$27,'2023년 신조차 고장관리 세부현황'!$P:$P,"&lt;"&amp;'트랜드 분석_15일'!BM$27,'2023년 신조차 고장관리 세부현황'!$BC:$BC,"완료",'2023년 신조차 고장관리 세부현황'!$CY:$CY,"신호")</f>
        <v>0</v>
      </c>
      <c r="BN297" s="85">
        <f>COUNTIFS('2023년 신조차 고장관리 세부현황'!$K:$K,"448R",'2023년 신조차 고장관리 세부현황'!$P:$P,"&gt;="&amp;'트랜드 분석_15일'!BM$27,'2023년 신조차 고장관리 세부현황'!$P:$P,"&lt;"&amp;'트랜드 분석_15일'!BN$27,'2023년 신조차 고장관리 세부현황'!$BC:$BC,"완료",'2023년 신조차 고장관리 세부현황'!$CY:$CY,"신호")</f>
        <v>0</v>
      </c>
      <c r="BO297" s="85">
        <f>COUNTIFS('2023년 신조차 고장관리 세부현황'!$K:$K,"448R",'2023년 신조차 고장관리 세부현황'!$P:$P,"&gt;="&amp;'트랜드 분석_15일'!BN$27,'2023년 신조차 고장관리 세부현황'!$P:$P,"&lt;"&amp;'트랜드 분석_15일'!BO$27,'2023년 신조차 고장관리 세부현황'!$BC:$BC,"완료",'2023년 신조차 고장관리 세부현황'!$CY:$CY,"신호")</f>
        <v>0</v>
      </c>
      <c r="BP297" s="85">
        <f>COUNTIFS('2023년 신조차 고장관리 세부현황'!$K:$K,"448R",'2023년 신조차 고장관리 세부현황'!$P:$P,"&gt;="&amp;'트랜드 분석_15일'!BO$27,'2023년 신조차 고장관리 세부현황'!$P:$P,"&lt;"&amp;'트랜드 분석_15일'!BP$27,'2023년 신조차 고장관리 세부현황'!$BC:$BC,"완료",'2023년 신조차 고장관리 세부현황'!$CY:$CY,"신호")</f>
        <v>0</v>
      </c>
      <c r="BQ297" s="85">
        <f>COUNTIFS('2023년 신조차 고장관리 세부현황'!$K:$K,"448R",'2023년 신조차 고장관리 세부현황'!$P:$P,"&gt;="&amp;'트랜드 분석_15일'!BP$27,'2023년 신조차 고장관리 세부현황'!$P:$P,"&lt;"&amp;'트랜드 분석_15일'!BQ$27,'2023년 신조차 고장관리 세부현황'!$BC:$BC,"완료",'2023년 신조차 고장관리 세부현황'!$CY:$CY,"신호")</f>
        <v>0</v>
      </c>
      <c r="BR297" s="85">
        <f>COUNTIFS('2023년 신조차 고장관리 세부현황'!$K:$K,"448R",'2023년 신조차 고장관리 세부현황'!$P:$P,"&gt;="&amp;'트랜드 분석_15일'!BQ$27,'2023년 신조차 고장관리 세부현황'!$P:$P,"&lt;"&amp;'트랜드 분석_15일'!BR$27,'2023년 신조차 고장관리 세부현황'!$BC:$BC,"완료",'2023년 신조차 고장관리 세부현황'!$CY:$CY,"신호")</f>
        <v>0</v>
      </c>
      <c r="BS297" s="85">
        <f>COUNTIFS('2023년 신조차 고장관리 세부현황'!$K:$K,"448R",'2023년 신조차 고장관리 세부현황'!$P:$P,"&gt;="&amp;'트랜드 분석_15일'!BR$27,'2023년 신조차 고장관리 세부현황'!$P:$P,"&lt;"&amp;'트랜드 분석_15일'!BS$27,'2023년 신조차 고장관리 세부현황'!$BC:$BC,"완료",'2023년 신조차 고장관리 세부현황'!$CY:$CY,"신호")</f>
        <v>0</v>
      </c>
      <c r="BT297" s="85">
        <f>COUNTIFS('2023년 신조차 고장관리 세부현황'!$K:$K,"448R",'2023년 신조차 고장관리 세부현황'!$P:$P,"&gt;="&amp;'트랜드 분석_15일'!BS$27,'2023년 신조차 고장관리 세부현황'!$P:$P,"&lt;"&amp;'트랜드 분석_15일'!BT$27,'2023년 신조차 고장관리 세부현황'!$BC:$BC,"완료",'2023년 신조차 고장관리 세부현황'!$CY:$CY,"신호")</f>
        <v>0</v>
      </c>
      <c r="BU297" s="85">
        <f>COUNTIFS('2023년 신조차 고장관리 세부현황'!$K:$K,"448R",'2023년 신조차 고장관리 세부현황'!$P:$P,"&gt;="&amp;'트랜드 분석_15일'!BT$27,'2023년 신조차 고장관리 세부현황'!$P:$P,"&lt;"&amp;'트랜드 분석_15일'!BU$27,'2023년 신조차 고장관리 세부현황'!$BC:$BC,"완료",'2023년 신조차 고장관리 세부현황'!$CY:$CY,"신호")</f>
        <v>0</v>
      </c>
      <c r="BV297" s="85">
        <f>COUNTIFS('2023년 신조차 고장관리 세부현황'!$K:$K,"448R",'2023년 신조차 고장관리 세부현황'!$P:$P,"&gt;="&amp;'트랜드 분석_15일'!BU$27,'2023년 신조차 고장관리 세부현황'!$P:$P,"&lt;"&amp;'트랜드 분석_15일'!BV$27,'2023년 신조차 고장관리 세부현황'!$BC:$BC,"완료",'2023년 신조차 고장관리 세부현황'!$CY:$CY,"신호")</f>
        <v>0</v>
      </c>
      <c r="BW297" s="85">
        <f>COUNTIFS('2023년 신조차 고장관리 세부현황'!$K:$K,"448R",'2023년 신조차 고장관리 세부현황'!$P:$P,"&gt;="&amp;'트랜드 분석_15일'!BV$27,'2023년 신조차 고장관리 세부현황'!$P:$P,"&lt;"&amp;'트랜드 분석_15일'!BW$27,'2023년 신조차 고장관리 세부현황'!$BC:$BC,"완료",'2023년 신조차 고장관리 세부현황'!$CY:$CY,"신호")</f>
        <v>0</v>
      </c>
      <c r="BX297" s="85">
        <f>COUNTIFS('2023년 신조차 고장관리 세부현황'!$K:$K,"448R",'2023년 신조차 고장관리 세부현황'!$P:$P,"&gt;="&amp;'트랜드 분석_15일'!BW$27,'2023년 신조차 고장관리 세부현황'!$P:$P,"&lt;"&amp;'트랜드 분석_15일'!BX$27,'2023년 신조차 고장관리 세부현황'!$BC:$BC,"완료",'2023년 신조차 고장관리 세부현황'!$CY:$CY,"신호")</f>
        <v>0</v>
      </c>
      <c r="BY297" s="85">
        <f>COUNTIFS('2023년 신조차 고장관리 세부현황'!$K:$K,"448R",'2023년 신조차 고장관리 세부현황'!$P:$P,"&gt;="&amp;'트랜드 분석_15일'!BX$27,'2023년 신조차 고장관리 세부현황'!$P:$P,"&lt;"&amp;'트랜드 분석_15일'!BY$27,'2023년 신조차 고장관리 세부현황'!$BC:$BC,"완료",'2023년 신조차 고장관리 세부현황'!$CY:$CY,"신호")</f>
        <v>0</v>
      </c>
      <c r="BZ297" s="85">
        <f>COUNTIFS('2023년 신조차 고장관리 세부현황'!$K:$K,"448R",'2023년 신조차 고장관리 세부현황'!$P:$P,"&gt;="&amp;'트랜드 분석_15일'!BY$27,'2023년 신조차 고장관리 세부현황'!$P:$P,"&lt;"&amp;'트랜드 분석_15일'!BZ$27,'2023년 신조차 고장관리 세부현황'!$BC:$BC,"완료",'2023년 신조차 고장관리 세부현황'!$CY:$CY,"신호")</f>
        <v>0</v>
      </c>
      <c r="CA297" s="85">
        <f>COUNTIFS('2023년 신조차 고장관리 세부현황'!$K:$K,"448R",'2023년 신조차 고장관리 세부현황'!$P:$P,"&gt;="&amp;'트랜드 분석_15일'!BZ$27,'2023년 신조차 고장관리 세부현황'!$P:$P,"&lt;"&amp;'트랜드 분석_15일'!CA$27,'2023년 신조차 고장관리 세부현황'!$BC:$BC,"완료",'2023년 신조차 고장관리 세부현황'!$CY:$CY,"신호")</f>
        <v>0</v>
      </c>
      <c r="CB297" s="85">
        <f>COUNTIFS('2023년 신조차 고장관리 세부현황'!$K:$K,"448R",'2023년 신조차 고장관리 세부현황'!$P:$P,"&gt;="&amp;'트랜드 분석_15일'!CA$27,'2023년 신조차 고장관리 세부현황'!$P:$P,"&lt;"&amp;'트랜드 분석_15일'!CB$27,'2023년 신조차 고장관리 세부현황'!$BC:$BC,"완료",'2023년 신조차 고장관리 세부현황'!$CY:$CY,"신호")</f>
        <v>0</v>
      </c>
      <c r="CC297" s="85">
        <f>COUNTIFS('2023년 신조차 고장관리 세부현황'!$K:$K,"448R",'2023년 신조차 고장관리 세부현황'!$P:$P,"&gt;="&amp;'트랜드 분석_15일'!CB$27,'2023년 신조차 고장관리 세부현황'!$P:$P,"&lt;"&amp;'트랜드 분석_15일'!CC$27,'2023년 신조차 고장관리 세부현황'!$BC:$BC,"완료",'2023년 신조차 고장관리 세부현황'!$CY:$CY,"신호")</f>
        <v>0</v>
      </c>
      <c r="CD297" s="85">
        <f>COUNTIFS('2023년 신조차 고장관리 세부현황'!$K:$K,"448R",'2023년 신조차 고장관리 세부현황'!$P:$P,"&gt;="&amp;'트랜드 분석_15일'!CC$27,'2023년 신조차 고장관리 세부현황'!$P:$P,"&lt;"&amp;'트랜드 분석_15일'!CD$27,'2023년 신조차 고장관리 세부현황'!$BC:$BC,"완료",'2023년 신조차 고장관리 세부현황'!$CY:$CY,"신호")</f>
        <v>0</v>
      </c>
      <c r="CE297" s="85">
        <f>COUNTIFS('2023년 신조차 고장관리 세부현황'!$K:$K,"448R",'2023년 신조차 고장관리 세부현황'!$P:$P,"&gt;="&amp;'트랜드 분석_15일'!CD$27,'2023년 신조차 고장관리 세부현황'!$P:$P,"&lt;"&amp;'트랜드 분석_15일'!CE$27,'2023년 신조차 고장관리 세부현황'!$BC:$BC,"완료",'2023년 신조차 고장관리 세부현황'!$CY:$CY,"신호")</f>
        <v>0</v>
      </c>
      <c r="CF297" s="85">
        <f>COUNTIFS('2023년 신조차 고장관리 세부현황'!$K:$K,"448R",'2023년 신조차 고장관리 세부현황'!$P:$P,"&gt;="&amp;'트랜드 분석_15일'!CE$27,'2023년 신조차 고장관리 세부현황'!$P:$P,"&lt;"&amp;'트랜드 분석_15일'!CF$27,'2023년 신조차 고장관리 세부현황'!$BC:$BC,"완료",'2023년 신조차 고장관리 세부현황'!$CY:$CY,"신호")</f>
        <v>0</v>
      </c>
      <c r="CG297" s="85">
        <f>COUNTIFS('2023년 신조차 고장관리 세부현황'!$K:$K,"448R",'2023년 신조차 고장관리 세부현황'!$P:$P,"&gt;="&amp;'트랜드 분석_15일'!CF$27,'2023년 신조차 고장관리 세부현황'!$P:$P,"&lt;"&amp;'트랜드 분석_15일'!CG$27,'2023년 신조차 고장관리 세부현황'!$BC:$BC,"완료",'2023년 신조차 고장관리 세부현황'!$CY:$CY,"신호")</f>
        <v>0</v>
      </c>
      <c r="CH297" s="85">
        <f>COUNTIFS('2023년 신조차 고장관리 세부현황'!$K:$K,"448R",'2023년 신조차 고장관리 세부현황'!$P:$P,"&gt;="&amp;'트랜드 분석_15일'!CG$27,'2023년 신조차 고장관리 세부현황'!$P:$P,"&lt;"&amp;'트랜드 분석_15일'!CH$27,'2023년 신조차 고장관리 세부현황'!$BC:$BC,"완료",'2023년 신조차 고장관리 세부현황'!$CY:$CY,"신호")</f>
        <v>0</v>
      </c>
      <c r="CI297" s="85">
        <f>COUNTIFS('2023년 신조차 고장관리 세부현황'!$K:$K,"448R",'2023년 신조차 고장관리 세부현황'!$P:$P,"&gt;="&amp;'트랜드 분석_15일'!CH$27,'2023년 신조차 고장관리 세부현황'!$P:$P,"&lt;"&amp;'트랜드 분석_15일'!CI$27,'2023년 신조차 고장관리 세부현황'!$BC:$BC,"완료",'2023년 신조차 고장관리 세부현황'!$CY:$CY,"신호")</f>
        <v>0</v>
      </c>
      <c r="CJ297" s="85">
        <f>COUNTIFS('2023년 신조차 고장관리 세부현황'!$K:$K,"448R",'2023년 신조차 고장관리 세부현황'!$P:$P,"&gt;="&amp;'트랜드 분석_15일'!CI$27,'2023년 신조차 고장관리 세부현황'!$P:$P,"&lt;"&amp;'트랜드 분석_15일'!CJ$27,'2023년 신조차 고장관리 세부현황'!$BC:$BC,"완료",'2023년 신조차 고장관리 세부현황'!$CY:$CY,"신호")</f>
        <v>0</v>
      </c>
      <c r="CK297" s="85">
        <f>COUNTIFS('2023년 신조차 고장관리 세부현황'!$K:$K,"448R",'2023년 신조차 고장관리 세부현황'!$P:$P,"&gt;="&amp;'트랜드 분석_15일'!CJ$27,'2023년 신조차 고장관리 세부현황'!$P:$P,"&lt;"&amp;'트랜드 분석_15일'!CK$27,'2023년 신조차 고장관리 세부현황'!$BC:$BC,"완료",'2023년 신조차 고장관리 세부현황'!$CY:$CY,"신호")</f>
        <v>0</v>
      </c>
      <c r="CL297" s="85">
        <f>COUNTIFS('2023년 신조차 고장관리 세부현황'!$K:$K,"448R",'2023년 신조차 고장관리 세부현황'!$P:$P,"&gt;="&amp;'트랜드 분석_15일'!CK$27,'2023년 신조차 고장관리 세부현황'!$P:$P,"&lt;"&amp;'트랜드 분석_15일'!CL$27,'2023년 신조차 고장관리 세부현황'!$BC:$BC,"완료",'2023년 신조차 고장관리 세부현황'!$CY:$CY,"신호")</f>
        <v>0</v>
      </c>
      <c r="CM297" s="85">
        <f>COUNTIFS('2023년 신조차 고장관리 세부현황'!$K:$K,"448R",'2023년 신조차 고장관리 세부현황'!$P:$P,"&gt;="&amp;'트랜드 분석_15일'!CL$27,'2023년 신조차 고장관리 세부현황'!$P:$P,"&lt;"&amp;'트랜드 분석_15일'!CM$27,'2023년 신조차 고장관리 세부현황'!$BC:$BC,"완료",'2023년 신조차 고장관리 세부현황'!$CY:$CY,"신호")</f>
        <v>0</v>
      </c>
      <c r="CN297" s="85">
        <f>COUNTIFS('2023년 신조차 고장관리 세부현황'!$K:$K,"448R",'2023년 신조차 고장관리 세부현황'!$P:$P,"&gt;="&amp;'트랜드 분석_15일'!CM$27,'2023년 신조차 고장관리 세부현황'!$P:$P,"&lt;"&amp;'트랜드 분석_15일'!CN$27,'2023년 신조차 고장관리 세부현황'!$BC:$BC,"완료",'2023년 신조차 고장관리 세부현황'!$CY:$CY,"신호")</f>
        <v>0</v>
      </c>
      <c r="CO297" s="85">
        <f>COUNTIFS('2023년 신조차 고장관리 세부현황'!$K:$K,"448R",'2023년 신조차 고장관리 세부현황'!$P:$P,"&gt;="&amp;'트랜드 분석_15일'!CN$27,'2023년 신조차 고장관리 세부현황'!$P:$P,"&lt;"&amp;'트랜드 분석_15일'!CO$27,'2023년 신조차 고장관리 세부현황'!$BC:$BC,"완료",'2023년 신조차 고장관리 세부현황'!$CY:$CY,"신호")</f>
        <v>0</v>
      </c>
      <c r="CP297" s="85">
        <f>COUNTIFS('2023년 신조차 고장관리 세부현황'!$K:$K,"448R",'2023년 신조차 고장관리 세부현황'!$P:$P,"&gt;="&amp;'트랜드 분석_15일'!CO$27,'2023년 신조차 고장관리 세부현황'!$P:$P,"&lt;"&amp;'트랜드 분석_15일'!CP$27,'2023년 신조차 고장관리 세부현황'!$BC:$BC,"완료",'2023년 신조차 고장관리 세부현황'!$CY:$CY,"신호")</f>
        <v>0</v>
      </c>
      <c r="CQ297" s="85">
        <f>COUNTIFS('2023년 신조차 고장관리 세부현황'!$K:$K,"448R",'2023년 신조차 고장관리 세부현황'!$P:$P,"&gt;="&amp;'트랜드 분석_15일'!CP$27,'2023년 신조차 고장관리 세부현황'!$P:$P,"&lt;"&amp;'트랜드 분석_15일'!CQ$27,'2023년 신조차 고장관리 세부현황'!$BC:$BC,"완료",'2023년 신조차 고장관리 세부현황'!$CY:$CY,"신호")</f>
        <v>0</v>
      </c>
      <c r="CR297" s="85">
        <f>COUNTIFS('2023년 신조차 고장관리 세부현황'!$K:$K,"448R",'2023년 신조차 고장관리 세부현황'!$P:$P,"&gt;="&amp;'트랜드 분석_15일'!CQ$27,'2023년 신조차 고장관리 세부현황'!$P:$P,"&lt;"&amp;'트랜드 분석_15일'!CR$27,'2023년 신조차 고장관리 세부현황'!$BC:$BC,"완료",'2023년 신조차 고장관리 세부현황'!$CY:$CY,"신호")</f>
        <v>0</v>
      </c>
      <c r="CS297" s="85">
        <f>COUNTIFS('2023년 신조차 고장관리 세부현황'!$K:$K,"448R",'2023년 신조차 고장관리 세부현황'!$P:$P,"&gt;="&amp;'트랜드 분석_15일'!CR$27,'2023년 신조차 고장관리 세부현황'!$P:$P,"&lt;"&amp;'트랜드 분석_15일'!CS$27,'2023년 신조차 고장관리 세부현황'!$BC:$BC,"완료",'2023년 신조차 고장관리 세부현황'!$CY:$CY,"신호")</f>
        <v>0</v>
      </c>
      <c r="CT297" s="85">
        <f>COUNTIFS('2023년 신조차 고장관리 세부현황'!$K:$K,"448R",'2023년 신조차 고장관리 세부현황'!$P:$P,"&gt;="&amp;'트랜드 분석_15일'!CS$27,'2023년 신조차 고장관리 세부현황'!$P:$P,"&lt;"&amp;'트랜드 분석_15일'!CT$27,'2023년 신조차 고장관리 세부현황'!$BC:$BC,"완료",'2023년 신조차 고장관리 세부현황'!$CY:$CY,"신호")</f>
        <v>0</v>
      </c>
      <c r="CU297" s="85">
        <f>COUNTIFS('2023년 신조차 고장관리 세부현황'!$K:$K,"448R",'2023년 신조차 고장관리 세부현황'!$P:$P,"&gt;="&amp;'트랜드 분석_15일'!CT$27,'2023년 신조차 고장관리 세부현황'!$P:$P,"&lt;"&amp;'트랜드 분석_15일'!CU$27,'2023년 신조차 고장관리 세부현황'!$BC:$BC,"완료",'2023년 신조차 고장관리 세부현황'!$CY:$CY,"신호")</f>
        <v>0</v>
      </c>
      <c r="CV297" s="85">
        <f>COUNTIFS('2023년 신조차 고장관리 세부현황'!$K:$K,"448R",'2023년 신조차 고장관리 세부현황'!$P:$P,"&gt;="&amp;'트랜드 분석_15일'!CU$27,'2023년 신조차 고장관리 세부현황'!$P:$P,"&lt;"&amp;'트랜드 분석_15일'!CV$27,'2023년 신조차 고장관리 세부현황'!$BC:$BC,"완료",'2023년 신조차 고장관리 세부현황'!$CY:$CY,"신호")</f>
        <v>0</v>
      </c>
      <c r="CW297" s="85">
        <f>COUNTIFS('2023년 신조차 고장관리 세부현황'!$K:$K,"448R",'2023년 신조차 고장관리 세부현황'!$P:$P,"&gt;="&amp;'트랜드 분석_15일'!CV$27,'2023년 신조차 고장관리 세부현황'!$P:$P,"&lt;"&amp;'트랜드 분석_15일'!CW$27,'2023년 신조차 고장관리 세부현황'!$BC:$BC,"완료",'2023년 신조차 고장관리 세부현황'!$CY:$CY,"신호")</f>
        <v>0</v>
      </c>
      <c r="CX297">
        <f ca="1">SUM(G297:CW297)</f>
        <v>0</v>
      </c>
    </row>
    <row r="298" spans="6:103" x14ac:dyDescent="0.4">
      <c r="F298" s="85" t="s">
        <v>164</v>
      </c>
      <c r="G298" s="85">
        <f>COUNTIFS('2023년 신조차 고장관리 세부현황'!$K:$K,"448R",'2023년 신조차 고장관리 세부현황'!$P:$P,"&gt;="&amp;$G$26,'2023년 신조차 고장관리 세부현황'!$P:$P,"&lt;"&amp;'트랜드 분석_15일'!G$27,'2023년 신조차 고장관리 세부현황'!$S:$S,'트랜드 분석_15일'!$F298,'2023년 신조차 고장관리 세부현황'!$BC:$BC,"완료",'2023년 신조차 고장관리 세부현황'!$CY:$CY,"신호")</f>
        <v>0</v>
      </c>
      <c r="H298"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분석_15일'!$F298,'2023년 신조차 고장관리 세부현황'!$BC:$BC,"완료",'2023년 신조차 고장관리 세부현황'!$CY:$CY,"신호")</f>
        <v>0</v>
      </c>
      <c r="I298"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분석_15일'!$F298,'2023년 신조차 고장관리 세부현황'!$BC:$BC,"완료",'2023년 신조차 고장관리 세부현황'!$CY:$CY,"신호")</f>
        <v>0</v>
      </c>
      <c r="J298"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분석_15일'!$F298,'2023년 신조차 고장관리 세부현황'!$BC:$BC,"완료",'2023년 신조차 고장관리 세부현황'!$CY:$CY,"신호")</f>
        <v>0</v>
      </c>
      <c r="K298"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분석_15일'!$F298,'2023년 신조차 고장관리 세부현황'!$BC:$BC,"완료",'2023년 신조차 고장관리 세부현황'!$CY:$CY,"신호")</f>
        <v>0</v>
      </c>
      <c r="L298"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분석_15일'!$F298,'2023년 신조차 고장관리 세부현황'!$BC:$BC,"완료",'2023년 신조차 고장관리 세부현황'!$CY:$CY,"신호")</f>
        <v>0</v>
      </c>
      <c r="M298"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분석_15일'!$F298,'2023년 신조차 고장관리 세부현황'!$BC:$BC,"완료",'2023년 신조차 고장관리 세부현황'!$CY:$CY,"신호")</f>
        <v>0</v>
      </c>
      <c r="N298"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분석_15일'!$F298,'2023년 신조차 고장관리 세부현황'!$BC:$BC,"완료",'2023년 신조차 고장관리 세부현황'!$CY:$CY,"신호")</f>
        <v>0</v>
      </c>
      <c r="O298"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분석_15일'!$F298,'2023년 신조차 고장관리 세부현황'!$BC:$BC,"완료",'2023년 신조차 고장관리 세부현황'!$CY:$CY,"신호")</f>
        <v>0</v>
      </c>
      <c r="P298"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분석_15일'!$F298,'2023년 신조차 고장관리 세부현황'!$BC:$BC,"완료",'2023년 신조차 고장관리 세부현황'!$CY:$CY,"신호")</f>
        <v>0</v>
      </c>
      <c r="Q298"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분석_15일'!$F298,'2023년 신조차 고장관리 세부현황'!$BC:$BC,"완료",'2023년 신조차 고장관리 세부현황'!$CY:$CY,"신호")</f>
        <v>0</v>
      </c>
      <c r="R298"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분석_15일'!$F298,'2023년 신조차 고장관리 세부현황'!$BC:$BC,"완료",'2023년 신조차 고장관리 세부현황'!$CY:$CY,"신호")</f>
        <v>0</v>
      </c>
      <c r="S298"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분석_15일'!$F298,'2023년 신조차 고장관리 세부현황'!$BC:$BC,"완료",'2023년 신조차 고장관리 세부현황'!$CY:$CY,"신호")</f>
        <v>0</v>
      </c>
      <c r="T298"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분석_15일'!$F298,'2023년 신조차 고장관리 세부현황'!$BC:$BC,"완료",'2023년 신조차 고장관리 세부현황'!$CY:$CY,"신호")</f>
        <v>0</v>
      </c>
      <c r="U298"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분석_15일'!$F298,'2023년 신조차 고장관리 세부현황'!$BC:$BC,"완료",'2023년 신조차 고장관리 세부현황'!$CY:$CY,"신호")</f>
        <v>0</v>
      </c>
      <c r="V298"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분석_15일'!$F298,'2023년 신조차 고장관리 세부현황'!$BC:$BC,"완료",'2023년 신조차 고장관리 세부현황'!$CY:$CY,"신호")</f>
        <v>0</v>
      </c>
      <c r="W298"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분석_15일'!$F298,'2023년 신조차 고장관리 세부현황'!$BC:$BC,"완료",'2023년 신조차 고장관리 세부현황'!$CY:$CY,"신호")</f>
        <v>0</v>
      </c>
      <c r="X298"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분석_15일'!$F298,'2023년 신조차 고장관리 세부현황'!$BC:$BC,"완료",'2023년 신조차 고장관리 세부현황'!$CY:$CY,"신호")</f>
        <v>0</v>
      </c>
      <c r="Y298"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분석_15일'!$F298,'2023년 신조차 고장관리 세부현황'!$BC:$BC,"완료",'2023년 신조차 고장관리 세부현황'!$CY:$CY,"신호")</f>
        <v>0</v>
      </c>
      <c r="Z298"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분석_15일'!$F298,'2023년 신조차 고장관리 세부현황'!$BC:$BC,"완료",'2023년 신조차 고장관리 세부현황'!$CY:$CY,"신호")</f>
        <v>0</v>
      </c>
      <c r="AA298"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분석_15일'!$F298,'2023년 신조차 고장관리 세부현황'!$BC:$BC,"완료",'2023년 신조차 고장관리 세부현황'!$CY:$CY,"신호")</f>
        <v>0</v>
      </c>
      <c r="AB298"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분석_15일'!$F298,'2023년 신조차 고장관리 세부현황'!$BC:$BC,"완료",'2023년 신조차 고장관리 세부현황'!$CY:$CY,"신호")</f>
        <v>0</v>
      </c>
      <c r="AC298"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분석_15일'!$F298,'2023년 신조차 고장관리 세부현황'!$BC:$BC,"완료",'2023년 신조차 고장관리 세부현황'!$CY:$CY,"신호")</f>
        <v>0</v>
      </c>
      <c r="AD298"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분석_15일'!$F298,'2023년 신조차 고장관리 세부현황'!$BC:$BC,"완료",'2023년 신조차 고장관리 세부현황'!$CY:$CY,"신호")</f>
        <v>0</v>
      </c>
      <c r="AE298"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분석_15일'!$F298,'2023년 신조차 고장관리 세부현황'!$BC:$BC,"완료",'2023년 신조차 고장관리 세부현황'!$CY:$CY,"신호")</f>
        <v>0</v>
      </c>
      <c r="AF298"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분석_15일'!$F298,'2023년 신조차 고장관리 세부현황'!$BC:$BC,"완료",'2023년 신조차 고장관리 세부현황'!$CY:$CY,"신호")</f>
        <v>0</v>
      </c>
      <c r="AG298"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분석_15일'!$F298,'2023년 신조차 고장관리 세부현황'!$BC:$BC,"완료",'2023년 신조차 고장관리 세부현황'!$CY:$CY,"신호")</f>
        <v>0</v>
      </c>
      <c r="AH298"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분석_15일'!$F298,'2023년 신조차 고장관리 세부현황'!$BC:$BC,"완료",'2023년 신조차 고장관리 세부현황'!$CY:$CY,"신호")</f>
        <v>0</v>
      </c>
      <c r="AI298"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분석_15일'!$F298,'2023년 신조차 고장관리 세부현황'!$BC:$BC,"완료",'2023년 신조차 고장관리 세부현황'!$CY:$CY,"신호")</f>
        <v>0</v>
      </c>
      <c r="AJ298"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분석_15일'!$F298,'2023년 신조차 고장관리 세부현황'!$BC:$BC,"완료",'2023년 신조차 고장관리 세부현황'!$CY:$CY,"신호")</f>
        <v>0</v>
      </c>
      <c r="AK298"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분석_15일'!$F298,'2023년 신조차 고장관리 세부현황'!$BC:$BC,"완료",'2023년 신조차 고장관리 세부현황'!$CY:$CY,"신호")</f>
        <v>0</v>
      </c>
      <c r="AL298"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분석_15일'!$F298,'2023년 신조차 고장관리 세부현황'!$BC:$BC,"완료",'2023년 신조차 고장관리 세부현황'!$CY:$CY,"신호")</f>
        <v>0</v>
      </c>
      <c r="AM298"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분석_15일'!$F298,'2023년 신조차 고장관리 세부현황'!$BC:$BC,"완료",'2023년 신조차 고장관리 세부현황'!$CY:$CY,"신호")</f>
        <v>0</v>
      </c>
      <c r="AN298"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분석_15일'!$F298,'2023년 신조차 고장관리 세부현황'!$BC:$BC,"완료",'2023년 신조차 고장관리 세부현황'!$CY:$CY,"신호")</f>
        <v>0</v>
      </c>
      <c r="AO298"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분석_15일'!$F298,'2023년 신조차 고장관리 세부현황'!$BC:$BC,"완료",'2023년 신조차 고장관리 세부현황'!$CY:$CY,"신호")</f>
        <v>0</v>
      </c>
      <c r="AP298"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분석_15일'!$F298,'2023년 신조차 고장관리 세부현황'!$BC:$BC,"완료",'2023년 신조차 고장관리 세부현황'!$CY:$CY,"신호")</f>
        <v>0</v>
      </c>
      <c r="AQ298"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분석_15일'!$F298,'2023년 신조차 고장관리 세부현황'!$BC:$BC,"완료",'2023년 신조차 고장관리 세부현황'!$CY:$CY,"신호")</f>
        <v>0</v>
      </c>
      <c r="AR298"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분석_15일'!$F298,'2023년 신조차 고장관리 세부현황'!$BC:$BC,"완료",'2023년 신조차 고장관리 세부현황'!$CY:$CY,"신호")</f>
        <v>0</v>
      </c>
      <c r="AS298"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분석_15일'!$F298,'2023년 신조차 고장관리 세부현황'!$BC:$BC,"완료",'2023년 신조차 고장관리 세부현황'!$CY:$CY,"신호")</f>
        <v>0</v>
      </c>
      <c r="AT298"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분석_15일'!$F298,'2023년 신조차 고장관리 세부현황'!$BC:$BC,"완료",'2023년 신조차 고장관리 세부현황'!$CY:$CY,"신호")</f>
        <v>0</v>
      </c>
      <c r="AU298"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분석_15일'!$F298,'2023년 신조차 고장관리 세부현황'!$BC:$BC,"완료",'2023년 신조차 고장관리 세부현황'!$CY:$CY,"신호")</f>
        <v>0</v>
      </c>
      <c r="AV298"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분석_15일'!$F298,'2023년 신조차 고장관리 세부현황'!$BC:$BC,"완료",'2023년 신조차 고장관리 세부현황'!$CY:$CY,"신호")</f>
        <v>0</v>
      </c>
      <c r="AW298"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분석_15일'!$F298,'2023년 신조차 고장관리 세부현황'!$BC:$BC,"완료",'2023년 신조차 고장관리 세부현황'!$CY:$CY,"신호")</f>
        <v>0</v>
      </c>
      <c r="AX298"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분석_15일'!$F298,'2023년 신조차 고장관리 세부현황'!$BC:$BC,"완료",'2023년 신조차 고장관리 세부현황'!$CY:$CY,"신호")</f>
        <v>0</v>
      </c>
      <c r="AY298"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분석_15일'!$F298,'2023년 신조차 고장관리 세부현황'!$BC:$BC,"완료",'2023년 신조차 고장관리 세부현황'!$CY:$CY,"신호")</f>
        <v>0</v>
      </c>
      <c r="AZ298"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분석_15일'!$F298,'2023년 신조차 고장관리 세부현황'!$BC:$BC,"완료",'2023년 신조차 고장관리 세부현황'!$CY:$CY,"신호")</f>
        <v>0</v>
      </c>
      <c r="BA298"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분석_15일'!$F298,'2023년 신조차 고장관리 세부현황'!$BC:$BC,"완료",'2023년 신조차 고장관리 세부현황'!$CY:$CY,"신호")</f>
        <v>0</v>
      </c>
      <c r="BB298"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분석_15일'!$F298,'2023년 신조차 고장관리 세부현황'!$BC:$BC,"완료",'2023년 신조차 고장관리 세부현황'!$CY:$CY,"신호")</f>
        <v>0</v>
      </c>
      <c r="BC298"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분석_15일'!$F298,'2023년 신조차 고장관리 세부현황'!$BC:$BC,"완료",'2023년 신조차 고장관리 세부현황'!$CY:$CY,"신호")</f>
        <v>0</v>
      </c>
      <c r="BD298"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분석_15일'!$F298,'2023년 신조차 고장관리 세부현황'!$BC:$BC,"완료",'2023년 신조차 고장관리 세부현황'!$CY:$CY,"신호")</f>
        <v>0</v>
      </c>
      <c r="BE298"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분석_15일'!$F298,'2023년 신조차 고장관리 세부현황'!$BC:$BC,"완료",'2023년 신조차 고장관리 세부현황'!$CY:$CY,"신호")</f>
        <v>0</v>
      </c>
      <c r="BF298"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분석_15일'!$F298,'2023년 신조차 고장관리 세부현황'!$BC:$BC,"완료",'2023년 신조차 고장관리 세부현황'!$CY:$CY,"신호")</f>
        <v>0</v>
      </c>
      <c r="BG298"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분석_15일'!$F298,'2023년 신조차 고장관리 세부현황'!$BC:$BC,"완료",'2023년 신조차 고장관리 세부현황'!$CY:$CY,"신호")</f>
        <v>0</v>
      </c>
      <c r="BH298"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분석_15일'!$F298,'2023년 신조차 고장관리 세부현황'!$BC:$BC,"완료",'2023년 신조차 고장관리 세부현황'!$CY:$CY,"신호")</f>
        <v>0</v>
      </c>
      <c r="BI298"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분석_15일'!$F298,'2023년 신조차 고장관리 세부현황'!$BC:$BC,"완료",'2023년 신조차 고장관리 세부현황'!$CY:$CY,"신호")</f>
        <v>0</v>
      </c>
      <c r="BJ298"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분석_15일'!$F298,'2023년 신조차 고장관리 세부현황'!$BC:$BC,"완료",'2023년 신조차 고장관리 세부현황'!$CY:$CY,"신호")</f>
        <v>0</v>
      </c>
      <c r="BK298"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분석_15일'!$F298,'2023년 신조차 고장관리 세부현황'!$BC:$BC,"완료",'2023년 신조차 고장관리 세부현황'!$CY:$CY,"신호")</f>
        <v>0</v>
      </c>
      <c r="BL298"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분석_15일'!$F298,'2023년 신조차 고장관리 세부현황'!$BC:$BC,"완료",'2023년 신조차 고장관리 세부현황'!$CY:$CY,"신호")</f>
        <v>0</v>
      </c>
      <c r="BM298"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분석_15일'!$F298,'2023년 신조차 고장관리 세부현황'!$BC:$BC,"완료",'2023년 신조차 고장관리 세부현황'!$CY:$CY,"신호")</f>
        <v>0</v>
      </c>
      <c r="BN298"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분석_15일'!$F298,'2023년 신조차 고장관리 세부현황'!$BC:$BC,"완료",'2023년 신조차 고장관리 세부현황'!$CY:$CY,"신호")</f>
        <v>0</v>
      </c>
      <c r="BO298"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분석_15일'!$F298,'2023년 신조차 고장관리 세부현황'!$BC:$BC,"완료",'2023년 신조차 고장관리 세부현황'!$CY:$CY,"신호")</f>
        <v>0</v>
      </c>
      <c r="BP298"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분석_15일'!$F298,'2023년 신조차 고장관리 세부현황'!$BC:$BC,"완료",'2023년 신조차 고장관리 세부현황'!$CY:$CY,"신호")</f>
        <v>0</v>
      </c>
      <c r="BQ298"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분석_15일'!$F298,'2023년 신조차 고장관리 세부현황'!$BC:$BC,"완료",'2023년 신조차 고장관리 세부현황'!$CY:$CY,"신호")</f>
        <v>0</v>
      </c>
      <c r="BR298"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분석_15일'!$F298,'2023년 신조차 고장관리 세부현황'!$BC:$BC,"완료",'2023년 신조차 고장관리 세부현황'!$CY:$CY,"신호")</f>
        <v>0</v>
      </c>
      <c r="BS298"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분석_15일'!$F298,'2023년 신조차 고장관리 세부현황'!$BC:$BC,"완료",'2023년 신조차 고장관리 세부현황'!$CY:$CY,"신호")</f>
        <v>0</v>
      </c>
      <c r="BT298"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분석_15일'!$F298,'2023년 신조차 고장관리 세부현황'!$BC:$BC,"완료",'2023년 신조차 고장관리 세부현황'!$CY:$CY,"신호")</f>
        <v>0</v>
      </c>
      <c r="BU298"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분석_15일'!$F298,'2023년 신조차 고장관리 세부현황'!$BC:$BC,"완료",'2023년 신조차 고장관리 세부현황'!$CY:$CY,"신호")</f>
        <v>0</v>
      </c>
      <c r="BV298"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분석_15일'!$F298,'2023년 신조차 고장관리 세부현황'!$BC:$BC,"완료",'2023년 신조차 고장관리 세부현황'!$CY:$CY,"신호")</f>
        <v>0</v>
      </c>
      <c r="BW298"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분석_15일'!$F298,'2023년 신조차 고장관리 세부현황'!$BC:$BC,"완료",'2023년 신조차 고장관리 세부현황'!$CY:$CY,"신호")</f>
        <v>0</v>
      </c>
      <c r="BX298"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분석_15일'!$F298,'2023년 신조차 고장관리 세부현황'!$BC:$BC,"완료",'2023년 신조차 고장관리 세부현황'!$CY:$CY,"신호")</f>
        <v>0</v>
      </c>
      <c r="BY298"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분석_15일'!$F298,'2023년 신조차 고장관리 세부현황'!$BC:$BC,"완료",'2023년 신조차 고장관리 세부현황'!$CY:$CY,"신호")</f>
        <v>0</v>
      </c>
      <c r="BZ298"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분석_15일'!$F298,'2023년 신조차 고장관리 세부현황'!$BC:$BC,"완료",'2023년 신조차 고장관리 세부현황'!$CY:$CY,"신호")</f>
        <v>0</v>
      </c>
      <c r="CA298"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분석_15일'!$F298,'2023년 신조차 고장관리 세부현황'!$BC:$BC,"완료",'2023년 신조차 고장관리 세부현황'!$CY:$CY,"신호")</f>
        <v>0</v>
      </c>
      <c r="CB298"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분석_15일'!$F298,'2023년 신조차 고장관리 세부현황'!$BC:$BC,"완료",'2023년 신조차 고장관리 세부현황'!$CY:$CY,"신호")</f>
        <v>0</v>
      </c>
      <c r="CC298"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분석_15일'!$F298,'2023년 신조차 고장관리 세부현황'!$BC:$BC,"완료",'2023년 신조차 고장관리 세부현황'!$CY:$CY,"신호")</f>
        <v>0</v>
      </c>
      <c r="CD298"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분석_15일'!$F298,'2023년 신조차 고장관리 세부현황'!$BC:$BC,"완료",'2023년 신조차 고장관리 세부현황'!$CY:$CY,"신호")</f>
        <v>0</v>
      </c>
      <c r="CE298"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분석_15일'!$F298,'2023년 신조차 고장관리 세부현황'!$BC:$BC,"완료",'2023년 신조차 고장관리 세부현황'!$CY:$CY,"신호")</f>
        <v>0</v>
      </c>
      <c r="CF298"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분석_15일'!$F298,'2023년 신조차 고장관리 세부현황'!$BC:$BC,"완료",'2023년 신조차 고장관리 세부현황'!$CY:$CY,"신호")</f>
        <v>0</v>
      </c>
      <c r="CG298"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분석_15일'!$F298,'2023년 신조차 고장관리 세부현황'!$BC:$BC,"완료",'2023년 신조차 고장관리 세부현황'!$CY:$CY,"신호")</f>
        <v>0</v>
      </c>
      <c r="CH298"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분석_15일'!$F298,'2023년 신조차 고장관리 세부현황'!$BC:$BC,"완료",'2023년 신조차 고장관리 세부현황'!$CY:$CY,"신호")</f>
        <v>0</v>
      </c>
      <c r="CI298"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분석_15일'!$F298,'2023년 신조차 고장관리 세부현황'!$BC:$BC,"완료",'2023년 신조차 고장관리 세부현황'!$CY:$CY,"신호")</f>
        <v>0</v>
      </c>
      <c r="CJ298"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분석_15일'!$F298,'2023년 신조차 고장관리 세부현황'!$BC:$BC,"완료",'2023년 신조차 고장관리 세부현황'!$CY:$CY,"신호")</f>
        <v>0</v>
      </c>
      <c r="CK298"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분석_15일'!$F298,'2023년 신조차 고장관리 세부현황'!$BC:$BC,"완료",'2023년 신조차 고장관리 세부현황'!$CY:$CY,"신호")</f>
        <v>0</v>
      </c>
      <c r="CL298"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분석_15일'!$F298,'2023년 신조차 고장관리 세부현황'!$BC:$BC,"완료",'2023년 신조차 고장관리 세부현황'!$CY:$CY,"신호")</f>
        <v>0</v>
      </c>
      <c r="CM298"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분석_15일'!$F298,'2023년 신조차 고장관리 세부현황'!$BC:$BC,"완료",'2023년 신조차 고장관리 세부현황'!$CY:$CY,"신호")</f>
        <v>0</v>
      </c>
      <c r="CN298"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분석_15일'!$F298,'2023년 신조차 고장관리 세부현황'!$BC:$BC,"완료",'2023년 신조차 고장관리 세부현황'!$CY:$CY,"신호")</f>
        <v>0</v>
      </c>
      <c r="CO298"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분석_15일'!$F298,'2023년 신조차 고장관리 세부현황'!$BC:$BC,"완료",'2023년 신조차 고장관리 세부현황'!$CY:$CY,"신호")</f>
        <v>0</v>
      </c>
      <c r="CP298"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분석_15일'!$F298,'2023년 신조차 고장관리 세부현황'!$BC:$BC,"완료",'2023년 신조차 고장관리 세부현황'!$CY:$CY,"신호")</f>
        <v>0</v>
      </c>
      <c r="CQ298"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분석_15일'!$F298,'2023년 신조차 고장관리 세부현황'!$BC:$BC,"완료",'2023년 신조차 고장관리 세부현황'!$CY:$CY,"신호")</f>
        <v>0</v>
      </c>
      <c r="CR298"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분석_15일'!$F298,'2023년 신조차 고장관리 세부현황'!$BC:$BC,"완료",'2023년 신조차 고장관리 세부현황'!$CY:$CY,"신호")</f>
        <v>0</v>
      </c>
      <c r="CS298"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분석_15일'!$F298,'2023년 신조차 고장관리 세부현황'!$BC:$BC,"완료",'2023년 신조차 고장관리 세부현황'!$CY:$CY,"신호")</f>
        <v>0</v>
      </c>
      <c r="CT298"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분석_15일'!$F298,'2023년 신조차 고장관리 세부현황'!$BC:$BC,"완료",'2023년 신조차 고장관리 세부현황'!$CY:$CY,"신호")</f>
        <v>0</v>
      </c>
      <c r="CU298"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분석_15일'!$F298,'2023년 신조차 고장관리 세부현황'!$BC:$BC,"완료",'2023년 신조차 고장관리 세부현황'!$CY:$CY,"신호")</f>
        <v>0</v>
      </c>
      <c r="CV298"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분석_15일'!$F298,'2023년 신조차 고장관리 세부현황'!$BC:$BC,"완료",'2023년 신조차 고장관리 세부현황'!$CY:$CY,"신호")</f>
        <v>0</v>
      </c>
      <c r="CW298"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분석_15일'!$F298,'2023년 신조차 고장관리 세부현황'!$BC:$BC,"완료",'2023년 신조차 고장관리 세부현황'!$CY:$CY,"신호")</f>
        <v>0</v>
      </c>
      <c r="CX298">
        <f>SUM(G298:CW298)</f>
        <v>0</v>
      </c>
    </row>
    <row r="299" spans="6:103" x14ac:dyDescent="0.4">
      <c r="F299" s="85" t="s">
        <v>223</v>
      </c>
      <c r="G299" s="85">
        <f>COUNTIFS('2023년 신조차 고장관리 세부현황'!$K:$K,"448R",'2023년 신조차 고장관리 세부현황'!$P:$P,"&gt;="&amp;$G$26,'2023년 신조차 고장관리 세부현황'!$P:$P,"&lt;"&amp;'트랜드 분석_15일'!G$27,'2023년 신조차 고장관리 세부현황'!$S:$S,'트랜드 분석_15일'!$F299,'2023년 신조차 고장관리 세부현황'!$BC:$BC,"완료",'2023년 신조차 고장관리 세부현황'!$CY:$CY,"신호")</f>
        <v>0</v>
      </c>
      <c r="H299"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분석_15일'!$F299,'2023년 신조차 고장관리 세부현황'!$BC:$BC,"완료",'2023년 신조차 고장관리 세부현황'!$CY:$CY,"신호")</f>
        <v>0</v>
      </c>
      <c r="I299"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분석_15일'!$F299,'2023년 신조차 고장관리 세부현황'!$BC:$BC,"완료",'2023년 신조차 고장관리 세부현황'!$CY:$CY,"신호")</f>
        <v>0</v>
      </c>
      <c r="J299"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분석_15일'!$F299,'2023년 신조차 고장관리 세부현황'!$BC:$BC,"완료",'2023년 신조차 고장관리 세부현황'!$CY:$CY,"신호")</f>
        <v>0</v>
      </c>
      <c r="K299"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분석_15일'!$F299,'2023년 신조차 고장관리 세부현황'!$BC:$BC,"완료",'2023년 신조차 고장관리 세부현황'!$CY:$CY,"신호")</f>
        <v>0</v>
      </c>
      <c r="L299"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분석_15일'!$F299,'2023년 신조차 고장관리 세부현황'!$BC:$BC,"완료",'2023년 신조차 고장관리 세부현황'!$CY:$CY,"신호")</f>
        <v>0</v>
      </c>
      <c r="M299"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분석_15일'!$F299,'2023년 신조차 고장관리 세부현황'!$BC:$BC,"완료",'2023년 신조차 고장관리 세부현황'!$CY:$CY,"신호")</f>
        <v>0</v>
      </c>
      <c r="N299"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분석_15일'!$F299,'2023년 신조차 고장관리 세부현황'!$BC:$BC,"완료",'2023년 신조차 고장관리 세부현황'!$CY:$CY,"신호")</f>
        <v>0</v>
      </c>
      <c r="O299"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분석_15일'!$F299,'2023년 신조차 고장관리 세부현황'!$BC:$BC,"완료",'2023년 신조차 고장관리 세부현황'!$CY:$CY,"신호")</f>
        <v>0</v>
      </c>
      <c r="P299" s="85">
        <f ca="1">COUNTIFS('2023년 신조차 고장관리 세부현황'!$K:$K,"448R",'2023년 신조차 고장관리 세부현황'!$P:$P,"&gt;="&amp;'트랜드 분석_15일'!O$27,'2023년 신조차 고장관리 세부현황'!$P:$P,"&lt;"&amp;'트랜드 분석_15일'!P$27,'2023년 신조차 고장관리 세부현황'!$S:$S,'트랜드 분석_15일'!$F299,'2023년 신조차 고장관리 세부현황'!$BC:$BC,"완료",'2023년 신조차 고장관리 세부현황'!$CY:$CY,"신호")</f>
        <v>0</v>
      </c>
      <c r="Q299"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분석_15일'!$F299,'2023년 신조차 고장관리 세부현황'!$BC:$BC,"완료",'2023년 신조차 고장관리 세부현황'!$CY:$CY,"신호")</f>
        <v>0</v>
      </c>
      <c r="R299" s="85">
        <f ca="1">COUNTIFS('2023년 신조차 고장관리 세부현황'!$K:$K,"448R",'2023년 신조차 고장관리 세부현황'!$P:$P,"&gt;="&amp;'트랜드 분석_15일'!Q$27,'2023년 신조차 고장관리 세부현황'!$P:$P,"&lt;"&amp;'트랜드 분석_15일'!R$27,'2023년 신조차 고장관리 세부현황'!$S:$S,'트랜드 분석_15일'!$F299,'2023년 신조차 고장관리 세부현황'!$BC:$BC,"완료",'2023년 신조차 고장관리 세부현황'!$CY:$CY,"신호")</f>
        <v>0</v>
      </c>
      <c r="S299" s="85">
        <f ca="1">COUNTIFS('2023년 신조차 고장관리 세부현황'!$K:$K,"448R",'2023년 신조차 고장관리 세부현황'!$P:$P,"&gt;="&amp;'트랜드 분석_15일'!R$27,'2023년 신조차 고장관리 세부현황'!$P:$P,"&lt;"&amp;'트랜드 분석_15일'!S$27,'2023년 신조차 고장관리 세부현황'!$S:$S,'트랜드 분석_15일'!$F299,'2023년 신조차 고장관리 세부현황'!$BC:$BC,"완료",'2023년 신조차 고장관리 세부현황'!$CY:$CY,"신호")</f>
        <v>0</v>
      </c>
      <c r="T299"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분석_15일'!$F299,'2023년 신조차 고장관리 세부현황'!$BC:$BC,"완료",'2023년 신조차 고장관리 세부현황'!$CY:$CY,"신호")</f>
        <v>0</v>
      </c>
      <c r="U299"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분석_15일'!$F299,'2023년 신조차 고장관리 세부현황'!$BC:$BC,"완료",'2023년 신조차 고장관리 세부현황'!$CY:$CY,"신호")</f>
        <v>0</v>
      </c>
      <c r="V299"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분석_15일'!$F299,'2023년 신조차 고장관리 세부현황'!$BC:$BC,"완료",'2023년 신조차 고장관리 세부현황'!$CY:$CY,"신호")</f>
        <v>0</v>
      </c>
      <c r="W299" s="85">
        <f ca="1">COUNTIFS('2023년 신조차 고장관리 세부현황'!$K:$K,"448R",'2023년 신조차 고장관리 세부현황'!$P:$P,"&gt;="&amp;'트랜드 분석_15일'!V$27,'2023년 신조차 고장관리 세부현황'!$P:$P,"&lt;"&amp;'트랜드 분석_15일'!W$27,'2023년 신조차 고장관리 세부현황'!$S:$S,'트랜드 분석_15일'!$F299,'2023년 신조차 고장관리 세부현황'!$BC:$BC,"완료",'2023년 신조차 고장관리 세부현황'!$CY:$CY,"신호")</f>
        <v>0</v>
      </c>
      <c r="X299"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분석_15일'!$F299,'2023년 신조차 고장관리 세부현황'!$BC:$BC,"완료",'2023년 신조차 고장관리 세부현황'!$CY:$CY,"신호")</f>
        <v>0</v>
      </c>
      <c r="Y299" s="85">
        <f ca="1">COUNTIFS('2023년 신조차 고장관리 세부현황'!$K:$K,"448R",'2023년 신조차 고장관리 세부현황'!$P:$P,"&gt;="&amp;'트랜드 분석_15일'!X$27,'2023년 신조차 고장관리 세부현황'!$P:$P,"&lt;"&amp;'트랜드 분석_15일'!Y$27,'2023년 신조차 고장관리 세부현황'!$S:$S,'트랜드 분석_15일'!$F299,'2023년 신조차 고장관리 세부현황'!$BC:$BC,"완료",'2023년 신조차 고장관리 세부현황'!$CY:$CY,"신호")</f>
        <v>0</v>
      </c>
      <c r="Z299" s="85">
        <f ca="1">COUNTIFS('2023년 신조차 고장관리 세부현황'!$K:$K,"448R",'2023년 신조차 고장관리 세부현황'!$P:$P,"&gt;="&amp;'트랜드 분석_15일'!Y$27,'2023년 신조차 고장관리 세부현황'!$P:$P,"&lt;"&amp;'트랜드 분석_15일'!Z$27,'2023년 신조차 고장관리 세부현황'!$S:$S,'트랜드 분석_15일'!$F299,'2023년 신조차 고장관리 세부현황'!$BC:$BC,"완료",'2023년 신조차 고장관리 세부현황'!$CY:$CY,"신호")</f>
        <v>0</v>
      </c>
      <c r="AA299"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분석_15일'!$F299,'2023년 신조차 고장관리 세부현황'!$BC:$BC,"완료",'2023년 신조차 고장관리 세부현황'!$CY:$CY,"신호")</f>
        <v>0</v>
      </c>
      <c r="AB299" s="85">
        <f ca="1">COUNTIFS('2023년 신조차 고장관리 세부현황'!$K:$K,"448R",'2023년 신조차 고장관리 세부현황'!$P:$P,"&gt;="&amp;'트랜드 분석_15일'!AA$27,'2023년 신조차 고장관리 세부현황'!$P:$P,"&lt;"&amp;'트랜드 분석_15일'!AB$27,'2023년 신조차 고장관리 세부현황'!$S:$S,'트랜드 분석_15일'!$F299,'2023년 신조차 고장관리 세부현황'!$BC:$BC,"완료",'2023년 신조차 고장관리 세부현황'!$CY:$CY,"신호")</f>
        <v>0</v>
      </c>
      <c r="AC299" s="85">
        <f ca="1">COUNTIFS('2023년 신조차 고장관리 세부현황'!$K:$K,"448R",'2023년 신조차 고장관리 세부현황'!$P:$P,"&gt;="&amp;'트랜드 분석_15일'!AB$27,'2023년 신조차 고장관리 세부현황'!$P:$P,"&lt;"&amp;'트랜드 분석_15일'!AC$27,'2023년 신조차 고장관리 세부현황'!$S:$S,'트랜드 분석_15일'!$F299,'2023년 신조차 고장관리 세부현황'!$BC:$BC,"완료",'2023년 신조차 고장관리 세부현황'!$CY:$CY,"신호")</f>
        <v>0</v>
      </c>
      <c r="AD299"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분석_15일'!$F299,'2023년 신조차 고장관리 세부현황'!$BC:$BC,"완료",'2023년 신조차 고장관리 세부현황'!$CY:$CY,"신호")</f>
        <v>0</v>
      </c>
      <c r="AE299" s="85">
        <f ca="1">COUNTIFS('2023년 신조차 고장관리 세부현황'!$K:$K,"448R",'2023년 신조차 고장관리 세부현황'!$P:$P,"&gt;="&amp;'트랜드 분석_15일'!AD$27,'2023년 신조차 고장관리 세부현황'!$P:$P,"&lt;"&amp;'트랜드 분석_15일'!AE$27,'2023년 신조차 고장관리 세부현황'!$S:$S,'트랜드 분석_15일'!$F299,'2023년 신조차 고장관리 세부현황'!$BC:$BC,"완료",'2023년 신조차 고장관리 세부현황'!$CY:$CY,"신호")</f>
        <v>0</v>
      </c>
      <c r="AF299" s="85">
        <f ca="1">COUNTIFS('2023년 신조차 고장관리 세부현황'!$K:$K,"448R",'2023년 신조차 고장관리 세부현황'!$P:$P,"&gt;="&amp;'트랜드 분석_15일'!AE$27,'2023년 신조차 고장관리 세부현황'!$P:$P,"&lt;"&amp;'트랜드 분석_15일'!AF$27,'2023년 신조차 고장관리 세부현황'!$S:$S,'트랜드 분석_15일'!$F299,'2023년 신조차 고장관리 세부현황'!$BC:$BC,"완료",'2023년 신조차 고장관리 세부현황'!$CY:$CY,"신호")</f>
        <v>0</v>
      </c>
      <c r="AG299"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분석_15일'!$F299,'2023년 신조차 고장관리 세부현황'!$BC:$BC,"완료",'2023년 신조차 고장관리 세부현황'!$CY:$CY,"신호")</f>
        <v>0</v>
      </c>
      <c r="AH299"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분석_15일'!$F299,'2023년 신조차 고장관리 세부현황'!$BC:$BC,"완료",'2023년 신조차 고장관리 세부현황'!$CY:$CY,"신호")</f>
        <v>0</v>
      </c>
      <c r="AI299"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분석_15일'!$F299,'2023년 신조차 고장관리 세부현황'!$BC:$BC,"완료",'2023년 신조차 고장관리 세부현황'!$CY:$CY,"신호")</f>
        <v>0</v>
      </c>
      <c r="AJ299"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분석_15일'!$F299,'2023년 신조차 고장관리 세부현황'!$BC:$BC,"완료",'2023년 신조차 고장관리 세부현황'!$CY:$CY,"신호")</f>
        <v>0</v>
      </c>
      <c r="AK299"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분석_15일'!$F299,'2023년 신조차 고장관리 세부현황'!$BC:$BC,"완료",'2023년 신조차 고장관리 세부현황'!$CY:$CY,"신호")</f>
        <v>0</v>
      </c>
      <c r="AL299"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분석_15일'!$F299,'2023년 신조차 고장관리 세부현황'!$BC:$BC,"완료",'2023년 신조차 고장관리 세부현황'!$CY:$CY,"신호")</f>
        <v>0</v>
      </c>
      <c r="AM299"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분석_15일'!$F299,'2023년 신조차 고장관리 세부현황'!$BC:$BC,"완료",'2023년 신조차 고장관리 세부현황'!$CY:$CY,"신호")</f>
        <v>0</v>
      </c>
      <c r="AN299"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분석_15일'!$F299,'2023년 신조차 고장관리 세부현황'!$BC:$BC,"완료",'2023년 신조차 고장관리 세부현황'!$CY:$CY,"신호")</f>
        <v>0</v>
      </c>
      <c r="AO299"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분석_15일'!$F299,'2023년 신조차 고장관리 세부현황'!$BC:$BC,"완료",'2023년 신조차 고장관리 세부현황'!$CY:$CY,"신호")</f>
        <v>0</v>
      </c>
      <c r="AP299"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분석_15일'!$F299,'2023년 신조차 고장관리 세부현황'!$BC:$BC,"완료",'2023년 신조차 고장관리 세부현황'!$CY:$CY,"신호")</f>
        <v>0</v>
      </c>
      <c r="AQ299"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분석_15일'!$F299,'2023년 신조차 고장관리 세부현황'!$BC:$BC,"완료",'2023년 신조차 고장관리 세부현황'!$CY:$CY,"신호")</f>
        <v>0</v>
      </c>
      <c r="AR299"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분석_15일'!$F299,'2023년 신조차 고장관리 세부현황'!$BC:$BC,"완료",'2023년 신조차 고장관리 세부현황'!$CY:$CY,"신호")</f>
        <v>0</v>
      </c>
      <c r="AS299"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분석_15일'!$F299,'2023년 신조차 고장관리 세부현황'!$BC:$BC,"완료",'2023년 신조차 고장관리 세부현황'!$CY:$CY,"신호")</f>
        <v>0</v>
      </c>
      <c r="AT299"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분석_15일'!$F299,'2023년 신조차 고장관리 세부현황'!$BC:$BC,"완료",'2023년 신조차 고장관리 세부현황'!$CY:$CY,"신호")</f>
        <v>0</v>
      </c>
      <c r="AU299"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분석_15일'!$F299,'2023년 신조차 고장관리 세부현황'!$BC:$BC,"완료",'2023년 신조차 고장관리 세부현황'!$CY:$CY,"신호")</f>
        <v>0</v>
      </c>
      <c r="AV299"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분석_15일'!$F299,'2023년 신조차 고장관리 세부현황'!$BC:$BC,"완료",'2023년 신조차 고장관리 세부현황'!$CY:$CY,"신호")</f>
        <v>0</v>
      </c>
      <c r="AW299"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분석_15일'!$F299,'2023년 신조차 고장관리 세부현황'!$BC:$BC,"완료",'2023년 신조차 고장관리 세부현황'!$CY:$CY,"신호")</f>
        <v>0</v>
      </c>
      <c r="AX299"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분석_15일'!$F299,'2023년 신조차 고장관리 세부현황'!$BC:$BC,"완료",'2023년 신조차 고장관리 세부현황'!$CY:$CY,"신호")</f>
        <v>0</v>
      </c>
      <c r="AY299"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분석_15일'!$F299,'2023년 신조차 고장관리 세부현황'!$BC:$BC,"완료",'2023년 신조차 고장관리 세부현황'!$CY:$CY,"신호")</f>
        <v>0</v>
      </c>
      <c r="AZ299"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분석_15일'!$F299,'2023년 신조차 고장관리 세부현황'!$BC:$BC,"완료",'2023년 신조차 고장관리 세부현황'!$CY:$CY,"신호")</f>
        <v>0</v>
      </c>
      <c r="BA299"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분석_15일'!$F299,'2023년 신조차 고장관리 세부현황'!$BC:$BC,"완료",'2023년 신조차 고장관리 세부현황'!$CY:$CY,"신호")</f>
        <v>0</v>
      </c>
      <c r="BB299"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분석_15일'!$F299,'2023년 신조차 고장관리 세부현황'!$BC:$BC,"완료",'2023년 신조차 고장관리 세부현황'!$CY:$CY,"신호")</f>
        <v>0</v>
      </c>
      <c r="BC299"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분석_15일'!$F299,'2023년 신조차 고장관리 세부현황'!$BC:$BC,"완료",'2023년 신조차 고장관리 세부현황'!$CY:$CY,"신호")</f>
        <v>0</v>
      </c>
      <c r="BD299"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분석_15일'!$F299,'2023년 신조차 고장관리 세부현황'!$BC:$BC,"완료",'2023년 신조차 고장관리 세부현황'!$CY:$CY,"신호")</f>
        <v>0</v>
      </c>
      <c r="BE299"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분석_15일'!$F299,'2023년 신조차 고장관리 세부현황'!$BC:$BC,"완료",'2023년 신조차 고장관리 세부현황'!$CY:$CY,"신호")</f>
        <v>0</v>
      </c>
      <c r="BF299"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분석_15일'!$F299,'2023년 신조차 고장관리 세부현황'!$BC:$BC,"완료",'2023년 신조차 고장관리 세부현황'!$CY:$CY,"신호")</f>
        <v>0</v>
      </c>
      <c r="BG299"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분석_15일'!$F299,'2023년 신조차 고장관리 세부현황'!$BC:$BC,"완료",'2023년 신조차 고장관리 세부현황'!$CY:$CY,"신호")</f>
        <v>0</v>
      </c>
      <c r="BH299"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분석_15일'!$F299,'2023년 신조차 고장관리 세부현황'!$BC:$BC,"완료",'2023년 신조차 고장관리 세부현황'!$CY:$CY,"신호")</f>
        <v>0</v>
      </c>
      <c r="BI299"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분석_15일'!$F299,'2023년 신조차 고장관리 세부현황'!$BC:$BC,"완료",'2023년 신조차 고장관리 세부현황'!$CY:$CY,"신호")</f>
        <v>0</v>
      </c>
      <c r="BJ299"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분석_15일'!$F299,'2023년 신조차 고장관리 세부현황'!$BC:$BC,"완료",'2023년 신조차 고장관리 세부현황'!$CY:$CY,"신호")</f>
        <v>0</v>
      </c>
      <c r="BK299"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분석_15일'!$F299,'2023년 신조차 고장관리 세부현황'!$BC:$BC,"완료",'2023년 신조차 고장관리 세부현황'!$CY:$CY,"신호")</f>
        <v>0</v>
      </c>
      <c r="BL299"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분석_15일'!$F299,'2023년 신조차 고장관리 세부현황'!$BC:$BC,"완료",'2023년 신조차 고장관리 세부현황'!$CY:$CY,"신호")</f>
        <v>0</v>
      </c>
      <c r="BM299"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분석_15일'!$F299,'2023년 신조차 고장관리 세부현황'!$BC:$BC,"완료",'2023년 신조차 고장관리 세부현황'!$CY:$CY,"신호")</f>
        <v>0</v>
      </c>
      <c r="BN299"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분석_15일'!$F299,'2023년 신조차 고장관리 세부현황'!$BC:$BC,"완료",'2023년 신조차 고장관리 세부현황'!$CY:$CY,"신호")</f>
        <v>0</v>
      </c>
      <c r="BO299"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분석_15일'!$F299,'2023년 신조차 고장관리 세부현황'!$BC:$BC,"완료",'2023년 신조차 고장관리 세부현황'!$CY:$CY,"신호")</f>
        <v>0</v>
      </c>
      <c r="BP299"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분석_15일'!$F299,'2023년 신조차 고장관리 세부현황'!$BC:$BC,"완료",'2023년 신조차 고장관리 세부현황'!$CY:$CY,"신호")</f>
        <v>0</v>
      </c>
      <c r="BQ299"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분석_15일'!$F299,'2023년 신조차 고장관리 세부현황'!$BC:$BC,"완료",'2023년 신조차 고장관리 세부현황'!$CY:$CY,"신호")</f>
        <v>0</v>
      </c>
      <c r="BR299"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분석_15일'!$F299,'2023년 신조차 고장관리 세부현황'!$BC:$BC,"완료",'2023년 신조차 고장관리 세부현황'!$CY:$CY,"신호")</f>
        <v>0</v>
      </c>
      <c r="BS299"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분석_15일'!$F299,'2023년 신조차 고장관리 세부현황'!$BC:$BC,"완료",'2023년 신조차 고장관리 세부현황'!$CY:$CY,"신호")</f>
        <v>0</v>
      </c>
      <c r="BT299"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분석_15일'!$F299,'2023년 신조차 고장관리 세부현황'!$BC:$BC,"완료",'2023년 신조차 고장관리 세부현황'!$CY:$CY,"신호")</f>
        <v>0</v>
      </c>
      <c r="BU299"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분석_15일'!$F299,'2023년 신조차 고장관리 세부현황'!$BC:$BC,"완료",'2023년 신조차 고장관리 세부현황'!$CY:$CY,"신호")</f>
        <v>0</v>
      </c>
      <c r="BV299"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분석_15일'!$F299,'2023년 신조차 고장관리 세부현황'!$BC:$BC,"완료",'2023년 신조차 고장관리 세부현황'!$CY:$CY,"신호")</f>
        <v>0</v>
      </c>
      <c r="BW299"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분석_15일'!$F299,'2023년 신조차 고장관리 세부현황'!$BC:$BC,"완료",'2023년 신조차 고장관리 세부현황'!$CY:$CY,"신호")</f>
        <v>0</v>
      </c>
      <c r="BX299"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분석_15일'!$F299,'2023년 신조차 고장관리 세부현황'!$BC:$BC,"완료",'2023년 신조차 고장관리 세부현황'!$CY:$CY,"신호")</f>
        <v>0</v>
      </c>
      <c r="BY299"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분석_15일'!$F299,'2023년 신조차 고장관리 세부현황'!$BC:$BC,"완료",'2023년 신조차 고장관리 세부현황'!$CY:$CY,"신호")</f>
        <v>0</v>
      </c>
      <c r="BZ299"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분석_15일'!$F299,'2023년 신조차 고장관리 세부현황'!$BC:$BC,"완료",'2023년 신조차 고장관리 세부현황'!$CY:$CY,"신호")</f>
        <v>0</v>
      </c>
      <c r="CA299"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분석_15일'!$F299,'2023년 신조차 고장관리 세부현황'!$BC:$BC,"완료",'2023년 신조차 고장관리 세부현황'!$CY:$CY,"신호")</f>
        <v>0</v>
      </c>
      <c r="CB299"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분석_15일'!$F299,'2023년 신조차 고장관리 세부현황'!$BC:$BC,"완료",'2023년 신조차 고장관리 세부현황'!$CY:$CY,"신호")</f>
        <v>0</v>
      </c>
      <c r="CC299"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분석_15일'!$F299,'2023년 신조차 고장관리 세부현황'!$BC:$BC,"완료",'2023년 신조차 고장관리 세부현황'!$CY:$CY,"신호")</f>
        <v>0</v>
      </c>
      <c r="CD299"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분석_15일'!$F299,'2023년 신조차 고장관리 세부현황'!$BC:$BC,"완료",'2023년 신조차 고장관리 세부현황'!$CY:$CY,"신호")</f>
        <v>0</v>
      </c>
      <c r="CE299"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분석_15일'!$F299,'2023년 신조차 고장관리 세부현황'!$BC:$BC,"완료",'2023년 신조차 고장관리 세부현황'!$CY:$CY,"신호")</f>
        <v>0</v>
      </c>
      <c r="CF299"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분석_15일'!$F299,'2023년 신조차 고장관리 세부현황'!$BC:$BC,"완료",'2023년 신조차 고장관리 세부현황'!$CY:$CY,"신호")</f>
        <v>0</v>
      </c>
      <c r="CG299"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분석_15일'!$F299,'2023년 신조차 고장관리 세부현황'!$BC:$BC,"완료",'2023년 신조차 고장관리 세부현황'!$CY:$CY,"신호")</f>
        <v>0</v>
      </c>
      <c r="CH299"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분석_15일'!$F299,'2023년 신조차 고장관리 세부현황'!$BC:$BC,"완료",'2023년 신조차 고장관리 세부현황'!$CY:$CY,"신호")</f>
        <v>0</v>
      </c>
      <c r="CI299"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분석_15일'!$F299,'2023년 신조차 고장관리 세부현황'!$BC:$BC,"완료",'2023년 신조차 고장관리 세부현황'!$CY:$CY,"신호")</f>
        <v>0</v>
      </c>
      <c r="CJ299"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분석_15일'!$F299,'2023년 신조차 고장관리 세부현황'!$BC:$BC,"완료",'2023년 신조차 고장관리 세부현황'!$CY:$CY,"신호")</f>
        <v>0</v>
      </c>
      <c r="CK299"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분석_15일'!$F299,'2023년 신조차 고장관리 세부현황'!$BC:$BC,"완료",'2023년 신조차 고장관리 세부현황'!$CY:$CY,"신호")</f>
        <v>0</v>
      </c>
      <c r="CL299"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분석_15일'!$F299,'2023년 신조차 고장관리 세부현황'!$BC:$BC,"완료",'2023년 신조차 고장관리 세부현황'!$CY:$CY,"신호")</f>
        <v>0</v>
      </c>
      <c r="CM299"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분석_15일'!$F299,'2023년 신조차 고장관리 세부현황'!$BC:$BC,"완료",'2023년 신조차 고장관리 세부현황'!$CY:$CY,"신호")</f>
        <v>0</v>
      </c>
      <c r="CN299"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분석_15일'!$F299,'2023년 신조차 고장관리 세부현황'!$BC:$BC,"완료",'2023년 신조차 고장관리 세부현황'!$CY:$CY,"신호")</f>
        <v>0</v>
      </c>
      <c r="CO299"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분석_15일'!$F299,'2023년 신조차 고장관리 세부현황'!$BC:$BC,"완료",'2023년 신조차 고장관리 세부현황'!$CY:$CY,"신호")</f>
        <v>0</v>
      </c>
      <c r="CP299"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분석_15일'!$F299,'2023년 신조차 고장관리 세부현황'!$BC:$BC,"완료",'2023년 신조차 고장관리 세부현황'!$CY:$CY,"신호")</f>
        <v>0</v>
      </c>
      <c r="CQ299"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분석_15일'!$F299,'2023년 신조차 고장관리 세부현황'!$BC:$BC,"완료",'2023년 신조차 고장관리 세부현황'!$CY:$CY,"신호")</f>
        <v>0</v>
      </c>
      <c r="CR299"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분석_15일'!$F299,'2023년 신조차 고장관리 세부현황'!$BC:$BC,"완료",'2023년 신조차 고장관리 세부현황'!$CY:$CY,"신호")</f>
        <v>0</v>
      </c>
      <c r="CS299"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분석_15일'!$F299,'2023년 신조차 고장관리 세부현황'!$BC:$BC,"완료",'2023년 신조차 고장관리 세부현황'!$CY:$CY,"신호")</f>
        <v>0</v>
      </c>
      <c r="CT299"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분석_15일'!$F299,'2023년 신조차 고장관리 세부현황'!$BC:$BC,"완료",'2023년 신조차 고장관리 세부현황'!$CY:$CY,"신호")</f>
        <v>0</v>
      </c>
      <c r="CU299"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분석_15일'!$F299,'2023년 신조차 고장관리 세부현황'!$BC:$BC,"완료",'2023년 신조차 고장관리 세부현황'!$CY:$CY,"신호")</f>
        <v>0</v>
      </c>
      <c r="CV299"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분석_15일'!$F299,'2023년 신조차 고장관리 세부현황'!$BC:$BC,"완료",'2023년 신조차 고장관리 세부현황'!$CY:$CY,"신호")</f>
        <v>0</v>
      </c>
      <c r="CW299"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분석_15일'!$F299,'2023년 신조차 고장관리 세부현황'!$BC:$BC,"완료",'2023년 신조차 고장관리 세부현황'!$CY:$CY,"신호")</f>
        <v>0</v>
      </c>
      <c r="CX299">
        <f ca="1">SUM(G299:CW299)</f>
        <v>0</v>
      </c>
    </row>
    <row r="300" spans="6:103" x14ac:dyDescent="0.4">
      <c r="F300" s="85" t="s">
        <v>243</v>
      </c>
      <c r="G300" s="85">
        <f>G298+G299</f>
        <v>0</v>
      </c>
      <c r="H300" s="85">
        <f t="shared" ref="H300:BS300" si="313">H298+H299</f>
        <v>0</v>
      </c>
      <c r="I300" s="85">
        <f t="shared" si="313"/>
        <v>0</v>
      </c>
      <c r="J300" s="85">
        <f t="shared" si="313"/>
        <v>0</v>
      </c>
      <c r="K300" s="85">
        <f t="shared" si="313"/>
        <v>0</v>
      </c>
      <c r="L300" s="85">
        <f t="shared" si="313"/>
        <v>0</v>
      </c>
      <c r="M300" s="85">
        <f t="shared" si="313"/>
        <v>0</v>
      </c>
      <c r="N300" s="85">
        <f t="shared" si="313"/>
        <v>0</v>
      </c>
      <c r="O300" s="85">
        <f t="shared" si="313"/>
        <v>0</v>
      </c>
      <c r="P300" s="85">
        <f t="shared" ca="1" si="313"/>
        <v>0</v>
      </c>
      <c r="Q300" s="85">
        <f t="shared" si="313"/>
        <v>0</v>
      </c>
      <c r="R300" s="85">
        <f t="shared" ca="1" si="313"/>
        <v>0</v>
      </c>
      <c r="S300" s="85">
        <f t="shared" ca="1" si="313"/>
        <v>0</v>
      </c>
      <c r="T300" s="85">
        <f t="shared" si="313"/>
        <v>0</v>
      </c>
      <c r="U300" s="85">
        <f t="shared" si="313"/>
        <v>0</v>
      </c>
      <c r="V300" s="85">
        <f t="shared" si="313"/>
        <v>0</v>
      </c>
      <c r="W300" s="85">
        <f t="shared" ca="1" si="313"/>
        <v>0</v>
      </c>
      <c r="X300" s="85">
        <f t="shared" si="313"/>
        <v>0</v>
      </c>
      <c r="Y300" s="85">
        <f t="shared" ca="1" si="313"/>
        <v>0</v>
      </c>
      <c r="Z300" s="85">
        <f t="shared" ca="1" si="313"/>
        <v>0</v>
      </c>
      <c r="AA300" s="85">
        <f t="shared" si="313"/>
        <v>0</v>
      </c>
      <c r="AB300" s="85">
        <f t="shared" ca="1" si="313"/>
        <v>0</v>
      </c>
      <c r="AC300" s="85">
        <f t="shared" ca="1" si="313"/>
        <v>0</v>
      </c>
      <c r="AD300" s="85">
        <f t="shared" si="313"/>
        <v>0</v>
      </c>
      <c r="AE300" s="85">
        <f t="shared" ca="1" si="313"/>
        <v>0</v>
      </c>
      <c r="AF300" s="85">
        <f t="shared" ca="1" si="313"/>
        <v>0</v>
      </c>
      <c r="AG300" s="85">
        <f t="shared" si="313"/>
        <v>0</v>
      </c>
      <c r="AH300" s="85">
        <f t="shared" si="313"/>
        <v>0</v>
      </c>
      <c r="AI300" s="85">
        <f t="shared" si="313"/>
        <v>0</v>
      </c>
      <c r="AJ300" s="85">
        <f t="shared" si="313"/>
        <v>0</v>
      </c>
      <c r="AK300" s="85">
        <f t="shared" si="313"/>
        <v>0</v>
      </c>
      <c r="AL300" s="85">
        <f t="shared" si="313"/>
        <v>0</v>
      </c>
      <c r="AM300" s="85">
        <f t="shared" si="313"/>
        <v>0</v>
      </c>
      <c r="AN300" s="85">
        <f t="shared" si="313"/>
        <v>0</v>
      </c>
      <c r="AO300" s="85">
        <f t="shared" si="313"/>
        <v>0</v>
      </c>
      <c r="AP300" s="85">
        <f t="shared" si="313"/>
        <v>0</v>
      </c>
      <c r="AQ300" s="85">
        <f t="shared" si="313"/>
        <v>0</v>
      </c>
      <c r="AR300" s="85">
        <f t="shared" si="313"/>
        <v>0</v>
      </c>
      <c r="AS300" s="85">
        <f t="shared" si="313"/>
        <v>0</v>
      </c>
      <c r="AT300" s="85">
        <f t="shared" si="313"/>
        <v>0</v>
      </c>
      <c r="AU300" s="85">
        <f t="shared" si="313"/>
        <v>0</v>
      </c>
      <c r="AV300" s="85">
        <f t="shared" si="313"/>
        <v>0</v>
      </c>
      <c r="AW300" s="85">
        <f t="shared" si="313"/>
        <v>0</v>
      </c>
      <c r="AX300" s="85">
        <f t="shared" si="313"/>
        <v>0</v>
      </c>
      <c r="AY300" s="85">
        <f t="shared" si="313"/>
        <v>0</v>
      </c>
      <c r="AZ300" s="85">
        <f t="shared" si="313"/>
        <v>0</v>
      </c>
      <c r="BA300" s="85">
        <f t="shared" si="313"/>
        <v>0</v>
      </c>
      <c r="BB300" s="85">
        <f t="shared" si="313"/>
        <v>0</v>
      </c>
      <c r="BC300" s="85">
        <f t="shared" si="313"/>
        <v>0</v>
      </c>
      <c r="BD300" s="85">
        <f t="shared" si="313"/>
        <v>0</v>
      </c>
      <c r="BE300" s="85">
        <f t="shared" si="313"/>
        <v>0</v>
      </c>
      <c r="BF300" s="85">
        <f t="shared" si="313"/>
        <v>0</v>
      </c>
      <c r="BG300" s="85">
        <f t="shared" si="313"/>
        <v>0</v>
      </c>
      <c r="BH300" s="85">
        <f t="shared" si="313"/>
        <v>0</v>
      </c>
      <c r="BI300" s="85">
        <f t="shared" si="313"/>
        <v>0</v>
      </c>
      <c r="BJ300" s="85">
        <f t="shared" si="313"/>
        <v>0</v>
      </c>
      <c r="BK300" s="85">
        <f t="shared" si="313"/>
        <v>0</v>
      </c>
      <c r="BL300" s="85">
        <f t="shared" si="313"/>
        <v>0</v>
      </c>
      <c r="BM300" s="85">
        <f t="shared" si="313"/>
        <v>0</v>
      </c>
      <c r="BN300" s="85">
        <f t="shared" si="313"/>
        <v>0</v>
      </c>
      <c r="BO300" s="85">
        <f t="shared" si="313"/>
        <v>0</v>
      </c>
      <c r="BP300" s="85">
        <f t="shared" si="313"/>
        <v>0</v>
      </c>
      <c r="BQ300" s="85">
        <f t="shared" si="313"/>
        <v>0</v>
      </c>
      <c r="BR300" s="85">
        <f t="shared" si="313"/>
        <v>0</v>
      </c>
      <c r="BS300" s="85">
        <f t="shared" si="313"/>
        <v>0</v>
      </c>
      <c r="BT300" s="85">
        <f t="shared" ref="BT300:CW300" si="314">BT298+BT299</f>
        <v>0</v>
      </c>
      <c r="BU300" s="85">
        <f t="shared" si="314"/>
        <v>0</v>
      </c>
      <c r="BV300" s="85">
        <f t="shared" si="314"/>
        <v>0</v>
      </c>
      <c r="BW300" s="85">
        <f t="shared" si="314"/>
        <v>0</v>
      </c>
      <c r="BX300" s="85">
        <f t="shared" si="314"/>
        <v>0</v>
      </c>
      <c r="BY300" s="85">
        <f t="shared" si="314"/>
        <v>0</v>
      </c>
      <c r="BZ300" s="85">
        <f t="shared" si="314"/>
        <v>0</v>
      </c>
      <c r="CA300" s="85">
        <f t="shared" si="314"/>
        <v>0</v>
      </c>
      <c r="CB300" s="85">
        <f t="shared" si="314"/>
        <v>0</v>
      </c>
      <c r="CC300" s="85">
        <f t="shared" si="314"/>
        <v>0</v>
      </c>
      <c r="CD300" s="85">
        <f t="shared" si="314"/>
        <v>0</v>
      </c>
      <c r="CE300" s="85">
        <f t="shared" si="314"/>
        <v>0</v>
      </c>
      <c r="CF300" s="85">
        <f t="shared" si="314"/>
        <v>0</v>
      </c>
      <c r="CG300" s="85">
        <f t="shared" si="314"/>
        <v>0</v>
      </c>
      <c r="CH300" s="85">
        <f t="shared" si="314"/>
        <v>0</v>
      </c>
      <c r="CI300" s="85">
        <f t="shared" si="314"/>
        <v>0</v>
      </c>
      <c r="CJ300" s="85">
        <f t="shared" si="314"/>
        <v>0</v>
      </c>
      <c r="CK300" s="85">
        <f t="shared" si="314"/>
        <v>0</v>
      </c>
      <c r="CL300" s="85">
        <f t="shared" si="314"/>
        <v>0</v>
      </c>
      <c r="CM300" s="85">
        <f t="shared" si="314"/>
        <v>0</v>
      </c>
      <c r="CN300" s="85">
        <f t="shared" si="314"/>
        <v>0</v>
      </c>
      <c r="CO300" s="85">
        <f t="shared" si="314"/>
        <v>0</v>
      </c>
      <c r="CP300" s="85">
        <f t="shared" si="314"/>
        <v>0</v>
      </c>
      <c r="CQ300" s="85">
        <f t="shared" si="314"/>
        <v>0</v>
      </c>
      <c r="CR300" s="85">
        <f t="shared" si="314"/>
        <v>0</v>
      </c>
      <c r="CS300" s="85">
        <f t="shared" si="314"/>
        <v>0</v>
      </c>
      <c r="CT300" s="85">
        <f t="shared" si="314"/>
        <v>0</v>
      </c>
      <c r="CU300" s="85">
        <f t="shared" si="314"/>
        <v>0</v>
      </c>
      <c r="CV300" s="85">
        <f t="shared" si="314"/>
        <v>0</v>
      </c>
      <c r="CW300" s="85">
        <f t="shared" si="314"/>
        <v>0</v>
      </c>
      <c r="CX300">
        <f ca="1">SUM(G300:CW300)</f>
        <v>0</v>
      </c>
    </row>
    <row r="301" spans="6:103" x14ac:dyDescent="0.4">
      <c r="F301" s="86" t="s">
        <v>222</v>
      </c>
      <c r="G301" s="85">
        <f>COUNTIFS('2023년 신조차 고장관리 세부현황'!$K:$K,"448R",'2023년 신조차 고장관리 세부현황'!$P:$P,"&gt;="&amp;$G$26,'2023년 신조차 고장관리 세부현황'!$P:$P,"&lt;"&amp;'트랜드 분석_15일'!G$27,'2023년 신조차 고장관리 세부현황'!$S:$S,'트랜드 분석_15일'!$F301,'2023년 신조차 고장관리 세부현황'!$BC:$BC,"완료",'2023년 신조차 고장관리 세부현황'!$CY:$CY,"신호")</f>
        <v>0</v>
      </c>
      <c r="H301"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분석_15일'!$F301,'2023년 신조차 고장관리 세부현황'!$BC:$BC,"완료",'2023년 신조차 고장관리 세부현황'!$CY:$CY,"신호")</f>
        <v>0</v>
      </c>
      <c r="I301"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분석_15일'!$F301,'2023년 신조차 고장관리 세부현황'!$BC:$BC,"완료",'2023년 신조차 고장관리 세부현황'!$CY:$CY,"신호")</f>
        <v>0</v>
      </c>
      <c r="J301"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분석_15일'!$F301,'2023년 신조차 고장관리 세부현황'!$BC:$BC,"완료",'2023년 신조차 고장관리 세부현황'!$CY:$CY,"신호")</f>
        <v>0</v>
      </c>
      <c r="K301"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분석_15일'!$F301,'2023년 신조차 고장관리 세부현황'!$BC:$BC,"완료",'2023년 신조차 고장관리 세부현황'!$CY:$CY,"신호")</f>
        <v>0</v>
      </c>
      <c r="L301"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분석_15일'!$F301,'2023년 신조차 고장관리 세부현황'!$BC:$BC,"완료",'2023년 신조차 고장관리 세부현황'!$CY:$CY,"신호")</f>
        <v>0</v>
      </c>
      <c r="M301"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분석_15일'!$F301,'2023년 신조차 고장관리 세부현황'!$BC:$BC,"완료",'2023년 신조차 고장관리 세부현황'!$CY:$CY,"신호")</f>
        <v>0</v>
      </c>
      <c r="N301"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분석_15일'!$F301,'2023년 신조차 고장관리 세부현황'!$BC:$BC,"완료",'2023년 신조차 고장관리 세부현황'!$CY:$CY,"신호")</f>
        <v>0</v>
      </c>
      <c r="O301"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분석_15일'!$F301,'2023년 신조차 고장관리 세부현황'!$BC:$BC,"완료",'2023년 신조차 고장관리 세부현황'!$CY:$CY,"신호")</f>
        <v>0</v>
      </c>
      <c r="P301"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분석_15일'!$F301,'2023년 신조차 고장관리 세부현황'!$BC:$BC,"완료",'2023년 신조차 고장관리 세부현황'!$CY:$CY,"신호")</f>
        <v>0</v>
      </c>
      <c r="Q301"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분석_15일'!$F301,'2023년 신조차 고장관리 세부현황'!$BC:$BC,"완료",'2023년 신조차 고장관리 세부현황'!$CY:$CY,"신호")</f>
        <v>0</v>
      </c>
      <c r="R301"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분석_15일'!$F301,'2023년 신조차 고장관리 세부현황'!$BC:$BC,"완료",'2023년 신조차 고장관리 세부현황'!$CY:$CY,"신호")</f>
        <v>0</v>
      </c>
      <c r="S301"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분석_15일'!$F301,'2023년 신조차 고장관리 세부현황'!$BC:$BC,"완료",'2023년 신조차 고장관리 세부현황'!$CY:$CY,"신호")</f>
        <v>0</v>
      </c>
      <c r="T301"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분석_15일'!$F301,'2023년 신조차 고장관리 세부현황'!$BC:$BC,"완료",'2023년 신조차 고장관리 세부현황'!$CY:$CY,"신호")</f>
        <v>0</v>
      </c>
      <c r="U301"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분석_15일'!$F301,'2023년 신조차 고장관리 세부현황'!$BC:$BC,"완료",'2023년 신조차 고장관리 세부현황'!$CY:$CY,"신호")</f>
        <v>0</v>
      </c>
      <c r="V301"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분석_15일'!$F301,'2023년 신조차 고장관리 세부현황'!$BC:$BC,"완료",'2023년 신조차 고장관리 세부현황'!$CY:$CY,"신호")</f>
        <v>0</v>
      </c>
      <c r="W301"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분석_15일'!$F301,'2023년 신조차 고장관리 세부현황'!$BC:$BC,"완료",'2023년 신조차 고장관리 세부현황'!$CY:$CY,"신호")</f>
        <v>0</v>
      </c>
      <c r="X301"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분석_15일'!$F301,'2023년 신조차 고장관리 세부현황'!$BC:$BC,"완료",'2023년 신조차 고장관리 세부현황'!$CY:$CY,"신호")</f>
        <v>0</v>
      </c>
      <c r="Y301"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분석_15일'!$F301,'2023년 신조차 고장관리 세부현황'!$BC:$BC,"완료",'2023년 신조차 고장관리 세부현황'!$CY:$CY,"신호")</f>
        <v>0</v>
      </c>
      <c r="Z301"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분석_15일'!$F301,'2023년 신조차 고장관리 세부현황'!$BC:$BC,"완료",'2023년 신조차 고장관리 세부현황'!$CY:$CY,"신호")</f>
        <v>0</v>
      </c>
      <c r="AA301"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분석_15일'!$F301,'2023년 신조차 고장관리 세부현황'!$BC:$BC,"완료",'2023년 신조차 고장관리 세부현황'!$CY:$CY,"신호")</f>
        <v>0</v>
      </c>
      <c r="AB301"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분석_15일'!$F301,'2023년 신조차 고장관리 세부현황'!$BC:$BC,"완료",'2023년 신조차 고장관리 세부현황'!$CY:$CY,"신호")</f>
        <v>0</v>
      </c>
      <c r="AC301"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분석_15일'!$F301,'2023년 신조차 고장관리 세부현황'!$BC:$BC,"완료",'2023년 신조차 고장관리 세부현황'!$CY:$CY,"신호")</f>
        <v>0</v>
      </c>
      <c r="AD301"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분석_15일'!$F301,'2023년 신조차 고장관리 세부현황'!$BC:$BC,"완료",'2023년 신조차 고장관리 세부현황'!$CY:$CY,"신호")</f>
        <v>0</v>
      </c>
      <c r="AE301"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분석_15일'!$F301,'2023년 신조차 고장관리 세부현황'!$BC:$BC,"완료",'2023년 신조차 고장관리 세부현황'!$CY:$CY,"신호")</f>
        <v>0</v>
      </c>
      <c r="AF301"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분석_15일'!$F301,'2023년 신조차 고장관리 세부현황'!$BC:$BC,"완료",'2023년 신조차 고장관리 세부현황'!$CY:$CY,"신호")</f>
        <v>0</v>
      </c>
      <c r="AG301"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분석_15일'!$F301,'2023년 신조차 고장관리 세부현황'!$BC:$BC,"완료",'2023년 신조차 고장관리 세부현황'!$CY:$CY,"신호")</f>
        <v>0</v>
      </c>
      <c r="AH301"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분석_15일'!$F301,'2023년 신조차 고장관리 세부현황'!$BC:$BC,"완료",'2023년 신조차 고장관리 세부현황'!$CY:$CY,"신호")</f>
        <v>0</v>
      </c>
      <c r="AI301"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분석_15일'!$F301,'2023년 신조차 고장관리 세부현황'!$BC:$BC,"완료",'2023년 신조차 고장관리 세부현황'!$CY:$CY,"신호")</f>
        <v>0</v>
      </c>
      <c r="AJ301"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분석_15일'!$F301,'2023년 신조차 고장관리 세부현황'!$BC:$BC,"완료",'2023년 신조차 고장관리 세부현황'!$CY:$CY,"신호")</f>
        <v>0</v>
      </c>
      <c r="AK301"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분석_15일'!$F301,'2023년 신조차 고장관리 세부현황'!$BC:$BC,"완료",'2023년 신조차 고장관리 세부현황'!$CY:$CY,"신호")</f>
        <v>0</v>
      </c>
      <c r="AL301"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분석_15일'!$F301,'2023년 신조차 고장관리 세부현황'!$BC:$BC,"완료",'2023년 신조차 고장관리 세부현황'!$CY:$CY,"신호")</f>
        <v>0</v>
      </c>
      <c r="AM301"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분석_15일'!$F301,'2023년 신조차 고장관리 세부현황'!$BC:$BC,"완료",'2023년 신조차 고장관리 세부현황'!$CY:$CY,"신호")</f>
        <v>0</v>
      </c>
      <c r="AN301"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분석_15일'!$F301,'2023년 신조차 고장관리 세부현황'!$BC:$BC,"완료",'2023년 신조차 고장관리 세부현황'!$CY:$CY,"신호")</f>
        <v>0</v>
      </c>
      <c r="AO301"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분석_15일'!$F301,'2023년 신조차 고장관리 세부현황'!$BC:$BC,"완료",'2023년 신조차 고장관리 세부현황'!$CY:$CY,"신호")</f>
        <v>0</v>
      </c>
      <c r="AP301"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분석_15일'!$F301,'2023년 신조차 고장관리 세부현황'!$BC:$BC,"완료",'2023년 신조차 고장관리 세부현황'!$CY:$CY,"신호")</f>
        <v>0</v>
      </c>
      <c r="AQ301"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분석_15일'!$F301,'2023년 신조차 고장관리 세부현황'!$BC:$BC,"완료",'2023년 신조차 고장관리 세부현황'!$CY:$CY,"신호")</f>
        <v>0</v>
      </c>
      <c r="AR301"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분석_15일'!$F301,'2023년 신조차 고장관리 세부현황'!$BC:$BC,"완료",'2023년 신조차 고장관리 세부현황'!$CY:$CY,"신호")</f>
        <v>0</v>
      </c>
      <c r="AS301"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분석_15일'!$F301,'2023년 신조차 고장관리 세부현황'!$BC:$BC,"완료",'2023년 신조차 고장관리 세부현황'!$CY:$CY,"신호")</f>
        <v>0</v>
      </c>
      <c r="AT301"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분석_15일'!$F301,'2023년 신조차 고장관리 세부현황'!$BC:$BC,"완료",'2023년 신조차 고장관리 세부현황'!$CY:$CY,"신호")</f>
        <v>0</v>
      </c>
      <c r="AU301"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분석_15일'!$F301,'2023년 신조차 고장관리 세부현황'!$BC:$BC,"완료",'2023년 신조차 고장관리 세부현황'!$CY:$CY,"신호")</f>
        <v>0</v>
      </c>
      <c r="AV301"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분석_15일'!$F301,'2023년 신조차 고장관리 세부현황'!$BC:$BC,"완료",'2023년 신조차 고장관리 세부현황'!$CY:$CY,"신호")</f>
        <v>0</v>
      </c>
      <c r="AW301"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분석_15일'!$F301,'2023년 신조차 고장관리 세부현황'!$BC:$BC,"완료",'2023년 신조차 고장관리 세부현황'!$CY:$CY,"신호")</f>
        <v>0</v>
      </c>
      <c r="AX301"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분석_15일'!$F301,'2023년 신조차 고장관리 세부현황'!$BC:$BC,"완료",'2023년 신조차 고장관리 세부현황'!$CY:$CY,"신호")</f>
        <v>0</v>
      </c>
      <c r="AY301"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분석_15일'!$F301,'2023년 신조차 고장관리 세부현황'!$BC:$BC,"완료",'2023년 신조차 고장관리 세부현황'!$CY:$CY,"신호")</f>
        <v>0</v>
      </c>
      <c r="AZ301"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분석_15일'!$F301,'2023년 신조차 고장관리 세부현황'!$BC:$BC,"완료",'2023년 신조차 고장관리 세부현황'!$CY:$CY,"신호")</f>
        <v>0</v>
      </c>
      <c r="BA301"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분석_15일'!$F301,'2023년 신조차 고장관리 세부현황'!$BC:$BC,"완료",'2023년 신조차 고장관리 세부현황'!$CY:$CY,"신호")</f>
        <v>0</v>
      </c>
      <c r="BB301"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분석_15일'!$F301,'2023년 신조차 고장관리 세부현황'!$BC:$BC,"완료",'2023년 신조차 고장관리 세부현황'!$CY:$CY,"신호")</f>
        <v>0</v>
      </c>
      <c r="BC301"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분석_15일'!$F301,'2023년 신조차 고장관리 세부현황'!$BC:$BC,"완료",'2023년 신조차 고장관리 세부현황'!$CY:$CY,"신호")</f>
        <v>0</v>
      </c>
      <c r="BD301"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분석_15일'!$F301,'2023년 신조차 고장관리 세부현황'!$BC:$BC,"완료",'2023년 신조차 고장관리 세부현황'!$CY:$CY,"신호")</f>
        <v>0</v>
      </c>
      <c r="BE301"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분석_15일'!$F301,'2023년 신조차 고장관리 세부현황'!$BC:$BC,"완료",'2023년 신조차 고장관리 세부현황'!$CY:$CY,"신호")</f>
        <v>0</v>
      </c>
      <c r="BF301"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분석_15일'!$F301,'2023년 신조차 고장관리 세부현황'!$BC:$BC,"완료",'2023년 신조차 고장관리 세부현황'!$CY:$CY,"신호")</f>
        <v>0</v>
      </c>
      <c r="BG301"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분석_15일'!$F301,'2023년 신조차 고장관리 세부현황'!$BC:$BC,"완료",'2023년 신조차 고장관리 세부현황'!$CY:$CY,"신호")</f>
        <v>0</v>
      </c>
      <c r="BH301"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분석_15일'!$F301,'2023년 신조차 고장관리 세부현황'!$BC:$BC,"완료",'2023년 신조차 고장관리 세부현황'!$CY:$CY,"신호")</f>
        <v>0</v>
      </c>
      <c r="BI301"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분석_15일'!$F301,'2023년 신조차 고장관리 세부현황'!$BC:$BC,"완료",'2023년 신조차 고장관리 세부현황'!$CY:$CY,"신호")</f>
        <v>0</v>
      </c>
      <c r="BJ301"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분석_15일'!$F301,'2023년 신조차 고장관리 세부현황'!$BC:$BC,"완료",'2023년 신조차 고장관리 세부현황'!$CY:$CY,"신호")</f>
        <v>0</v>
      </c>
      <c r="BK301"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분석_15일'!$F301,'2023년 신조차 고장관리 세부현황'!$BC:$BC,"완료",'2023년 신조차 고장관리 세부현황'!$CY:$CY,"신호")</f>
        <v>0</v>
      </c>
      <c r="BL301"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분석_15일'!$F301,'2023년 신조차 고장관리 세부현황'!$BC:$BC,"완료",'2023년 신조차 고장관리 세부현황'!$CY:$CY,"신호")</f>
        <v>0</v>
      </c>
      <c r="BM301"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분석_15일'!$F301,'2023년 신조차 고장관리 세부현황'!$BC:$BC,"완료",'2023년 신조차 고장관리 세부현황'!$CY:$CY,"신호")</f>
        <v>0</v>
      </c>
      <c r="BN301"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분석_15일'!$F301,'2023년 신조차 고장관리 세부현황'!$BC:$BC,"완료",'2023년 신조차 고장관리 세부현황'!$CY:$CY,"신호")</f>
        <v>0</v>
      </c>
      <c r="BO301"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분석_15일'!$F301,'2023년 신조차 고장관리 세부현황'!$BC:$BC,"완료",'2023년 신조차 고장관리 세부현황'!$CY:$CY,"신호")</f>
        <v>0</v>
      </c>
      <c r="BP301"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분석_15일'!$F301,'2023년 신조차 고장관리 세부현황'!$BC:$BC,"완료",'2023년 신조차 고장관리 세부현황'!$CY:$CY,"신호")</f>
        <v>0</v>
      </c>
      <c r="BQ301"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분석_15일'!$F301,'2023년 신조차 고장관리 세부현황'!$BC:$BC,"완료",'2023년 신조차 고장관리 세부현황'!$CY:$CY,"신호")</f>
        <v>0</v>
      </c>
      <c r="BR301"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분석_15일'!$F301,'2023년 신조차 고장관리 세부현황'!$BC:$BC,"완료",'2023년 신조차 고장관리 세부현황'!$CY:$CY,"신호")</f>
        <v>0</v>
      </c>
      <c r="BS301"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분석_15일'!$F301,'2023년 신조차 고장관리 세부현황'!$BC:$BC,"완료",'2023년 신조차 고장관리 세부현황'!$CY:$CY,"신호")</f>
        <v>0</v>
      </c>
      <c r="BT301"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분석_15일'!$F301,'2023년 신조차 고장관리 세부현황'!$BC:$BC,"완료",'2023년 신조차 고장관리 세부현황'!$CY:$CY,"신호")</f>
        <v>0</v>
      </c>
      <c r="BU301"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분석_15일'!$F301,'2023년 신조차 고장관리 세부현황'!$BC:$BC,"완료",'2023년 신조차 고장관리 세부현황'!$CY:$CY,"신호")</f>
        <v>0</v>
      </c>
      <c r="BV301"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분석_15일'!$F301,'2023년 신조차 고장관리 세부현황'!$BC:$BC,"완료",'2023년 신조차 고장관리 세부현황'!$CY:$CY,"신호")</f>
        <v>0</v>
      </c>
      <c r="BW301"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분석_15일'!$F301,'2023년 신조차 고장관리 세부현황'!$BC:$BC,"완료",'2023년 신조차 고장관리 세부현황'!$CY:$CY,"신호")</f>
        <v>0</v>
      </c>
      <c r="BX301"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분석_15일'!$F301,'2023년 신조차 고장관리 세부현황'!$BC:$BC,"완료",'2023년 신조차 고장관리 세부현황'!$CY:$CY,"신호")</f>
        <v>0</v>
      </c>
      <c r="BY301"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분석_15일'!$F301,'2023년 신조차 고장관리 세부현황'!$BC:$BC,"완료",'2023년 신조차 고장관리 세부현황'!$CY:$CY,"신호")</f>
        <v>0</v>
      </c>
      <c r="BZ301"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분석_15일'!$F301,'2023년 신조차 고장관리 세부현황'!$BC:$BC,"완료",'2023년 신조차 고장관리 세부현황'!$CY:$CY,"신호")</f>
        <v>0</v>
      </c>
      <c r="CA301"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분석_15일'!$F301,'2023년 신조차 고장관리 세부현황'!$BC:$BC,"완료",'2023년 신조차 고장관리 세부현황'!$CY:$CY,"신호")</f>
        <v>0</v>
      </c>
      <c r="CB301"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분석_15일'!$F301,'2023년 신조차 고장관리 세부현황'!$BC:$BC,"완료",'2023년 신조차 고장관리 세부현황'!$CY:$CY,"신호")</f>
        <v>0</v>
      </c>
      <c r="CC301"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분석_15일'!$F301,'2023년 신조차 고장관리 세부현황'!$BC:$BC,"완료",'2023년 신조차 고장관리 세부현황'!$CY:$CY,"신호")</f>
        <v>0</v>
      </c>
      <c r="CD301"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분석_15일'!$F301,'2023년 신조차 고장관리 세부현황'!$BC:$BC,"완료",'2023년 신조차 고장관리 세부현황'!$CY:$CY,"신호")</f>
        <v>0</v>
      </c>
      <c r="CE301"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분석_15일'!$F301,'2023년 신조차 고장관리 세부현황'!$BC:$BC,"완료",'2023년 신조차 고장관리 세부현황'!$CY:$CY,"신호")</f>
        <v>0</v>
      </c>
      <c r="CF301"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분석_15일'!$F301,'2023년 신조차 고장관리 세부현황'!$BC:$BC,"완료",'2023년 신조차 고장관리 세부현황'!$CY:$CY,"신호")</f>
        <v>0</v>
      </c>
      <c r="CG301"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분석_15일'!$F301,'2023년 신조차 고장관리 세부현황'!$BC:$BC,"완료",'2023년 신조차 고장관리 세부현황'!$CY:$CY,"신호")</f>
        <v>0</v>
      </c>
      <c r="CH301"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분석_15일'!$F301,'2023년 신조차 고장관리 세부현황'!$BC:$BC,"완료",'2023년 신조차 고장관리 세부현황'!$CY:$CY,"신호")</f>
        <v>0</v>
      </c>
      <c r="CI301"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분석_15일'!$F301,'2023년 신조차 고장관리 세부현황'!$BC:$BC,"완료",'2023년 신조차 고장관리 세부현황'!$CY:$CY,"신호")</f>
        <v>0</v>
      </c>
      <c r="CJ301"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분석_15일'!$F301,'2023년 신조차 고장관리 세부현황'!$BC:$BC,"완료",'2023년 신조차 고장관리 세부현황'!$CY:$CY,"신호")</f>
        <v>0</v>
      </c>
      <c r="CK301"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분석_15일'!$F301,'2023년 신조차 고장관리 세부현황'!$BC:$BC,"완료",'2023년 신조차 고장관리 세부현황'!$CY:$CY,"신호")</f>
        <v>0</v>
      </c>
      <c r="CL301"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분석_15일'!$F301,'2023년 신조차 고장관리 세부현황'!$BC:$BC,"완료",'2023년 신조차 고장관리 세부현황'!$CY:$CY,"신호")</f>
        <v>0</v>
      </c>
      <c r="CM301"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분석_15일'!$F301,'2023년 신조차 고장관리 세부현황'!$BC:$BC,"완료",'2023년 신조차 고장관리 세부현황'!$CY:$CY,"신호")</f>
        <v>0</v>
      </c>
      <c r="CN301"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분석_15일'!$F301,'2023년 신조차 고장관리 세부현황'!$BC:$BC,"완료",'2023년 신조차 고장관리 세부현황'!$CY:$CY,"신호")</f>
        <v>0</v>
      </c>
      <c r="CO301"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분석_15일'!$F301,'2023년 신조차 고장관리 세부현황'!$BC:$BC,"완료",'2023년 신조차 고장관리 세부현황'!$CY:$CY,"신호")</f>
        <v>0</v>
      </c>
      <c r="CP301"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분석_15일'!$F301,'2023년 신조차 고장관리 세부현황'!$BC:$BC,"완료",'2023년 신조차 고장관리 세부현황'!$CY:$CY,"신호")</f>
        <v>0</v>
      </c>
      <c r="CQ301"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분석_15일'!$F301,'2023년 신조차 고장관리 세부현황'!$BC:$BC,"완료",'2023년 신조차 고장관리 세부현황'!$CY:$CY,"신호")</f>
        <v>0</v>
      </c>
      <c r="CR301"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분석_15일'!$F301,'2023년 신조차 고장관리 세부현황'!$BC:$BC,"완료",'2023년 신조차 고장관리 세부현황'!$CY:$CY,"신호")</f>
        <v>0</v>
      </c>
      <c r="CS301"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분석_15일'!$F301,'2023년 신조차 고장관리 세부현황'!$BC:$BC,"완료",'2023년 신조차 고장관리 세부현황'!$CY:$CY,"신호")</f>
        <v>0</v>
      </c>
      <c r="CT301"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분석_15일'!$F301,'2023년 신조차 고장관리 세부현황'!$BC:$BC,"완료",'2023년 신조차 고장관리 세부현황'!$CY:$CY,"신호")</f>
        <v>0</v>
      </c>
      <c r="CU301"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분석_15일'!$F301,'2023년 신조차 고장관리 세부현황'!$BC:$BC,"완료",'2023년 신조차 고장관리 세부현황'!$CY:$CY,"신호")</f>
        <v>0</v>
      </c>
      <c r="CV301"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분석_15일'!$F301,'2023년 신조차 고장관리 세부현황'!$BC:$BC,"완료",'2023년 신조차 고장관리 세부현황'!$CY:$CY,"신호")</f>
        <v>0</v>
      </c>
      <c r="CW301"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분석_15일'!$F301,'2023년 신조차 고장관리 세부현황'!$BC:$BC,"완료",'2023년 신조차 고장관리 세부현황'!$CY:$CY,"신호")</f>
        <v>0</v>
      </c>
      <c r="CX301">
        <f>SUM(G301:CW301)</f>
        <v>0</v>
      </c>
    </row>
    <row r="303" spans="6:103" x14ac:dyDescent="0.4">
      <c r="F303" t="s">
        <v>351</v>
      </c>
    </row>
    <row r="304" spans="6:103" x14ac:dyDescent="0.4">
      <c r="F304" t="s">
        <v>344</v>
      </c>
      <c r="CS304" t="s">
        <v>394</v>
      </c>
    </row>
    <row r="305" spans="6:103" x14ac:dyDescent="0.4">
      <c r="F305" s="85" t="s">
        <v>242</v>
      </c>
      <c r="G305" s="85">
        <v>1</v>
      </c>
      <c r="H305" s="85">
        <v>2</v>
      </c>
      <c r="I305" s="85">
        <v>3</v>
      </c>
      <c r="J305" s="85">
        <v>4</v>
      </c>
      <c r="K305" s="85">
        <v>5</v>
      </c>
      <c r="L305" s="85">
        <v>6</v>
      </c>
      <c r="M305" s="85">
        <v>7</v>
      </c>
      <c r="N305" s="85">
        <v>8</v>
      </c>
      <c r="O305" s="85">
        <v>9</v>
      </c>
      <c r="P305" s="85">
        <v>10</v>
      </c>
      <c r="Q305" s="85">
        <v>11</v>
      </c>
      <c r="R305" s="85">
        <v>12</v>
      </c>
      <c r="S305" s="85">
        <v>13</v>
      </c>
      <c r="T305" s="85">
        <v>14</v>
      </c>
      <c r="U305" s="85">
        <v>15</v>
      </c>
      <c r="V305" s="85">
        <v>16</v>
      </c>
      <c r="W305" s="85">
        <v>17</v>
      </c>
      <c r="X305" s="85">
        <v>18</v>
      </c>
      <c r="Y305" s="85">
        <v>19</v>
      </c>
      <c r="Z305" s="85">
        <v>20</v>
      </c>
      <c r="AA305" s="85">
        <v>21</v>
      </c>
      <c r="AB305" s="85">
        <v>22</v>
      </c>
      <c r="AC305" s="85">
        <v>23</v>
      </c>
      <c r="AD305" s="85">
        <v>24</v>
      </c>
      <c r="AE305" s="85">
        <v>25</v>
      </c>
      <c r="AF305" s="85">
        <v>26</v>
      </c>
      <c r="AG305" s="85">
        <v>27</v>
      </c>
      <c r="AH305" s="85">
        <v>28</v>
      </c>
      <c r="AI305" s="85">
        <v>29</v>
      </c>
      <c r="AJ305" s="85">
        <v>30</v>
      </c>
      <c r="AK305" s="85">
        <v>31</v>
      </c>
      <c r="AL305" s="85">
        <v>32</v>
      </c>
      <c r="AM305" s="85">
        <v>33</v>
      </c>
      <c r="AN305" s="85">
        <v>34</v>
      </c>
      <c r="AO305" s="85">
        <v>35</v>
      </c>
      <c r="AP305" s="85">
        <v>36</v>
      </c>
      <c r="AQ305" s="85">
        <v>37</v>
      </c>
      <c r="AR305" s="85">
        <v>38</v>
      </c>
      <c r="AS305" s="85">
        <v>39</v>
      </c>
      <c r="AT305" s="85">
        <v>40</v>
      </c>
      <c r="AU305" s="85">
        <v>41</v>
      </c>
      <c r="AV305" s="85">
        <v>42</v>
      </c>
      <c r="AW305" s="85">
        <v>43</v>
      </c>
      <c r="AX305" s="85">
        <v>44</v>
      </c>
      <c r="AY305" s="85">
        <v>45</v>
      </c>
      <c r="AZ305" s="85">
        <v>46</v>
      </c>
      <c r="BA305" s="85">
        <v>47</v>
      </c>
      <c r="BB305" s="85">
        <v>48</v>
      </c>
      <c r="BC305" s="85">
        <v>49</v>
      </c>
      <c r="BD305" s="85">
        <v>50</v>
      </c>
      <c r="BE305" s="85">
        <v>51</v>
      </c>
      <c r="BF305" s="85">
        <v>52</v>
      </c>
      <c r="BG305" s="85">
        <v>53</v>
      </c>
      <c r="BH305" s="85">
        <v>54</v>
      </c>
      <c r="BI305" s="85">
        <v>55</v>
      </c>
      <c r="BJ305" s="85">
        <v>56</v>
      </c>
      <c r="BK305" s="85">
        <v>57</v>
      </c>
      <c r="BL305" s="85">
        <v>58</v>
      </c>
      <c r="BM305" s="85">
        <v>59</v>
      </c>
      <c r="BN305" s="85">
        <v>60</v>
      </c>
      <c r="BO305" s="85">
        <v>61</v>
      </c>
      <c r="BP305" s="85">
        <v>62</v>
      </c>
      <c r="BQ305" s="85">
        <v>63</v>
      </c>
      <c r="BR305" s="85">
        <v>64</v>
      </c>
      <c r="BS305" s="85">
        <v>65</v>
      </c>
      <c r="BT305" s="85">
        <v>66</v>
      </c>
      <c r="BU305" s="85">
        <v>67</v>
      </c>
      <c r="BV305" s="85">
        <v>68</v>
      </c>
      <c r="BW305" s="85">
        <v>69</v>
      </c>
      <c r="BX305" s="85">
        <v>70</v>
      </c>
      <c r="BY305" s="85">
        <v>71</v>
      </c>
      <c r="BZ305" s="85">
        <v>72</v>
      </c>
      <c r="CA305" s="85">
        <v>73</v>
      </c>
      <c r="CB305" s="85">
        <v>74</v>
      </c>
      <c r="CC305" s="85">
        <v>75</v>
      </c>
      <c r="CD305" s="85">
        <v>76</v>
      </c>
      <c r="CE305" s="85">
        <v>77</v>
      </c>
      <c r="CF305" s="85">
        <v>78</v>
      </c>
      <c r="CG305" s="85">
        <v>79</v>
      </c>
      <c r="CH305" s="85">
        <v>80</v>
      </c>
      <c r="CI305" s="85">
        <v>81</v>
      </c>
      <c r="CJ305" s="85">
        <v>82</v>
      </c>
      <c r="CK305" s="85">
        <v>83</v>
      </c>
      <c r="CL305" s="85">
        <v>84</v>
      </c>
      <c r="CM305" s="85">
        <v>85</v>
      </c>
      <c r="CN305" s="85">
        <v>86</v>
      </c>
      <c r="CO305" s="85">
        <v>87</v>
      </c>
      <c r="CP305" s="85">
        <v>88</v>
      </c>
      <c r="CQ305" s="85">
        <v>89</v>
      </c>
      <c r="CR305" s="85">
        <v>90</v>
      </c>
      <c r="CS305" s="85">
        <v>91</v>
      </c>
      <c r="CT305" s="85">
        <v>92</v>
      </c>
      <c r="CU305" s="85">
        <v>93</v>
      </c>
      <c r="CV305" s="85">
        <v>94</v>
      </c>
      <c r="CW305" s="85">
        <v>95</v>
      </c>
    </row>
    <row r="306" spans="6:103" x14ac:dyDescent="0.4">
      <c r="F306" s="85" t="s">
        <v>239</v>
      </c>
      <c r="G306" s="139">
        <f>15*G305</f>
        <v>15</v>
      </c>
      <c r="H306" s="139">
        <f t="shared" ref="H306:BS306" si="315">15*H305</f>
        <v>30</v>
      </c>
      <c r="I306" s="139">
        <f t="shared" si="315"/>
        <v>45</v>
      </c>
      <c r="J306" s="139">
        <f t="shared" si="315"/>
        <v>60</v>
      </c>
      <c r="K306" s="139">
        <f t="shared" si="315"/>
        <v>75</v>
      </c>
      <c r="L306" s="139">
        <f t="shared" si="315"/>
        <v>90</v>
      </c>
      <c r="M306" s="139">
        <f t="shared" si="315"/>
        <v>105</v>
      </c>
      <c r="N306" s="139">
        <f t="shared" si="315"/>
        <v>120</v>
      </c>
      <c r="O306" s="139">
        <f t="shared" si="315"/>
        <v>135</v>
      </c>
      <c r="P306" s="139">
        <f t="shared" si="315"/>
        <v>150</v>
      </c>
      <c r="Q306" s="139">
        <f t="shared" si="315"/>
        <v>165</v>
      </c>
      <c r="R306" s="139">
        <f t="shared" si="315"/>
        <v>180</v>
      </c>
      <c r="S306" s="139">
        <f t="shared" si="315"/>
        <v>195</v>
      </c>
      <c r="T306" s="139">
        <f t="shared" si="315"/>
        <v>210</v>
      </c>
      <c r="U306" s="139">
        <f t="shared" si="315"/>
        <v>225</v>
      </c>
      <c r="V306" s="139">
        <f t="shared" si="315"/>
        <v>240</v>
      </c>
      <c r="W306" s="139">
        <f t="shared" si="315"/>
        <v>255</v>
      </c>
      <c r="X306" s="139">
        <f t="shared" si="315"/>
        <v>270</v>
      </c>
      <c r="Y306" s="139">
        <f t="shared" si="315"/>
        <v>285</v>
      </c>
      <c r="Z306" s="139">
        <f t="shared" si="315"/>
        <v>300</v>
      </c>
      <c r="AA306" s="139">
        <f t="shared" si="315"/>
        <v>315</v>
      </c>
      <c r="AB306" s="139">
        <f t="shared" si="315"/>
        <v>330</v>
      </c>
      <c r="AC306" s="139">
        <f t="shared" si="315"/>
        <v>345</v>
      </c>
      <c r="AD306" s="139">
        <f t="shared" si="315"/>
        <v>360</v>
      </c>
      <c r="AE306" s="139">
        <f t="shared" si="315"/>
        <v>375</v>
      </c>
      <c r="AF306" s="139">
        <f t="shared" si="315"/>
        <v>390</v>
      </c>
      <c r="AG306" s="139">
        <f t="shared" si="315"/>
        <v>405</v>
      </c>
      <c r="AH306" s="139">
        <f t="shared" si="315"/>
        <v>420</v>
      </c>
      <c r="AI306" s="139">
        <f t="shared" si="315"/>
        <v>435</v>
      </c>
      <c r="AJ306" s="139">
        <f t="shared" si="315"/>
        <v>450</v>
      </c>
      <c r="AK306" s="139">
        <f t="shared" si="315"/>
        <v>465</v>
      </c>
      <c r="AL306" s="139">
        <f t="shared" si="315"/>
        <v>480</v>
      </c>
      <c r="AM306" s="139">
        <f t="shared" si="315"/>
        <v>495</v>
      </c>
      <c r="AN306" s="139">
        <f t="shared" si="315"/>
        <v>510</v>
      </c>
      <c r="AO306" s="139">
        <f t="shared" si="315"/>
        <v>525</v>
      </c>
      <c r="AP306" s="139">
        <f t="shared" si="315"/>
        <v>540</v>
      </c>
      <c r="AQ306" s="139">
        <f t="shared" si="315"/>
        <v>555</v>
      </c>
      <c r="AR306" s="139">
        <f t="shared" si="315"/>
        <v>570</v>
      </c>
      <c r="AS306" s="139">
        <f t="shared" si="315"/>
        <v>585</v>
      </c>
      <c r="AT306" s="139">
        <f t="shared" si="315"/>
        <v>600</v>
      </c>
      <c r="AU306" s="139">
        <f t="shared" si="315"/>
        <v>615</v>
      </c>
      <c r="AV306" s="139">
        <f t="shared" si="315"/>
        <v>630</v>
      </c>
      <c r="AW306" s="139">
        <f t="shared" si="315"/>
        <v>645</v>
      </c>
      <c r="AX306" s="139">
        <f t="shared" si="315"/>
        <v>660</v>
      </c>
      <c r="AY306" s="139">
        <f t="shared" si="315"/>
        <v>675</v>
      </c>
      <c r="AZ306" s="139">
        <f t="shared" si="315"/>
        <v>690</v>
      </c>
      <c r="BA306" s="139">
        <f t="shared" si="315"/>
        <v>705</v>
      </c>
      <c r="BB306" s="139">
        <f t="shared" si="315"/>
        <v>720</v>
      </c>
      <c r="BC306" s="139">
        <f t="shared" si="315"/>
        <v>735</v>
      </c>
      <c r="BD306" s="139">
        <f t="shared" si="315"/>
        <v>750</v>
      </c>
      <c r="BE306" s="139">
        <f t="shared" si="315"/>
        <v>765</v>
      </c>
      <c r="BF306" s="139">
        <f t="shared" si="315"/>
        <v>780</v>
      </c>
      <c r="BG306" s="139">
        <f t="shared" si="315"/>
        <v>795</v>
      </c>
      <c r="BH306" s="139">
        <f t="shared" si="315"/>
        <v>810</v>
      </c>
      <c r="BI306" s="139">
        <f t="shared" si="315"/>
        <v>825</v>
      </c>
      <c r="BJ306" s="139">
        <f t="shared" si="315"/>
        <v>840</v>
      </c>
      <c r="BK306" s="139">
        <f t="shared" si="315"/>
        <v>855</v>
      </c>
      <c r="BL306" s="139">
        <f t="shared" si="315"/>
        <v>870</v>
      </c>
      <c r="BM306" s="139">
        <f t="shared" si="315"/>
        <v>885</v>
      </c>
      <c r="BN306" s="139">
        <f t="shared" si="315"/>
        <v>900</v>
      </c>
      <c r="BO306" s="139">
        <f t="shared" si="315"/>
        <v>915</v>
      </c>
      <c r="BP306" s="139">
        <f t="shared" si="315"/>
        <v>930</v>
      </c>
      <c r="BQ306" s="139">
        <f t="shared" si="315"/>
        <v>945</v>
      </c>
      <c r="BR306" s="139">
        <f t="shared" si="315"/>
        <v>960</v>
      </c>
      <c r="BS306" s="139">
        <f t="shared" si="315"/>
        <v>975</v>
      </c>
      <c r="BT306" s="139">
        <f t="shared" ref="BT306:CW306" si="316">15*BT305</f>
        <v>990</v>
      </c>
      <c r="BU306" s="139">
        <f t="shared" si="316"/>
        <v>1005</v>
      </c>
      <c r="BV306" s="139">
        <f t="shared" si="316"/>
        <v>1020</v>
      </c>
      <c r="BW306" s="139">
        <f t="shared" si="316"/>
        <v>1035</v>
      </c>
      <c r="BX306" s="139">
        <f t="shared" si="316"/>
        <v>1050</v>
      </c>
      <c r="BY306" s="139">
        <f t="shared" si="316"/>
        <v>1065</v>
      </c>
      <c r="BZ306" s="139">
        <f t="shared" si="316"/>
        <v>1080</v>
      </c>
      <c r="CA306" s="139">
        <f t="shared" si="316"/>
        <v>1095</v>
      </c>
      <c r="CB306" s="139">
        <f t="shared" si="316"/>
        <v>1110</v>
      </c>
      <c r="CC306" s="139">
        <f t="shared" si="316"/>
        <v>1125</v>
      </c>
      <c r="CD306" s="139">
        <f t="shared" si="316"/>
        <v>1140</v>
      </c>
      <c r="CE306" s="139">
        <f t="shared" si="316"/>
        <v>1155</v>
      </c>
      <c r="CF306" s="139">
        <f t="shared" si="316"/>
        <v>1170</v>
      </c>
      <c r="CG306" s="139">
        <f t="shared" si="316"/>
        <v>1185</v>
      </c>
      <c r="CH306" s="139">
        <f t="shared" si="316"/>
        <v>1200</v>
      </c>
      <c r="CI306" s="139">
        <f t="shared" si="316"/>
        <v>1215</v>
      </c>
      <c r="CJ306" s="139">
        <f t="shared" si="316"/>
        <v>1230</v>
      </c>
      <c r="CK306" s="139">
        <f t="shared" si="316"/>
        <v>1245</v>
      </c>
      <c r="CL306" s="139">
        <f t="shared" si="316"/>
        <v>1260</v>
      </c>
      <c r="CM306" s="139">
        <f t="shared" si="316"/>
        <v>1275</v>
      </c>
      <c r="CN306" s="139">
        <f t="shared" si="316"/>
        <v>1290</v>
      </c>
      <c r="CO306" s="139">
        <f t="shared" si="316"/>
        <v>1305</v>
      </c>
      <c r="CP306" s="139">
        <f t="shared" si="316"/>
        <v>1320</v>
      </c>
      <c r="CQ306" s="139">
        <f t="shared" si="316"/>
        <v>1335</v>
      </c>
      <c r="CR306" s="139">
        <f t="shared" si="316"/>
        <v>1350</v>
      </c>
      <c r="CS306" s="139">
        <f t="shared" si="316"/>
        <v>1365</v>
      </c>
      <c r="CT306" s="139">
        <f t="shared" si="316"/>
        <v>1380</v>
      </c>
      <c r="CU306" s="139">
        <f t="shared" si="316"/>
        <v>1395</v>
      </c>
      <c r="CV306" s="139">
        <f t="shared" si="316"/>
        <v>1410</v>
      </c>
      <c r="CW306" s="139">
        <f t="shared" si="316"/>
        <v>1425</v>
      </c>
    </row>
    <row r="307" spans="6:103" x14ac:dyDescent="0.4">
      <c r="F307" s="85" t="s">
        <v>154</v>
      </c>
      <c r="G307" s="85">
        <f>COUNTIFS('2023년 신조차 고장관리 세부현황'!$K:$K,"128R",'2023년 신조차 고장관리 세부현황'!$P:$P,"&gt;="&amp;G305,'2023년 신조차 고장관리 세부현황'!$P:$P,"&lt;"&amp;'트랜드 분석_15일'!G306,'2023년 신조차 고장관리 세부현황'!$BC:$BC,"완료",'2023년 신조차 고장관리 세부현황'!$CY:$CY,"C/I")</f>
        <v>0</v>
      </c>
      <c r="H307" s="85">
        <f>COUNTIFS('2023년 신조차 고장관리 세부현황'!$K:$K,"128R",'2023년 신조차 고장관리 세부현황'!$P:$P,"&gt;="&amp;'트랜드 분석_15일'!G$18,'2023년 신조차 고장관리 세부현황'!$P:$P,"&lt;"&amp;'트랜드 분석_15일'!H$18,'2023년 신조차 고장관리 세부현황'!$BC:$BC,"완료",'2023년 신조차 고장관리 세부현황'!$CY:$CY,"C/I")</f>
        <v>0</v>
      </c>
      <c r="I307" s="85">
        <f>COUNTIFS('2023년 신조차 고장관리 세부현황'!$K:$K,"128R",'2023년 신조차 고장관리 세부현황'!$P:$P,"&gt;="&amp;'트랜드 분석_15일'!H$18,'2023년 신조차 고장관리 세부현황'!$P:$P,"&lt;"&amp;'트랜드 분석_15일'!I$18,'2023년 신조차 고장관리 세부현황'!$BC:$BC,"완료",'2023년 신조차 고장관리 세부현황'!$CY:$CY,"C/I")</f>
        <v>0</v>
      </c>
      <c r="J307" s="85">
        <f>COUNTIFS('2023년 신조차 고장관리 세부현황'!$K:$K,"128R",'2023년 신조차 고장관리 세부현황'!$P:$P,"&gt;="&amp;'트랜드 분석_15일'!I$18,'2023년 신조차 고장관리 세부현황'!$P:$P,"&lt;"&amp;'트랜드 분석_15일'!J$18,'2023년 신조차 고장관리 세부현황'!$BC:$BC,"완료",'2023년 신조차 고장관리 세부현황'!$CY:$CY,"C/I")</f>
        <v>0</v>
      </c>
      <c r="K307" s="85">
        <f>COUNTIFS('2023년 신조차 고장관리 세부현황'!$K:$K,"128R",'2023년 신조차 고장관리 세부현황'!$P:$P,"&gt;="&amp;'트랜드 분석_15일'!J$18,'2023년 신조차 고장관리 세부현황'!$P:$P,"&lt;"&amp;'트랜드 분석_15일'!K$18,'2023년 신조차 고장관리 세부현황'!$BC:$BC,"완료",'2023년 신조차 고장관리 세부현황'!$CY:$CY,"C/I")</f>
        <v>0</v>
      </c>
      <c r="L307" s="85">
        <f>COUNTIFS('2023년 신조차 고장관리 세부현황'!$K:$K,"128R",'2023년 신조차 고장관리 세부현황'!$P:$P,"&gt;="&amp;'트랜드 분석_15일'!K$18,'2023년 신조차 고장관리 세부현황'!$P:$P,"&lt;"&amp;'트랜드 분석_15일'!L$18,'2023년 신조차 고장관리 세부현황'!$BC:$BC,"완료",'2023년 신조차 고장관리 세부현황'!$CY:$CY,"C/I")</f>
        <v>0</v>
      </c>
      <c r="M307" s="85">
        <f>COUNTIFS('2023년 신조차 고장관리 세부현황'!$K:$K,"128R",'2023년 신조차 고장관리 세부현황'!$P:$P,"&gt;="&amp;'트랜드 분석_15일'!L$18,'2023년 신조차 고장관리 세부현황'!$P:$P,"&lt;"&amp;'트랜드 분석_15일'!M$18,'2023년 신조차 고장관리 세부현황'!$BC:$BC,"완료",'2023년 신조차 고장관리 세부현황'!$CY:$CY,"C/I")</f>
        <v>0</v>
      </c>
      <c r="N307" s="85">
        <f>COUNTIFS('2023년 신조차 고장관리 세부현황'!$K:$K,"128R",'2023년 신조차 고장관리 세부현황'!$P:$P,"&gt;="&amp;'트랜드 분석_15일'!M$18,'2023년 신조차 고장관리 세부현황'!$P:$P,"&lt;"&amp;'트랜드 분석_15일'!N$18,'2023년 신조차 고장관리 세부현황'!$BC:$BC,"완료",'2023년 신조차 고장관리 세부현황'!$CY:$CY,"C/I")</f>
        <v>0</v>
      </c>
      <c r="O307" s="85">
        <f>COUNTIFS('2023년 신조차 고장관리 세부현황'!$K:$K,"128R",'2023년 신조차 고장관리 세부현황'!$P:$P,"&gt;="&amp;'트랜드 분석_15일'!N$18,'2023년 신조차 고장관리 세부현황'!$P:$P,"&lt;"&amp;'트랜드 분석_15일'!O$18,'2023년 신조차 고장관리 세부현황'!$BC:$BC,"완료",'2023년 신조차 고장관리 세부현황'!$CY:$CY,"C/I")</f>
        <v>0</v>
      </c>
      <c r="P307" s="85">
        <f>COUNTIFS('2023년 신조차 고장관리 세부현황'!$K:$K,"128R",'2023년 신조차 고장관리 세부현황'!$P:$P,"&gt;="&amp;'트랜드 분석_15일'!O$18,'2023년 신조차 고장관리 세부현황'!$P:$P,"&lt;"&amp;'트랜드 분석_15일'!P$18,'2023년 신조차 고장관리 세부현황'!$BC:$BC,"완료",'2023년 신조차 고장관리 세부현황'!$CY:$CY,"C/I")</f>
        <v>0</v>
      </c>
      <c r="Q307" s="85">
        <f>COUNTIFS('2023년 신조차 고장관리 세부현황'!$K:$K,"128R",'2023년 신조차 고장관리 세부현황'!$P:$P,"&gt;="&amp;'트랜드 분석_15일'!P$18,'2023년 신조차 고장관리 세부현황'!$P:$P,"&lt;"&amp;'트랜드 분석_15일'!Q$18,'2023년 신조차 고장관리 세부현황'!$BC:$BC,"완료",'2023년 신조차 고장관리 세부현황'!$CY:$CY,"C/I")</f>
        <v>0</v>
      </c>
      <c r="R307" s="85">
        <f>COUNTIFS('2023년 신조차 고장관리 세부현황'!$K:$K,"128R",'2023년 신조차 고장관리 세부현황'!$P:$P,"&gt;="&amp;'트랜드 분석_15일'!Q$18,'2023년 신조차 고장관리 세부현황'!$P:$P,"&lt;"&amp;'트랜드 분석_15일'!R$18,'2023년 신조차 고장관리 세부현황'!$BC:$BC,"완료",'2023년 신조차 고장관리 세부현황'!$CY:$CY,"C/I")</f>
        <v>0</v>
      </c>
      <c r="S307" s="85">
        <f>COUNTIFS('2023년 신조차 고장관리 세부현황'!$K:$K,"128R",'2023년 신조차 고장관리 세부현황'!$P:$P,"&gt;="&amp;'트랜드 분석_15일'!R$18,'2023년 신조차 고장관리 세부현황'!$P:$P,"&lt;"&amp;'트랜드 분석_15일'!S$18,'2023년 신조차 고장관리 세부현황'!$BC:$BC,"완료",'2023년 신조차 고장관리 세부현황'!$CY:$CY,"C/I")</f>
        <v>0</v>
      </c>
      <c r="T307" s="85">
        <f>COUNTIFS('2023년 신조차 고장관리 세부현황'!$K:$K,"128R",'2023년 신조차 고장관리 세부현황'!$P:$P,"&gt;="&amp;'트랜드 분석_15일'!S$18,'2023년 신조차 고장관리 세부현황'!$P:$P,"&lt;"&amp;'트랜드 분석_15일'!T$18,'2023년 신조차 고장관리 세부현황'!$BC:$BC,"완료",'2023년 신조차 고장관리 세부현황'!$CY:$CY,"C/I")</f>
        <v>0</v>
      </c>
      <c r="U307" s="85">
        <f>COUNTIFS('2023년 신조차 고장관리 세부현황'!$K:$K,"128R",'2023년 신조차 고장관리 세부현황'!$P:$P,"&gt;="&amp;'트랜드 분석_15일'!T$18,'2023년 신조차 고장관리 세부현황'!$P:$P,"&lt;"&amp;'트랜드 분석_15일'!U$18,'2023년 신조차 고장관리 세부현황'!$BC:$BC,"완료",'2023년 신조차 고장관리 세부현황'!$CY:$CY,"C/I")</f>
        <v>0</v>
      </c>
      <c r="V307" s="85">
        <f>COUNTIFS('2023년 신조차 고장관리 세부현황'!$K:$K,"128R",'2023년 신조차 고장관리 세부현황'!$P:$P,"&gt;="&amp;'트랜드 분석_15일'!U$18,'2023년 신조차 고장관리 세부현황'!$P:$P,"&lt;"&amp;'트랜드 분석_15일'!V$18,'2023년 신조차 고장관리 세부현황'!$BC:$BC,"완료",'2023년 신조차 고장관리 세부현황'!$CY:$CY,"C/I")</f>
        <v>0</v>
      </c>
      <c r="W307" s="85">
        <f>COUNTIFS('2023년 신조차 고장관리 세부현황'!$K:$K,"128R",'2023년 신조차 고장관리 세부현황'!$P:$P,"&gt;="&amp;'트랜드 분석_15일'!V$18,'2023년 신조차 고장관리 세부현황'!$P:$P,"&lt;"&amp;'트랜드 분석_15일'!W$18,'2023년 신조차 고장관리 세부현황'!$BC:$BC,"완료",'2023년 신조차 고장관리 세부현황'!$CY:$CY,"C/I")</f>
        <v>0</v>
      </c>
      <c r="X307" s="85">
        <f>COUNTIFS('2023년 신조차 고장관리 세부현황'!$K:$K,"128R",'2023년 신조차 고장관리 세부현황'!$P:$P,"&gt;="&amp;'트랜드 분석_15일'!W$18,'2023년 신조차 고장관리 세부현황'!$P:$P,"&lt;"&amp;'트랜드 분석_15일'!X$18,'2023년 신조차 고장관리 세부현황'!$BC:$BC,"완료",'2023년 신조차 고장관리 세부현황'!$CY:$CY,"C/I")</f>
        <v>0</v>
      </c>
      <c r="Y307" s="85">
        <f>COUNTIFS('2023년 신조차 고장관리 세부현황'!$K:$K,"128R",'2023년 신조차 고장관리 세부현황'!$P:$P,"&gt;="&amp;'트랜드 분석_15일'!X$18,'2023년 신조차 고장관리 세부현황'!$P:$P,"&lt;"&amp;'트랜드 분석_15일'!Y$18,'2023년 신조차 고장관리 세부현황'!$BC:$BC,"완료",'2023년 신조차 고장관리 세부현황'!$CY:$CY,"C/I")</f>
        <v>0</v>
      </c>
      <c r="Z307" s="85">
        <f>COUNTIFS('2023년 신조차 고장관리 세부현황'!$K:$K,"128R",'2023년 신조차 고장관리 세부현황'!$P:$P,"&gt;="&amp;'트랜드 분석_15일'!Y$18,'2023년 신조차 고장관리 세부현황'!$P:$P,"&lt;"&amp;'트랜드 분석_15일'!Z$18,'2023년 신조차 고장관리 세부현황'!$BC:$BC,"완료",'2023년 신조차 고장관리 세부현황'!$CY:$CY,"C/I")</f>
        <v>0</v>
      </c>
      <c r="AA307" s="85">
        <f>COUNTIFS('2023년 신조차 고장관리 세부현황'!$K:$K,"128R",'2023년 신조차 고장관리 세부현황'!$P:$P,"&gt;="&amp;'트랜드 분석_15일'!Z$18,'2023년 신조차 고장관리 세부현황'!$P:$P,"&lt;"&amp;'트랜드 분석_15일'!AA$18,'2023년 신조차 고장관리 세부현황'!$BC:$BC,"완료",'2023년 신조차 고장관리 세부현황'!$CY:$CY,"C/I")</f>
        <v>0</v>
      </c>
      <c r="AB307" s="85">
        <f>COUNTIFS('2023년 신조차 고장관리 세부현황'!$K:$K,"128R",'2023년 신조차 고장관리 세부현황'!$P:$P,"&gt;="&amp;'트랜드 분석_15일'!AA$18,'2023년 신조차 고장관리 세부현황'!$P:$P,"&lt;"&amp;'트랜드 분석_15일'!AB$18,'2023년 신조차 고장관리 세부현황'!$BC:$BC,"완료",'2023년 신조차 고장관리 세부현황'!$CY:$CY,"C/I")</f>
        <v>0</v>
      </c>
      <c r="AC307" s="85">
        <f>COUNTIFS('2023년 신조차 고장관리 세부현황'!$K:$K,"128R",'2023년 신조차 고장관리 세부현황'!$P:$P,"&gt;="&amp;'트랜드 분석_15일'!AB$18,'2023년 신조차 고장관리 세부현황'!$P:$P,"&lt;"&amp;'트랜드 분석_15일'!AC$18,'2023년 신조차 고장관리 세부현황'!$BC:$BC,"완료",'2023년 신조차 고장관리 세부현황'!$CY:$CY,"C/I")</f>
        <v>0</v>
      </c>
      <c r="AD307" s="85">
        <f>COUNTIFS('2023년 신조차 고장관리 세부현황'!$K:$K,"128R",'2023년 신조차 고장관리 세부현황'!$P:$P,"&gt;="&amp;'트랜드 분석_15일'!AC$18,'2023년 신조차 고장관리 세부현황'!$P:$P,"&lt;"&amp;'트랜드 분석_15일'!AD$18,'2023년 신조차 고장관리 세부현황'!$BC:$BC,"완료",'2023년 신조차 고장관리 세부현황'!$CY:$CY,"C/I")</f>
        <v>0</v>
      </c>
      <c r="AE307" s="85">
        <f>COUNTIFS('2023년 신조차 고장관리 세부현황'!$K:$K,"128R",'2023년 신조차 고장관리 세부현황'!$P:$P,"&gt;="&amp;'트랜드 분석_15일'!AD$18,'2023년 신조차 고장관리 세부현황'!$P:$P,"&lt;"&amp;'트랜드 분석_15일'!AE$18,'2023년 신조차 고장관리 세부현황'!$BC:$BC,"완료",'2023년 신조차 고장관리 세부현황'!$CY:$CY,"C/I")</f>
        <v>0</v>
      </c>
      <c r="AF307" s="85">
        <f>COUNTIFS('2023년 신조차 고장관리 세부현황'!$K:$K,"128R",'2023년 신조차 고장관리 세부현황'!$P:$P,"&gt;="&amp;'트랜드 분석_15일'!AE$18,'2023년 신조차 고장관리 세부현황'!$P:$P,"&lt;"&amp;'트랜드 분석_15일'!AF$18,'2023년 신조차 고장관리 세부현황'!$BC:$BC,"완료",'2023년 신조차 고장관리 세부현황'!$CY:$CY,"C/I")</f>
        <v>0</v>
      </c>
      <c r="AG307" s="85">
        <f>COUNTIFS('2023년 신조차 고장관리 세부현황'!$K:$K,"128R",'2023년 신조차 고장관리 세부현황'!$P:$P,"&gt;="&amp;'트랜드 분석_15일'!AF$18,'2023년 신조차 고장관리 세부현황'!$P:$P,"&lt;"&amp;'트랜드 분석_15일'!AG$18,'2023년 신조차 고장관리 세부현황'!$BC:$BC,"완료",'2023년 신조차 고장관리 세부현황'!$CY:$CY,"C/I")</f>
        <v>0</v>
      </c>
      <c r="AH307" s="85">
        <f>COUNTIFS('2023년 신조차 고장관리 세부현황'!$K:$K,"128R",'2023년 신조차 고장관리 세부현황'!$P:$P,"&gt;="&amp;'트랜드 분석_15일'!AG$18,'2023년 신조차 고장관리 세부현황'!$P:$P,"&lt;"&amp;'트랜드 분석_15일'!AH$18,'2023년 신조차 고장관리 세부현황'!$BC:$BC,"완료",'2023년 신조차 고장관리 세부현황'!$CY:$CY,"C/I")</f>
        <v>0</v>
      </c>
      <c r="AI307" s="85">
        <f>COUNTIFS('2023년 신조차 고장관리 세부현황'!$K:$K,"128R",'2023년 신조차 고장관리 세부현황'!$P:$P,"&gt;="&amp;'트랜드 분석_15일'!AH$18,'2023년 신조차 고장관리 세부현황'!$P:$P,"&lt;"&amp;'트랜드 분석_15일'!AI$18,'2023년 신조차 고장관리 세부현황'!$BC:$BC,"완료",'2023년 신조차 고장관리 세부현황'!$CY:$CY,"C/I")</f>
        <v>0</v>
      </c>
      <c r="AJ307" s="85">
        <f>COUNTIFS('2023년 신조차 고장관리 세부현황'!$K:$K,"128R",'2023년 신조차 고장관리 세부현황'!$P:$P,"&gt;="&amp;'트랜드 분석_15일'!AI$18,'2023년 신조차 고장관리 세부현황'!$P:$P,"&lt;"&amp;'트랜드 분석_15일'!AJ$18,'2023년 신조차 고장관리 세부현황'!$BC:$BC,"완료",'2023년 신조차 고장관리 세부현황'!$CY:$CY,"C/I")</f>
        <v>0</v>
      </c>
      <c r="AK307" s="85">
        <f>COUNTIFS('2023년 신조차 고장관리 세부현황'!$K:$K,"128R",'2023년 신조차 고장관리 세부현황'!$P:$P,"&gt;="&amp;'트랜드 분석_15일'!AJ$18,'2023년 신조차 고장관리 세부현황'!$P:$P,"&lt;"&amp;'트랜드 분석_15일'!AK$18,'2023년 신조차 고장관리 세부현황'!$BC:$BC,"완료",'2023년 신조차 고장관리 세부현황'!$CY:$CY,"C/I")</f>
        <v>0</v>
      </c>
      <c r="AL307" s="85">
        <f>COUNTIFS('2023년 신조차 고장관리 세부현황'!$K:$K,"128R",'2023년 신조차 고장관리 세부현황'!$P:$P,"&gt;="&amp;'트랜드 분석_15일'!AK$18,'2023년 신조차 고장관리 세부현황'!$P:$P,"&lt;"&amp;'트랜드 분석_15일'!AL$18,'2023년 신조차 고장관리 세부현황'!$BC:$BC,"완료",'2023년 신조차 고장관리 세부현황'!$CY:$CY,"C/I")</f>
        <v>0</v>
      </c>
      <c r="AM307" s="85">
        <f>COUNTIFS('2023년 신조차 고장관리 세부현황'!$K:$K,"128R",'2023년 신조차 고장관리 세부현황'!$P:$P,"&gt;="&amp;'트랜드 분석_15일'!AL$18,'2023년 신조차 고장관리 세부현황'!$P:$P,"&lt;"&amp;'트랜드 분석_15일'!AM$18,'2023년 신조차 고장관리 세부현황'!$BC:$BC,"완료",'2023년 신조차 고장관리 세부현황'!$CY:$CY,"C/I")</f>
        <v>0</v>
      </c>
      <c r="AN307" s="85">
        <f>COUNTIFS('2023년 신조차 고장관리 세부현황'!$K:$K,"128R",'2023년 신조차 고장관리 세부현황'!$P:$P,"&gt;="&amp;'트랜드 분석_15일'!AM$18,'2023년 신조차 고장관리 세부현황'!$P:$P,"&lt;"&amp;'트랜드 분석_15일'!AN$18,'2023년 신조차 고장관리 세부현황'!$BC:$BC,"완료",'2023년 신조차 고장관리 세부현황'!$CY:$CY,"C/I")</f>
        <v>0</v>
      </c>
      <c r="AO307" s="85">
        <f>COUNTIFS('2023년 신조차 고장관리 세부현황'!$K:$K,"128R",'2023년 신조차 고장관리 세부현황'!$P:$P,"&gt;="&amp;'트랜드 분석_15일'!AN$18,'2023년 신조차 고장관리 세부현황'!$P:$P,"&lt;"&amp;'트랜드 분석_15일'!AO$18,'2023년 신조차 고장관리 세부현황'!$BC:$BC,"완료",'2023년 신조차 고장관리 세부현황'!$CY:$CY,"C/I")</f>
        <v>0</v>
      </c>
      <c r="AP307" s="85">
        <f>COUNTIFS('2023년 신조차 고장관리 세부현황'!$K:$K,"128R",'2023년 신조차 고장관리 세부현황'!$P:$P,"&gt;="&amp;'트랜드 분석_15일'!AO$18,'2023년 신조차 고장관리 세부현황'!$P:$P,"&lt;"&amp;'트랜드 분석_15일'!AP$18,'2023년 신조차 고장관리 세부현황'!$BC:$BC,"완료",'2023년 신조차 고장관리 세부현황'!$CY:$CY,"C/I")</f>
        <v>0</v>
      </c>
      <c r="AQ307" s="85">
        <f>COUNTIFS('2023년 신조차 고장관리 세부현황'!$K:$K,"128R",'2023년 신조차 고장관리 세부현황'!$P:$P,"&gt;="&amp;'트랜드 분석_15일'!AP$18,'2023년 신조차 고장관리 세부현황'!$P:$P,"&lt;"&amp;'트랜드 분석_15일'!AQ$18,'2023년 신조차 고장관리 세부현황'!$BC:$BC,"완료",'2023년 신조차 고장관리 세부현황'!$CY:$CY,"C/I")</f>
        <v>0</v>
      </c>
      <c r="AR307" s="85">
        <f>COUNTIFS('2023년 신조차 고장관리 세부현황'!$K:$K,"128R",'2023년 신조차 고장관리 세부현황'!$P:$P,"&gt;="&amp;'트랜드 분석_15일'!AQ$18,'2023년 신조차 고장관리 세부현황'!$P:$P,"&lt;"&amp;'트랜드 분석_15일'!AR$18,'2023년 신조차 고장관리 세부현황'!$BC:$BC,"완료",'2023년 신조차 고장관리 세부현황'!$CY:$CY,"C/I")</f>
        <v>0</v>
      </c>
      <c r="AS307" s="85">
        <f>COUNTIFS('2023년 신조차 고장관리 세부현황'!$K:$K,"128R",'2023년 신조차 고장관리 세부현황'!$P:$P,"&gt;="&amp;'트랜드 분석_15일'!AR$18,'2023년 신조차 고장관리 세부현황'!$P:$P,"&lt;"&amp;'트랜드 분석_15일'!AS$18,'2023년 신조차 고장관리 세부현황'!$BC:$BC,"완료",'2023년 신조차 고장관리 세부현황'!$CY:$CY,"C/I")</f>
        <v>0</v>
      </c>
      <c r="AT307" s="85">
        <f>COUNTIFS('2023년 신조차 고장관리 세부현황'!$K:$K,"128R",'2023년 신조차 고장관리 세부현황'!$P:$P,"&gt;="&amp;'트랜드 분석_15일'!AS$18,'2023년 신조차 고장관리 세부현황'!$P:$P,"&lt;"&amp;'트랜드 분석_15일'!AT$18,'2023년 신조차 고장관리 세부현황'!$BC:$BC,"완료",'2023년 신조차 고장관리 세부현황'!$CY:$CY,"C/I")</f>
        <v>0</v>
      </c>
      <c r="AU307" s="85">
        <f>COUNTIFS('2023년 신조차 고장관리 세부현황'!$K:$K,"128R",'2023년 신조차 고장관리 세부현황'!$P:$P,"&gt;="&amp;'트랜드 분석_15일'!AT$18,'2023년 신조차 고장관리 세부현황'!$P:$P,"&lt;"&amp;'트랜드 분석_15일'!AU$18,'2023년 신조차 고장관리 세부현황'!$BC:$BC,"완료",'2023년 신조차 고장관리 세부현황'!$CY:$CY,"C/I")</f>
        <v>0</v>
      </c>
      <c r="AV307" s="85">
        <f>COUNTIFS('2023년 신조차 고장관리 세부현황'!$K:$K,"128R",'2023년 신조차 고장관리 세부현황'!$P:$P,"&gt;="&amp;'트랜드 분석_15일'!AU$18,'2023년 신조차 고장관리 세부현황'!$P:$P,"&lt;"&amp;'트랜드 분석_15일'!AV$18,'2023년 신조차 고장관리 세부현황'!$BC:$BC,"완료",'2023년 신조차 고장관리 세부현황'!$CY:$CY,"C/I")</f>
        <v>0</v>
      </c>
      <c r="AW307" s="85">
        <f>COUNTIFS('2023년 신조차 고장관리 세부현황'!$K:$K,"128R",'2023년 신조차 고장관리 세부현황'!$P:$P,"&gt;="&amp;'트랜드 분석_15일'!AV$18,'2023년 신조차 고장관리 세부현황'!$P:$P,"&lt;"&amp;'트랜드 분석_15일'!AW$18,'2023년 신조차 고장관리 세부현황'!$BC:$BC,"완료",'2023년 신조차 고장관리 세부현황'!$CY:$CY,"C/I")</f>
        <v>0</v>
      </c>
      <c r="AX307" s="85">
        <f>COUNTIFS('2023년 신조차 고장관리 세부현황'!$K:$K,"128R",'2023년 신조차 고장관리 세부현황'!$P:$P,"&gt;="&amp;'트랜드 분석_15일'!AW$18,'2023년 신조차 고장관리 세부현황'!$P:$P,"&lt;"&amp;'트랜드 분석_15일'!AX$18,'2023년 신조차 고장관리 세부현황'!$BC:$BC,"완료",'2023년 신조차 고장관리 세부현황'!$CY:$CY,"C/I")</f>
        <v>0</v>
      </c>
      <c r="AY307" s="85">
        <f>COUNTIFS('2023년 신조차 고장관리 세부현황'!$K:$K,"128R",'2023년 신조차 고장관리 세부현황'!$P:$P,"&gt;="&amp;'트랜드 분석_15일'!AX$18,'2023년 신조차 고장관리 세부현황'!$P:$P,"&lt;"&amp;'트랜드 분석_15일'!AY$18,'2023년 신조차 고장관리 세부현황'!$BC:$BC,"완료",'2023년 신조차 고장관리 세부현황'!$CY:$CY,"C/I")</f>
        <v>0</v>
      </c>
      <c r="AZ307" s="85">
        <f>COUNTIFS('2023년 신조차 고장관리 세부현황'!$K:$K,"128R",'2023년 신조차 고장관리 세부현황'!$P:$P,"&gt;="&amp;'트랜드 분석_15일'!AY$18,'2023년 신조차 고장관리 세부현황'!$P:$P,"&lt;"&amp;'트랜드 분석_15일'!AZ$18,'2023년 신조차 고장관리 세부현황'!$BC:$BC,"완료",'2023년 신조차 고장관리 세부현황'!$CY:$CY,"C/I")</f>
        <v>0</v>
      </c>
      <c r="BA307" s="85">
        <f>COUNTIFS('2023년 신조차 고장관리 세부현황'!$K:$K,"128R",'2023년 신조차 고장관리 세부현황'!$P:$P,"&gt;="&amp;'트랜드 분석_15일'!AZ$18,'2023년 신조차 고장관리 세부현황'!$P:$P,"&lt;"&amp;'트랜드 분석_15일'!BA$18,'2023년 신조차 고장관리 세부현황'!$BC:$BC,"완료",'2023년 신조차 고장관리 세부현황'!$CY:$CY,"C/I")</f>
        <v>0</v>
      </c>
      <c r="BB307" s="85">
        <f>COUNTIFS('2023년 신조차 고장관리 세부현황'!$K:$K,"128R",'2023년 신조차 고장관리 세부현황'!$P:$P,"&gt;="&amp;'트랜드 분석_15일'!BA$18,'2023년 신조차 고장관리 세부현황'!$P:$P,"&lt;"&amp;'트랜드 분석_15일'!BB$18,'2023년 신조차 고장관리 세부현황'!$BC:$BC,"완료",'2023년 신조차 고장관리 세부현황'!$CY:$CY,"C/I")</f>
        <v>0</v>
      </c>
      <c r="BC307" s="85">
        <f>COUNTIFS('2023년 신조차 고장관리 세부현황'!$K:$K,"128R",'2023년 신조차 고장관리 세부현황'!$P:$P,"&gt;="&amp;'트랜드 분석_15일'!BB$18,'2023년 신조차 고장관리 세부현황'!$P:$P,"&lt;"&amp;'트랜드 분석_15일'!BC$18,'2023년 신조차 고장관리 세부현황'!$BC:$BC,"완료",'2023년 신조차 고장관리 세부현황'!$CY:$CY,"C/I")</f>
        <v>0</v>
      </c>
      <c r="BD307" s="85">
        <f>COUNTIFS('2023년 신조차 고장관리 세부현황'!$K:$K,"128R",'2023년 신조차 고장관리 세부현황'!$P:$P,"&gt;="&amp;'트랜드 분석_15일'!BC$18,'2023년 신조차 고장관리 세부현황'!$P:$P,"&lt;"&amp;'트랜드 분석_15일'!BD$18,'2023년 신조차 고장관리 세부현황'!$BC:$BC,"완료",'2023년 신조차 고장관리 세부현황'!$CY:$CY,"C/I")</f>
        <v>0</v>
      </c>
      <c r="BE307" s="85">
        <f>COUNTIFS('2023년 신조차 고장관리 세부현황'!$K:$K,"128R",'2023년 신조차 고장관리 세부현황'!$P:$P,"&gt;="&amp;'트랜드 분석_15일'!BD$18,'2023년 신조차 고장관리 세부현황'!$P:$P,"&lt;"&amp;'트랜드 분석_15일'!BE$18,'2023년 신조차 고장관리 세부현황'!$BC:$BC,"완료",'2023년 신조차 고장관리 세부현황'!$CY:$CY,"C/I")</f>
        <v>0</v>
      </c>
      <c r="BF307" s="85">
        <f>COUNTIFS('2023년 신조차 고장관리 세부현황'!$K:$K,"128R",'2023년 신조차 고장관리 세부현황'!$P:$P,"&gt;="&amp;'트랜드 분석_15일'!BE$18,'2023년 신조차 고장관리 세부현황'!$P:$P,"&lt;"&amp;'트랜드 분석_15일'!BF$18,'2023년 신조차 고장관리 세부현황'!$BC:$BC,"완료",'2023년 신조차 고장관리 세부현황'!$CY:$CY,"C/I")</f>
        <v>0</v>
      </c>
      <c r="BG307" s="85">
        <f>COUNTIFS('2023년 신조차 고장관리 세부현황'!$K:$K,"128R",'2023년 신조차 고장관리 세부현황'!$P:$P,"&gt;="&amp;'트랜드 분석_15일'!BF$18,'2023년 신조차 고장관리 세부현황'!$P:$P,"&lt;"&amp;'트랜드 분석_15일'!BG$18,'2023년 신조차 고장관리 세부현황'!$BC:$BC,"완료",'2023년 신조차 고장관리 세부현황'!$CY:$CY,"C/I")</f>
        <v>0</v>
      </c>
      <c r="BH307" s="85">
        <f>COUNTIFS('2023년 신조차 고장관리 세부현황'!$K:$K,"128R",'2023년 신조차 고장관리 세부현황'!$P:$P,"&gt;="&amp;'트랜드 분석_15일'!BG$18,'2023년 신조차 고장관리 세부현황'!$P:$P,"&lt;"&amp;'트랜드 분석_15일'!BH$18,'2023년 신조차 고장관리 세부현황'!$BC:$BC,"완료",'2023년 신조차 고장관리 세부현황'!$CY:$CY,"C/I")</f>
        <v>0</v>
      </c>
      <c r="BI307" s="85">
        <f>COUNTIFS('2023년 신조차 고장관리 세부현황'!$K:$K,"128R",'2023년 신조차 고장관리 세부현황'!$P:$P,"&gt;="&amp;'트랜드 분석_15일'!BH$18,'2023년 신조차 고장관리 세부현황'!$P:$P,"&lt;"&amp;'트랜드 분석_15일'!BI$18,'2023년 신조차 고장관리 세부현황'!$BC:$BC,"완료",'2023년 신조차 고장관리 세부현황'!$CY:$CY,"C/I")</f>
        <v>0</v>
      </c>
      <c r="BJ307" s="85">
        <f>COUNTIFS('2023년 신조차 고장관리 세부현황'!$K:$K,"128R",'2023년 신조차 고장관리 세부현황'!$P:$P,"&gt;="&amp;'트랜드 분석_15일'!BI$18,'2023년 신조차 고장관리 세부현황'!$P:$P,"&lt;"&amp;'트랜드 분석_15일'!BJ$18,'2023년 신조차 고장관리 세부현황'!$BC:$BC,"완료",'2023년 신조차 고장관리 세부현황'!$CY:$CY,"C/I")</f>
        <v>0</v>
      </c>
      <c r="BK307" s="85">
        <f>COUNTIFS('2023년 신조차 고장관리 세부현황'!$K:$K,"128R",'2023년 신조차 고장관리 세부현황'!$P:$P,"&gt;="&amp;'트랜드 분석_15일'!BJ$18,'2023년 신조차 고장관리 세부현황'!$P:$P,"&lt;"&amp;'트랜드 분석_15일'!BK$18,'2023년 신조차 고장관리 세부현황'!$BC:$BC,"완료",'2023년 신조차 고장관리 세부현황'!$CY:$CY,"C/I")</f>
        <v>0</v>
      </c>
      <c r="BL307" s="85">
        <f>COUNTIFS('2023년 신조차 고장관리 세부현황'!$K:$K,"128R",'2023년 신조차 고장관리 세부현황'!$P:$P,"&gt;="&amp;'트랜드 분석_15일'!BK$18,'2023년 신조차 고장관리 세부현황'!$P:$P,"&lt;"&amp;'트랜드 분석_15일'!BL$18,'2023년 신조차 고장관리 세부현황'!$BC:$BC,"완료",'2023년 신조차 고장관리 세부현황'!$CY:$CY,"C/I")</f>
        <v>0</v>
      </c>
      <c r="BM307" s="85">
        <f>COUNTIFS('2023년 신조차 고장관리 세부현황'!$K:$K,"128R",'2023년 신조차 고장관리 세부현황'!$P:$P,"&gt;="&amp;'트랜드 분석_15일'!BL$18,'2023년 신조차 고장관리 세부현황'!$P:$P,"&lt;"&amp;'트랜드 분석_15일'!BM$18,'2023년 신조차 고장관리 세부현황'!$BC:$BC,"완료",'2023년 신조차 고장관리 세부현황'!$CY:$CY,"C/I")</f>
        <v>0</v>
      </c>
      <c r="BN307" s="85">
        <f>COUNTIFS('2023년 신조차 고장관리 세부현황'!$K:$K,"128R",'2023년 신조차 고장관리 세부현황'!$P:$P,"&gt;="&amp;'트랜드 분석_15일'!BM$18,'2023년 신조차 고장관리 세부현황'!$P:$P,"&lt;"&amp;'트랜드 분석_15일'!BN$18,'2023년 신조차 고장관리 세부현황'!$BC:$BC,"완료",'2023년 신조차 고장관리 세부현황'!$CY:$CY,"C/I")</f>
        <v>0</v>
      </c>
      <c r="BO307" s="85">
        <f>COUNTIFS('2023년 신조차 고장관리 세부현황'!$K:$K,"128R",'2023년 신조차 고장관리 세부현황'!$P:$P,"&gt;="&amp;'트랜드 분석_15일'!BN$18,'2023년 신조차 고장관리 세부현황'!$P:$P,"&lt;"&amp;'트랜드 분석_15일'!BO$18,'2023년 신조차 고장관리 세부현황'!$BC:$BC,"완료",'2023년 신조차 고장관리 세부현황'!$CY:$CY,"C/I")</f>
        <v>0</v>
      </c>
      <c r="BP307" s="85">
        <f>COUNTIFS('2023년 신조차 고장관리 세부현황'!$K:$K,"128R",'2023년 신조차 고장관리 세부현황'!$P:$P,"&gt;="&amp;'트랜드 분석_15일'!BO$18,'2023년 신조차 고장관리 세부현황'!$P:$P,"&lt;"&amp;'트랜드 분석_15일'!BP$18,'2023년 신조차 고장관리 세부현황'!$BC:$BC,"완료",'2023년 신조차 고장관리 세부현황'!$CY:$CY,"C/I")</f>
        <v>0</v>
      </c>
      <c r="BQ307" s="85">
        <f>COUNTIFS('2023년 신조차 고장관리 세부현황'!$K:$K,"128R",'2023년 신조차 고장관리 세부현황'!$P:$P,"&gt;="&amp;'트랜드 분석_15일'!BP$18,'2023년 신조차 고장관리 세부현황'!$P:$P,"&lt;"&amp;'트랜드 분석_15일'!BQ$18,'2023년 신조차 고장관리 세부현황'!$BC:$BC,"완료",'2023년 신조차 고장관리 세부현황'!$CY:$CY,"C/I")</f>
        <v>0</v>
      </c>
      <c r="BR307" s="85">
        <f>COUNTIFS('2023년 신조차 고장관리 세부현황'!$K:$K,"128R",'2023년 신조차 고장관리 세부현황'!$P:$P,"&gt;="&amp;'트랜드 분석_15일'!BQ$18,'2023년 신조차 고장관리 세부현황'!$P:$P,"&lt;"&amp;'트랜드 분석_15일'!BR$18,'2023년 신조차 고장관리 세부현황'!$BC:$BC,"완료",'2023년 신조차 고장관리 세부현황'!$CY:$CY,"C/I")</f>
        <v>0</v>
      </c>
      <c r="BS307" s="85">
        <f>COUNTIFS('2023년 신조차 고장관리 세부현황'!$K:$K,"128R",'2023년 신조차 고장관리 세부현황'!$P:$P,"&gt;="&amp;'트랜드 분석_15일'!BR$18,'2023년 신조차 고장관리 세부현황'!$P:$P,"&lt;"&amp;'트랜드 분석_15일'!BS$18,'2023년 신조차 고장관리 세부현황'!$BC:$BC,"완료",'2023년 신조차 고장관리 세부현황'!$CY:$CY,"C/I")</f>
        <v>0</v>
      </c>
      <c r="BT307" s="85">
        <f>COUNTIFS('2023년 신조차 고장관리 세부현황'!$K:$K,"128R",'2023년 신조차 고장관리 세부현황'!$P:$P,"&gt;="&amp;'트랜드 분석_15일'!BS$18,'2023년 신조차 고장관리 세부현황'!$P:$P,"&lt;"&amp;'트랜드 분석_15일'!BT$18,'2023년 신조차 고장관리 세부현황'!$BC:$BC,"완료",'2023년 신조차 고장관리 세부현황'!$CY:$CY,"C/I")</f>
        <v>0</v>
      </c>
      <c r="BU307" s="85">
        <f>COUNTIFS('2023년 신조차 고장관리 세부현황'!$K:$K,"128R",'2023년 신조차 고장관리 세부현황'!$P:$P,"&gt;="&amp;'트랜드 분석_15일'!BT$18,'2023년 신조차 고장관리 세부현황'!$P:$P,"&lt;"&amp;'트랜드 분석_15일'!BU$18,'2023년 신조차 고장관리 세부현황'!$BC:$BC,"완료",'2023년 신조차 고장관리 세부현황'!$CY:$CY,"C/I")</f>
        <v>0</v>
      </c>
      <c r="BV307" s="85">
        <f>COUNTIFS('2023년 신조차 고장관리 세부현황'!$K:$K,"128R",'2023년 신조차 고장관리 세부현황'!$P:$P,"&gt;="&amp;'트랜드 분석_15일'!BU$18,'2023년 신조차 고장관리 세부현황'!$P:$P,"&lt;"&amp;'트랜드 분석_15일'!BV$18,'2023년 신조차 고장관리 세부현황'!$BC:$BC,"완료",'2023년 신조차 고장관리 세부현황'!$CY:$CY,"C/I")</f>
        <v>0</v>
      </c>
      <c r="BW307" s="85">
        <f>COUNTIFS('2023년 신조차 고장관리 세부현황'!$K:$K,"128R",'2023년 신조차 고장관리 세부현황'!$P:$P,"&gt;="&amp;'트랜드 분석_15일'!BV$18,'2023년 신조차 고장관리 세부현황'!$P:$P,"&lt;"&amp;'트랜드 분석_15일'!BW$18,'2023년 신조차 고장관리 세부현황'!$BC:$BC,"완료",'2023년 신조차 고장관리 세부현황'!$CY:$CY,"C/I")</f>
        <v>0</v>
      </c>
      <c r="BX307" s="85">
        <f>COUNTIFS('2023년 신조차 고장관리 세부현황'!$K:$K,"128R",'2023년 신조차 고장관리 세부현황'!$P:$P,"&gt;="&amp;'트랜드 분석_15일'!BW$18,'2023년 신조차 고장관리 세부현황'!$P:$P,"&lt;"&amp;'트랜드 분석_15일'!BX$18,'2023년 신조차 고장관리 세부현황'!$BC:$BC,"완료",'2023년 신조차 고장관리 세부현황'!$CY:$CY,"C/I")</f>
        <v>0</v>
      </c>
      <c r="BY307" s="85">
        <f>COUNTIFS('2023년 신조차 고장관리 세부현황'!$K:$K,"128R",'2023년 신조차 고장관리 세부현황'!$P:$P,"&gt;="&amp;'트랜드 분석_15일'!BX$18,'2023년 신조차 고장관리 세부현황'!$P:$P,"&lt;"&amp;'트랜드 분석_15일'!BY$18,'2023년 신조차 고장관리 세부현황'!$BC:$BC,"완료",'2023년 신조차 고장관리 세부현황'!$CY:$CY,"C/I")</f>
        <v>0</v>
      </c>
      <c r="BZ307" s="85">
        <f>COUNTIFS('2023년 신조차 고장관리 세부현황'!$K:$K,"128R",'2023년 신조차 고장관리 세부현황'!$P:$P,"&gt;="&amp;'트랜드 분석_15일'!BY$18,'2023년 신조차 고장관리 세부현황'!$P:$P,"&lt;"&amp;'트랜드 분석_15일'!BZ$18,'2023년 신조차 고장관리 세부현황'!$BC:$BC,"완료",'2023년 신조차 고장관리 세부현황'!$CY:$CY,"C/I")</f>
        <v>0</v>
      </c>
      <c r="CA307" s="85">
        <f>COUNTIFS('2023년 신조차 고장관리 세부현황'!$K:$K,"128R",'2023년 신조차 고장관리 세부현황'!$P:$P,"&gt;="&amp;'트랜드 분석_15일'!BZ$18,'2023년 신조차 고장관리 세부현황'!$P:$P,"&lt;"&amp;'트랜드 분석_15일'!CA$18,'2023년 신조차 고장관리 세부현황'!$BC:$BC,"완료",'2023년 신조차 고장관리 세부현황'!$CY:$CY,"C/I")</f>
        <v>0</v>
      </c>
      <c r="CB307" s="85">
        <f>COUNTIFS('2023년 신조차 고장관리 세부현황'!$K:$K,"128R",'2023년 신조차 고장관리 세부현황'!$P:$P,"&gt;="&amp;'트랜드 분석_15일'!CA$18,'2023년 신조차 고장관리 세부현황'!$P:$P,"&lt;"&amp;'트랜드 분석_15일'!CB$18,'2023년 신조차 고장관리 세부현황'!$BC:$BC,"완료",'2023년 신조차 고장관리 세부현황'!$CY:$CY,"C/I")</f>
        <v>0</v>
      </c>
      <c r="CC307" s="85">
        <f>COUNTIFS('2023년 신조차 고장관리 세부현황'!$K:$K,"128R",'2023년 신조차 고장관리 세부현황'!$P:$P,"&gt;="&amp;'트랜드 분석_15일'!CB$18,'2023년 신조차 고장관리 세부현황'!$P:$P,"&lt;"&amp;'트랜드 분석_15일'!CC$18,'2023년 신조차 고장관리 세부현황'!$BC:$BC,"완료",'2023년 신조차 고장관리 세부현황'!$CY:$CY,"C/I")</f>
        <v>0</v>
      </c>
      <c r="CD307" s="85">
        <f>COUNTIFS('2023년 신조차 고장관리 세부현황'!$K:$K,"128R",'2023년 신조차 고장관리 세부현황'!$P:$P,"&gt;="&amp;'트랜드 분석_15일'!CC$18,'2023년 신조차 고장관리 세부현황'!$P:$P,"&lt;"&amp;'트랜드 분석_15일'!CD$18,'2023년 신조차 고장관리 세부현황'!$BC:$BC,"완료",'2023년 신조차 고장관리 세부현황'!$CY:$CY,"C/I")</f>
        <v>0</v>
      </c>
      <c r="CE307" s="85">
        <f>COUNTIFS('2023년 신조차 고장관리 세부현황'!$K:$K,"128R",'2023년 신조차 고장관리 세부현황'!$P:$P,"&gt;="&amp;'트랜드 분석_15일'!CD$18,'2023년 신조차 고장관리 세부현황'!$P:$P,"&lt;"&amp;'트랜드 분석_15일'!CE$18,'2023년 신조차 고장관리 세부현황'!$BC:$BC,"완료",'2023년 신조차 고장관리 세부현황'!$CY:$CY,"C/I")</f>
        <v>0</v>
      </c>
      <c r="CF307" s="85">
        <f>COUNTIFS('2023년 신조차 고장관리 세부현황'!$K:$K,"128R",'2023년 신조차 고장관리 세부현황'!$P:$P,"&gt;="&amp;'트랜드 분석_15일'!CE$18,'2023년 신조차 고장관리 세부현황'!$P:$P,"&lt;"&amp;'트랜드 분석_15일'!CF$18,'2023년 신조차 고장관리 세부현황'!$BC:$BC,"완료",'2023년 신조차 고장관리 세부현황'!$CY:$CY,"C/I")</f>
        <v>0</v>
      </c>
      <c r="CG307" s="85">
        <f>COUNTIFS('2023년 신조차 고장관리 세부현황'!$K:$K,"128R",'2023년 신조차 고장관리 세부현황'!$P:$P,"&gt;="&amp;'트랜드 분석_15일'!CF$18,'2023년 신조차 고장관리 세부현황'!$P:$P,"&lt;"&amp;'트랜드 분석_15일'!CG$18,'2023년 신조차 고장관리 세부현황'!$BC:$BC,"완료",'2023년 신조차 고장관리 세부현황'!$CY:$CY,"C/I")</f>
        <v>0</v>
      </c>
      <c r="CH307" s="85">
        <f ca="1">COUNTIFS('2023년 신조차 고장관리 세부현황'!$K:$K,"128R",'2023년 신조차 고장관리 세부현황'!$P:$P,"&gt;="&amp;'트랜드 분석_15일'!CG$18,'2023년 신조차 고장관리 세부현황'!$P:$P,"&lt;"&amp;'트랜드 분석_15일'!CH$18,'2023년 신조차 고장관리 세부현황'!$BC:$BC,"완료",'2023년 신조차 고장관리 세부현황'!$CY:$CY,"C/I")</f>
        <v>0</v>
      </c>
      <c r="CI307" s="85">
        <f>COUNTIFS('2023년 신조차 고장관리 세부현황'!$K:$K,"128R",'2023년 신조차 고장관리 세부현황'!$P:$P,"&gt;="&amp;'트랜드 분석_15일'!CH$18,'2023년 신조차 고장관리 세부현황'!$P:$P,"&lt;"&amp;'트랜드 분석_15일'!CI$18,'2023년 신조차 고장관리 세부현황'!$BC:$BC,"완료",'2023년 신조차 고장관리 세부현황'!$CY:$CY,"C/I")</f>
        <v>0</v>
      </c>
      <c r="CJ307" s="85">
        <f ca="1">COUNTIFS('2023년 신조차 고장관리 세부현황'!$K:$K,"128R",'2023년 신조차 고장관리 세부현황'!$P:$P,"&gt;="&amp;'트랜드 분석_15일'!CI$18,'2023년 신조차 고장관리 세부현황'!$P:$P,"&lt;"&amp;'트랜드 분석_15일'!CJ$18,'2023년 신조차 고장관리 세부현황'!$BC:$BC,"완료",'2023년 신조차 고장관리 세부현황'!$CY:$CY,"C/I")</f>
        <v>0</v>
      </c>
      <c r="CK307" s="85">
        <f>COUNTIFS('2023년 신조차 고장관리 세부현황'!$K:$K,"128R",'2023년 신조차 고장관리 세부현황'!$P:$P,"&gt;="&amp;'트랜드 분석_15일'!CJ$18,'2023년 신조차 고장관리 세부현황'!$P:$P,"&lt;"&amp;'트랜드 분석_15일'!CK$18,'2023년 신조차 고장관리 세부현황'!$BC:$BC,"완료",'2023년 신조차 고장관리 세부현황'!$CY:$CY,"C/I")</f>
        <v>0</v>
      </c>
      <c r="CL307" s="85">
        <f>COUNTIFS('2023년 신조차 고장관리 세부현황'!$K:$K,"128R",'2023년 신조차 고장관리 세부현황'!$P:$P,"&gt;="&amp;'트랜드 분석_15일'!CK$18,'2023년 신조차 고장관리 세부현황'!$P:$P,"&lt;"&amp;'트랜드 분석_15일'!CL$18,'2023년 신조차 고장관리 세부현황'!$BC:$BC,"완료",'2023년 신조차 고장관리 세부현황'!$CY:$CY,"C/I")</f>
        <v>0</v>
      </c>
      <c r="CM307" s="85">
        <f>COUNTIFS('2023년 신조차 고장관리 세부현황'!$K:$K,"128R",'2023년 신조차 고장관리 세부현황'!$P:$P,"&gt;="&amp;'트랜드 분석_15일'!CL$18,'2023년 신조차 고장관리 세부현황'!$P:$P,"&lt;"&amp;'트랜드 분석_15일'!CM$18,'2023년 신조차 고장관리 세부현황'!$BC:$BC,"완료",'2023년 신조차 고장관리 세부현황'!$CY:$CY,"C/I")</f>
        <v>0</v>
      </c>
      <c r="CN307" s="85">
        <f>COUNTIFS('2023년 신조차 고장관리 세부현황'!$K:$K,"128R",'2023년 신조차 고장관리 세부현황'!$P:$P,"&gt;="&amp;'트랜드 분석_15일'!CM$18,'2023년 신조차 고장관리 세부현황'!$P:$P,"&lt;"&amp;'트랜드 분석_15일'!CN$18,'2023년 신조차 고장관리 세부현황'!$BC:$BC,"완료",'2023년 신조차 고장관리 세부현황'!$CY:$CY,"C/I")</f>
        <v>0</v>
      </c>
      <c r="CO307" s="85">
        <f>COUNTIFS('2023년 신조차 고장관리 세부현황'!$K:$K,"128R",'2023년 신조차 고장관리 세부현황'!$P:$P,"&gt;="&amp;'트랜드 분석_15일'!CN$18,'2023년 신조차 고장관리 세부현황'!$P:$P,"&lt;"&amp;'트랜드 분석_15일'!CO$18,'2023년 신조차 고장관리 세부현황'!$BC:$BC,"완료",'2023년 신조차 고장관리 세부현황'!$CY:$CY,"C/I")</f>
        <v>0</v>
      </c>
      <c r="CP307" s="85">
        <f>COUNTIFS('2023년 신조차 고장관리 세부현황'!$K:$K,"128R",'2023년 신조차 고장관리 세부현황'!$P:$P,"&gt;="&amp;'트랜드 분석_15일'!CO$18,'2023년 신조차 고장관리 세부현황'!$P:$P,"&lt;"&amp;'트랜드 분석_15일'!CP$18,'2023년 신조차 고장관리 세부현황'!$BC:$BC,"완료",'2023년 신조차 고장관리 세부현황'!$CY:$CY,"C/I")</f>
        <v>0</v>
      </c>
      <c r="CQ307" s="85">
        <f>COUNTIFS('2023년 신조차 고장관리 세부현황'!$K:$K,"128R",'2023년 신조차 고장관리 세부현황'!$P:$P,"&gt;="&amp;'트랜드 분석_15일'!CP$18,'2023년 신조차 고장관리 세부현황'!$P:$P,"&lt;"&amp;'트랜드 분석_15일'!CQ$18,'2023년 신조차 고장관리 세부현황'!$BC:$BC,"완료",'2023년 신조차 고장관리 세부현황'!$CY:$CY,"C/I")</f>
        <v>0</v>
      </c>
      <c r="CR307" s="85">
        <f>COUNTIFS('2023년 신조차 고장관리 세부현황'!$K:$K,"128R",'2023년 신조차 고장관리 세부현황'!$P:$P,"&gt;="&amp;'트랜드 분석_15일'!CQ$18,'2023년 신조차 고장관리 세부현황'!$P:$P,"&lt;"&amp;'트랜드 분석_15일'!CR$18,'2023년 신조차 고장관리 세부현황'!$BC:$BC,"완료",'2023년 신조차 고장관리 세부현황'!$CY:$CY,"C/I")</f>
        <v>0</v>
      </c>
      <c r="CS307" s="85">
        <f>COUNTIFS('2023년 신조차 고장관리 세부현황'!$K:$K,"128R",'2023년 신조차 고장관리 세부현황'!$P:$P,"&gt;="&amp;'트랜드 분석_15일'!CR$18,'2023년 신조차 고장관리 세부현황'!$P:$P,"&lt;"&amp;'트랜드 분석_15일'!CS$18,'2023년 신조차 고장관리 세부현황'!$BC:$BC,"완료",'2023년 신조차 고장관리 세부현황'!$CY:$CY,"C/I")</f>
        <v>0</v>
      </c>
      <c r="CT307" s="85">
        <f>COUNTIFS('2023년 신조차 고장관리 세부현황'!$K:$K,"128R",'2023년 신조차 고장관리 세부현황'!$P:$P,"&gt;="&amp;'트랜드 분석_15일'!CS$18,'2023년 신조차 고장관리 세부현황'!$P:$P,"&lt;"&amp;'트랜드 분석_15일'!CT$18,'2023년 신조차 고장관리 세부현황'!$BC:$BC,"완료",'2023년 신조차 고장관리 세부현황'!$CY:$CY,"C/I")</f>
        <v>0</v>
      </c>
      <c r="CU307" s="85">
        <f>COUNTIFS('2023년 신조차 고장관리 세부현황'!$K:$K,"128R",'2023년 신조차 고장관리 세부현황'!$P:$P,"&gt;="&amp;'트랜드 분석_15일'!CT$18,'2023년 신조차 고장관리 세부현황'!$P:$P,"&lt;"&amp;'트랜드 분석_15일'!CU$18,'2023년 신조차 고장관리 세부현황'!$BC:$BC,"완료",'2023년 신조차 고장관리 세부현황'!$CY:$CY,"C/I")</f>
        <v>0</v>
      </c>
      <c r="CV307" s="85">
        <f>COUNTIFS('2023년 신조차 고장관리 세부현황'!$K:$K,"128R",'2023년 신조차 고장관리 세부현황'!$P:$P,"&gt;="&amp;'트랜드 분석_15일'!CU$18,'2023년 신조차 고장관리 세부현황'!$P:$P,"&lt;"&amp;'트랜드 분석_15일'!CV$18,'2023년 신조차 고장관리 세부현황'!$BC:$BC,"완료",'2023년 신조차 고장관리 세부현황'!$CY:$CY,"C/I")</f>
        <v>0</v>
      </c>
      <c r="CW307" s="85">
        <f>COUNTIFS('2023년 신조차 고장관리 세부현황'!$K:$K,"128R",'2023년 신조차 고장관리 세부현황'!$P:$P,"&gt;="&amp;'트랜드 분석_15일'!CV$18,'2023년 신조차 고장관리 세부현황'!$P:$P,"&lt;"&amp;'트랜드 분석_15일'!CW$18,'2023년 신조차 고장관리 세부현황'!$BC:$BC,"완료",'2023년 신조차 고장관리 세부현황'!$CY:$CY,"C/I")</f>
        <v>0</v>
      </c>
      <c r="CX307">
        <f ca="1">SUM(G307:CW307)</f>
        <v>0</v>
      </c>
    </row>
    <row r="308" spans="6:103" x14ac:dyDescent="0.4">
      <c r="F308" s="85" t="s">
        <v>164</v>
      </c>
      <c r="G308" s="85">
        <f>COUNTIFS('2023년 신조차 고장관리 세부현황'!$K:$K,"128R",'2023년 신조차 고장관리 세부현황'!$P:$P,"&gt;="&amp;$G$17,'2023년 신조차 고장관리 세부현황'!$P:$P,"&lt;"&amp;'트랜드 분석_15일'!G$18,'2023년 신조차 고장관리 세부현황'!$S:$S,'트랜드 분석_15일'!$F308,'2023년 신조차 고장관리 세부현황'!$BC:$BC,"완료",'2023년 신조차 고장관리 세부현황'!$CY:$CY,"C/I")</f>
        <v>0</v>
      </c>
      <c r="H308"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분석_15일'!$F308,'2023년 신조차 고장관리 세부현황'!$BC:$BC,"완료",'2023년 신조차 고장관리 세부현황'!$CY:$CY,"C/I")</f>
        <v>0</v>
      </c>
      <c r="I308"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분석_15일'!$F308,'2023년 신조차 고장관리 세부현황'!$BC:$BC,"완료",'2023년 신조차 고장관리 세부현황'!$CY:$CY,"C/I")</f>
        <v>0</v>
      </c>
      <c r="J308"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분석_15일'!$F308,'2023년 신조차 고장관리 세부현황'!$BC:$BC,"완료",'2023년 신조차 고장관리 세부현황'!$CY:$CY,"C/I")</f>
        <v>0</v>
      </c>
      <c r="K308"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분석_15일'!$F308,'2023년 신조차 고장관리 세부현황'!$BC:$BC,"완료",'2023년 신조차 고장관리 세부현황'!$CY:$CY,"C/I")</f>
        <v>0</v>
      </c>
      <c r="L308"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분석_15일'!$F308,'2023년 신조차 고장관리 세부현황'!$BC:$BC,"완료",'2023년 신조차 고장관리 세부현황'!$CY:$CY,"C/I")</f>
        <v>0</v>
      </c>
      <c r="M308"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분석_15일'!$F308,'2023년 신조차 고장관리 세부현황'!$BC:$BC,"완료",'2023년 신조차 고장관리 세부현황'!$CY:$CY,"C/I")</f>
        <v>0</v>
      </c>
      <c r="N308"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분석_15일'!$F308,'2023년 신조차 고장관리 세부현황'!$BC:$BC,"완료",'2023년 신조차 고장관리 세부현황'!$CY:$CY,"C/I")</f>
        <v>0</v>
      </c>
      <c r="O308"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분석_15일'!$F308,'2023년 신조차 고장관리 세부현황'!$BC:$BC,"완료",'2023년 신조차 고장관리 세부현황'!$CY:$CY,"C/I")</f>
        <v>0</v>
      </c>
      <c r="P308"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분석_15일'!$F308,'2023년 신조차 고장관리 세부현황'!$BC:$BC,"완료",'2023년 신조차 고장관리 세부현황'!$CY:$CY,"C/I")</f>
        <v>0</v>
      </c>
      <c r="Q308"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분석_15일'!$F308,'2023년 신조차 고장관리 세부현황'!$BC:$BC,"완료",'2023년 신조차 고장관리 세부현황'!$CY:$CY,"C/I")</f>
        <v>0</v>
      </c>
      <c r="R308"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분석_15일'!$F308,'2023년 신조차 고장관리 세부현황'!$BC:$BC,"완료",'2023년 신조차 고장관리 세부현황'!$CY:$CY,"C/I")</f>
        <v>0</v>
      </c>
      <c r="S308"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분석_15일'!$F308,'2023년 신조차 고장관리 세부현황'!$BC:$BC,"완료",'2023년 신조차 고장관리 세부현황'!$CY:$CY,"C/I")</f>
        <v>0</v>
      </c>
      <c r="T308"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분석_15일'!$F308,'2023년 신조차 고장관리 세부현황'!$BC:$BC,"완료",'2023년 신조차 고장관리 세부현황'!$CY:$CY,"C/I")</f>
        <v>0</v>
      </c>
      <c r="U308"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분석_15일'!$F308,'2023년 신조차 고장관리 세부현황'!$BC:$BC,"완료",'2023년 신조차 고장관리 세부현황'!$CY:$CY,"C/I")</f>
        <v>0</v>
      </c>
      <c r="V308"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분석_15일'!$F308,'2023년 신조차 고장관리 세부현황'!$BC:$BC,"완료",'2023년 신조차 고장관리 세부현황'!$CY:$CY,"C/I")</f>
        <v>0</v>
      </c>
      <c r="W308"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분석_15일'!$F308,'2023년 신조차 고장관리 세부현황'!$BC:$BC,"완료",'2023년 신조차 고장관리 세부현황'!$CY:$CY,"C/I")</f>
        <v>0</v>
      </c>
      <c r="X308"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분석_15일'!$F308,'2023년 신조차 고장관리 세부현황'!$BC:$BC,"완료",'2023년 신조차 고장관리 세부현황'!$CY:$CY,"C/I")</f>
        <v>0</v>
      </c>
      <c r="Y308"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분석_15일'!$F308,'2023년 신조차 고장관리 세부현황'!$BC:$BC,"완료",'2023년 신조차 고장관리 세부현황'!$CY:$CY,"C/I")</f>
        <v>0</v>
      </c>
      <c r="Z308"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분석_15일'!$F308,'2023년 신조차 고장관리 세부현황'!$BC:$BC,"완료",'2023년 신조차 고장관리 세부현황'!$CY:$CY,"C/I")</f>
        <v>0</v>
      </c>
      <c r="AA308"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분석_15일'!$F308,'2023년 신조차 고장관리 세부현황'!$BC:$BC,"완료",'2023년 신조차 고장관리 세부현황'!$CY:$CY,"C/I")</f>
        <v>0</v>
      </c>
      <c r="AB308"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분석_15일'!$F308,'2023년 신조차 고장관리 세부현황'!$BC:$BC,"완료",'2023년 신조차 고장관리 세부현황'!$CY:$CY,"C/I")</f>
        <v>0</v>
      </c>
      <c r="AC308"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분석_15일'!$F308,'2023년 신조차 고장관리 세부현황'!$BC:$BC,"완료",'2023년 신조차 고장관리 세부현황'!$CY:$CY,"C/I")</f>
        <v>0</v>
      </c>
      <c r="AD308"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분석_15일'!$F308,'2023년 신조차 고장관리 세부현황'!$BC:$BC,"완료",'2023년 신조차 고장관리 세부현황'!$CY:$CY,"C/I")</f>
        <v>0</v>
      </c>
      <c r="AE308"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분석_15일'!$F308,'2023년 신조차 고장관리 세부현황'!$BC:$BC,"완료",'2023년 신조차 고장관리 세부현황'!$CY:$CY,"C/I")</f>
        <v>0</v>
      </c>
      <c r="AF308"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분석_15일'!$F308,'2023년 신조차 고장관리 세부현황'!$BC:$BC,"완료",'2023년 신조차 고장관리 세부현황'!$CY:$CY,"C/I")</f>
        <v>0</v>
      </c>
      <c r="AG308"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분석_15일'!$F308,'2023년 신조차 고장관리 세부현황'!$BC:$BC,"완료",'2023년 신조차 고장관리 세부현황'!$CY:$CY,"C/I")</f>
        <v>0</v>
      </c>
      <c r="AH308"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분석_15일'!$F308,'2023년 신조차 고장관리 세부현황'!$BC:$BC,"완료",'2023년 신조차 고장관리 세부현황'!$CY:$CY,"C/I")</f>
        <v>0</v>
      </c>
      <c r="AI308"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분석_15일'!$F308,'2023년 신조차 고장관리 세부현황'!$BC:$BC,"완료",'2023년 신조차 고장관리 세부현황'!$CY:$CY,"C/I")</f>
        <v>0</v>
      </c>
      <c r="AJ308"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분석_15일'!$F308,'2023년 신조차 고장관리 세부현황'!$BC:$BC,"완료",'2023년 신조차 고장관리 세부현황'!$CY:$CY,"C/I")</f>
        <v>0</v>
      </c>
      <c r="AK308"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분석_15일'!$F308,'2023년 신조차 고장관리 세부현황'!$BC:$BC,"완료",'2023년 신조차 고장관리 세부현황'!$CY:$CY,"C/I")</f>
        <v>0</v>
      </c>
      <c r="AL308"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분석_15일'!$F308,'2023년 신조차 고장관리 세부현황'!$BC:$BC,"완료",'2023년 신조차 고장관리 세부현황'!$CY:$CY,"C/I")</f>
        <v>0</v>
      </c>
      <c r="AM308"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분석_15일'!$F308,'2023년 신조차 고장관리 세부현황'!$BC:$BC,"완료",'2023년 신조차 고장관리 세부현황'!$CY:$CY,"C/I")</f>
        <v>0</v>
      </c>
      <c r="AN308"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분석_15일'!$F308,'2023년 신조차 고장관리 세부현황'!$BC:$BC,"완료",'2023년 신조차 고장관리 세부현황'!$CY:$CY,"C/I")</f>
        <v>0</v>
      </c>
      <c r="AO308"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분석_15일'!$F308,'2023년 신조차 고장관리 세부현황'!$BC:$BC,"완료",'2023년 신조차 고장관리 세부현황'!$CY:$CY,"C/I")</f>
        <v>0</v>
      </c>
      <c r="AP308"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분석_15일'!$F308,'2023년 신조차 고장관리 세부현황'!$BC:$BC,"완료",'2023년 신조차 고장관리 세부현황'!$CY:$CY,"C/I")</f>
        <v>0</v>
      </c>
      <c r="AQ308"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분석_15일'!$F308,'2023년 신조차 고장관리 세부현황'!$BC:$BC,"완료",'2023년 신조차 고장관리 세부현황'!$CY:$CY,"C/I")</f>
        <v>0</v>
      </c>
      <c r="AR308"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분석_15일'!$F308,'2023년 신조차 고장관리 세부현황'!$BC:$BC,"완료",'2023년 신조차 고장관리 세부현황'!$CY:$CY,"C/I")</f>
        <v>0</v>
      </c>
      <c r="AS308"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분석_15일'!$F308,'2023년 신조차 고장관리 세부현황'!$BC:$BC,"완료",'2023년 신조차 고장관리 세부현황'!$CY:$CY,"C/I")</f>
        <v>0</v>
      </c>
      <c r="AT308"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분석_15일'!$F308,'2023년 신조차 고장관리 세부현황'!$BC:$BC,"완료",'2023년 신조차 고장관리 세부현황'!$CY:$CY,"C/I")</f>
        <v>0</v>
      </c>
      <c r="AU308"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분석_15일'!$F308,'2023년 신조차 고장관리 세부현황'!$BC:$BC,"완료",'2023년 신조차 고장관리 세부현황'!$CY:$CY,"C/I")</f>
        <v>0</v>
      </c>
      <c r="AV308"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분석_15일'!$F308,'2023년 신조차 고장관리 세부현황'!$BC:$BC,"완료",'2023년 신조차 고장관리 세부현황'!$CY:$CY,"C/I")</f>
        <v>0</v>
      </c>
      <c r="AW308"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분석_15일'!$F308,'2023년 신조차 고장관리 세부현황'!$BC:$BC,"완료",'2023년 신조차 고장관리 세부현황'!$CY:$CY,"C/I")</f>
        <v>0</v>
      </c>
      <c r="AX308"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분석_15일'!$F308,'2023년 신조차 고장관리 세부현황'!$BC:$BC,"완료",'2023년 신조차 고장관리 세부현황'!$CY:$CY,"C/I")</f>
        <v>0</v>
      </c>
      <c r="AY308"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분석_15일'!$F308,'2023년 신조차 고장관리 세부현황'!$BC:$BC,"완료",'2023년 신조차 고장관리 세부현황'!$CY:$CY,"C/I")</f>
        <v>0</v>
      </c>
      <c r="AZ308"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분석_15일'!$F308,'2023년 신조차 고장관리 세부현황'!$BC:$BC,"완료",'2023년 신조차 고장관리 세부현황'!$CY:$CY,"C/I")</f>
        <v>0</v>
      </c>
      <c r="BA308"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분석_15일'!$F308,'2023년 신조차 고장관리 세부현황'!$BC:$BC,"완료",'2023년 신조차 고장관리 세부현황'!$CY:$CY,"C/I")</f>
        <v>0</v>
      </c>
      <c r="BB308"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분석_15일'!$F308,'2023년 신조차 고장관리 세부현황'!$BC:$BC,"완료",'2023년 신조차 고장관리 세부현황'!$CY:$CY,"C/I")</f>
        <v>0</v>
      </c>
      <c r="BC308"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분석_15일'!$F308,'2023년 신조차 고장관리 세부현황'!$BC:$BC,"완료",'2023년 신조차 고장관리 세부현황'!$CY:$CY,"C/I")</f>
        <v>0</v>
      </c>
      <c r="BD308"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분석_15일'!$F308,'2023년 신조차 고장관리 세부현황'!$BC:$BC,"완료",'2023년 신조차 고장관리 세부현황'!$CY:$CY,"C/I")</f>
        <v>0</v>
      </c>
      <c r="BE308"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분석_15일'!$F308,'2023년 신조차 고장관리 세부현황'!$BC:$BC,"완료",'2023년 신조차 고장관리 세부현황'!$CY:$CY,"C/I")</f>
        <v>0</v>
      </c>
      <c r="BF308"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분석_15일'!$F308,'2023년 신조차 고장관리 세부현황'!$BC:$BC,"완료",'2023년 신조차 고장관리 세부현황'!$CY:$CY,"C/I")</f>
        <v>0</v>
      </c>
      <c r="BG308"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분석_15일'!$F308,'2023년 신조차 고장관리 세부현황'!$BC:$BC,"완료",'2023년 신조차 고장관리 세부현황'!$CY:$CY,"C/I")</f>
        <v>0</v>
      </c>
      <c r="BH308"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분석_15일'!$F308,'2023년 신조차 고장관리 세부현황'!$BC:$BC,"완료",'2023년 신조차 고장관리 세부현황'!$CY:$CY,"C/I")</f>
        <v>0</v>
      </c>
      <c r="BI308"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분석_15일'!$F308,'2023년 신조차 고장관리 세부현황'!$BC:$BC,"완료",'2023년 신조차 고장관리 세부현황'!$CY:$CY,"C/I")</f>
        <v>0</v>
      </c>
      <c r="BJ308"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분석_15일'!$F308,'2023년 신조차 고장관리 세부현황'!$BC:$BC,"완료",'2023년 신조차 고장관리 세부현황'!$CY:$CY,"C/I")</f>
        <v>0</v>
      </c>
      <c r="BK308"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분석_15일'!$F308,'2023년 신조차 고장관리 세부현황'!$BC:$BC,"완료",'2023년 신조차 고장관리 세부현황'!$CY:$CY,"C/I")</f>
        <v>0</v>
      </c>
      <c r="BL308"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분석_15일'!$F308,'2023년 신조차 고장관리 세부현황'!$BC:$BC,"완료",'2023년 신조차 고장관리 세부현황'!$CY:$CY,"C/I")</f>
        <v>0</v>
      </c>
      <c r="BM308"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분석_15일'!$F308,'2023년 신조차 고장관리 세부현황'!$BC:$BC,"완료",'2023년 신조차 고장관리 세부현황'!$CY:$CY,"C/I")</f>
        <v>0</v>
      </c>
      <c r="BN308"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분석_15일'!$F308,'2023년 신조차 고장관리 세부현황'!$BC:$BC,"완료",'2023년 신조차 고장관리 세부현황'!$CY:$CY,"C/I")</f>
        <v>0</v>
      </c>
      <c r="BO308"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분석_15일'!$F308,'2023년 신조차 고장관리 세부현황'!$BC:$BC,"완료",'2023년 신조차 고장관리 세부현황'!$CY:$CY,"C/I")</f>
        <v>0</v>
      </c>
      <c r="BP308"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분석_15일'!$F308,'2023년 신조차 고장관리 세부현황'!$BC:$BC,"완료",'2023년 신조차 고장관리 세부현황'!$CY:$CY,"C/I")</f>
        <v>0</v>
      </c>
      <c r="BQ308"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분석_15일'!$F308,'2023년 신조차 고장관리 세부현황'!$BC:$BC,"완료",'2023년 신조차 고장관리 세부현황'!$CY:$CY,"C/I")</f>
        <v>0</v>
      </c>
      <c r="BR308"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분석_15일'!$F308,'2023년 신조차 고장관리 세부현황'!$BC:$BC,"완료",'2023년 신조차 고장관리 세부현황'!$CY:$CY,"C/I")</f>
        <v>0</v>
      </c>
      <c r="BS308"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분석_15일'!$F308,'2023년 신조차 고장관리 세부현황'!$BC:$BC,"완료",'2023년 신조차 고장관리 세부현황'!$CY:$CY,"C/I")</f>
        <v>0</v>
      </c>
      <c r="BT308"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분석_15일'!$F308,'2023년 신조차 고장관리 세부현황'!$BC:$BC,"완료",'2023년 신조차 고장관리 세부현황'!$CY:$CY,"C/I")</f>
        <v>0</v>
      </c>
      <c r="BU308"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분석_15일'!$F308,'2023년 신조차 고장관리 세부현황'!$BC:$BC,"완료",'2023년 신조차 고장관리 세부현황'!$CY:$CY,"C/I")</f>
        <v>0</v>
      </c>
      <c r="BV308"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분석_15일'!$F308,'2023년 신조차 고장관리 세부현황'!$BC:$BC,"완료",'2023년 신조차 고장관리 세부현황'!$CY:$CY,"C/I")</f>
        <v>0</v>
      </c>
      <c r="BW308"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분석_15일'!$F308,'2023년 신조차 고장관리 세부현황'!$BC:$BC,"완료",'2023년 신조차 고장관리 세부현황'!$CY:$CY,"C/I")</f>
        <v>0</v>
      </c>
      <c r="BX308"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분석_15일'!$F308,'2023년 신조차 고장관리 세부현황'!$BC:$BC,"완료",'2023년 신조차 고장관리 세부현황'!$CY:$CY,"C/I")</f>
        <v>0</v>
      </c>
      <c r="BY308"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분석_15일'!$F308,'2023년 신조차 고장관리 세부현황'!$BC:$BC,"완료",'2023년 신조차 고장관리 세부현황'!$CY:$CY,"C/I")</f>
        <v>0</v>
      </c>
      <c r="BZ308"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분석_15일'!$F308,'2023년 신조차 고장관리 세부현황'!$BC:$BC,"완료",'2023년 신조차 고장관리 세부현황'!$CY:$CY,"C/I")</f>
        <v>0</v>
      </c>
      <c r="CA308"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분석_15일'!$F308,'2023년 신조차 고장관리 세부현황'!$BC:$BC,"완료",'2023년 신조차 고장관리 세부현황'!$CY:$CY,"C/I")</f>
        <v>0</v>
      </c>
      <c r="CB308"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분석_15일'!$F308,'2023년 신조차 고장관리 세부현황'!$BC:$BC,"완료",'2023년 신조차 고장관리 세부현황'!$CY:$CY,"C/I")</f>
        <v>0</v>
      </c>
      <c r="CC308"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분석_15일'!$F308,'2023년 신조차 고장관리 세부현황'!$BC:$BC,"완료",'2023년 신조차 고장관리 세부현황'!$CY:$CY,"C/I")</f>
        <v>0</v>
      </c>
      <c r="CD308"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분석_15일'!$F308,'2023년 신조차 고장관리 세부현황'!$BC:$BC,"완료",'2023년 신조차 고장관리 세부현황'!$CY:$CY,"C/I")</f>
        <v>0</v>
      </c>
      <c r="CE308"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분석_15일'!$F308,'2023년 신조차 고장관리 세부현황'!$BC:$BC,"완료",'2023년 신조차 고장관리 세부현황'!$CY:$CY,"C/I")</f>
        <v>0</v>
      </c>
      <c r="CF308"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분석_15일'!$F308,'2023년 신조차 고장관리 세부현황'!$BC:$BC,"완료",'2023년 신조차 고장관리 세부현황'!$CY:$CY,"C/I")</f>
        <v>0</v>
      </c>
      <c r="CG308"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분석_15일'!$F308,'2023년 신조차 고장관리 세부현황'!$BC:$BC,"완료",'2023년 신조차 고장관리 세부현황'!$CY:$CY,"C/I")</f>
        <v>0</v>
      </c>
      <c r="CH308"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분석_15일'!$F308,'2023년 신조차 고장관리 세부현황'!$BC:$BC,"완료",'2023년 신조차 고장관리 세부현황'!$CY:$CY,"C/I")</f>
        <v>0</v>
      </c>
      <c r="CI308"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분석_15일'!$F308,'2023년 신조차 고장관리 세부현황'!$BC:$BC,"완료",'2023년 신조차 고장관리 세부현황'!$CY:$CY,"C/I")</f>
        <v>0</v>
      </c>
      <c r="CJ308"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분석_15일'!$F308,'2023년 신조차 고장관리 세부현황'!$BC:$BC,"완료",'2023년 신조차 고장관리 세부현황'!$CY:$CY,"C/I")</f>
        <v>0</v>
      </c>
      <c r="CK308"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분석_15일'!$F308,'2023년 신조차 고장관리 세부현황'!$BC:$BC,"완료",'2023년 신조차 고장관리 세부현황'!$CY:$CY,"C/I")</f>
        <v>0</v>
      </c>
      <c r="CL308"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분석_15일'!$F308,'2023년 신조차 고장관리 세부현황'!$BC:$BC,"완료",'2023년 신조차 고장관리 세부현황'!$CY:$CY,"C/I")</f>
        <v>0</v>
      </c>
      <c r="CM308"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분석_15일'!$F308,'2023년 신조차 고장관리 세부현황'!$BC:$BC,"완료",'2023년 신조차 고장관리 세부현황'!$CY:$CY,"C/I")</f>
        <v>0</v>
      </c>
      <c r="CN308"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분석_15일'!$F308,'2023년 신조차 고장관리 세부현황'!$BC:$BC,"완료",'2023년 신조차 고장관리 세부현황'!$CY:$CY,"C/I")</f>
        <v>0</v>
      </c>
      <c r="CO308"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분석_15일'!$F308,'2023년 신조차 고장관리 세부현황'!$BC:$BC,"완료",'2023년 신조차 고장관리 세부현황'!$CY:$CY,"C/I")</f>
        <v>0</v>
      </c>
      <c r="CP308"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분석_15일'!$F308,'2023년 신조차 고장관리 세부현황'!$BC:$BC,"완료",'2023년 신조차 고장관리 세부현황'!$CY:$CY,"C/I")</f>
        <v>0</v>
      </c>
      <c r="CQ308"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분석_15일'!$F308,'2023년 신조차 고장관리 세부현황'!$BC:$BC,"완료",'2023년 신조차 고장관리 세부현황'!$CY:$CY,"C/I")</f>
        <v>0</v>
      </c>
      <c r="CR308"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분석_15일'!$F308,'2023년 신조차 고장관리 세부현황'!$BC:$BC,"완료",'2023년 신조차 고장관리 세부현황'!$CY:$CY,"C/I")</f>
        <v>0</v>
      </c>
      <c r="CS308"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분석_15일'!$F308,'2023년 신조차 고장관리 세부현황'!$BC:$BC,"완료",'2023년 신조차 고장관리 세부현황'!$CY:$CY,"C/I")</f>
        <v>0</v>
      </c>
      <c r="CT308"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분석_15일'!$F308,'2023년 신조차 고장관리 세부현황'!$BC:$BC,"완료",'2023년 신조차 고장관리 세부현황'!$CY:$CY,"C/I")</f>
        <v>0</v>
      </c>
      <c r="CU308"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분석_15일'!$F308,'2023년 신조차 고장관리 세부현황'!$BC:$BC,"완료",'2023년 신조차 고장관리 세부현황'!$CY:$CY,"C/I")</f>
        <v>0</v>
      </c>
      <c r="CV308"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분석_15일'!$F308,'2023년 신조차 고장관리 세부현황'!$BC:$BC,"완료",'2023년 신조차 고장관리 세부현황'!$CY:$CY,"C/I")</f>
        <v>0</v>
      </c>
      <c r="CW308"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분석_15일'!$F308,'2023년 신조차 고장관리 세부현황'!$BC:$BC,"완료",'2023년 신조차 고장관리 세부현황'!$CY:$CY,"C/I")</f>
        <v>0</v>
      </c>
      <c r="CX308">
        <f>SUM(G308:CW308)</f>
        <v>0</v>
      </c>
    </row>
    <row r="309" spans="6:103" x14ac:dyDescent="0.4">
      <c r="F309" s="85" t="s">
        <v>223</v>
      </c>
      <c r="G309" s="85">
        <f>COUNTIFS('2023년 신조차 고장관리 세부현황'!$K:$K,"128R",'2023년 신조차 고장관리 세부현황'!$P:$P,"&gt;="&amp;$G$17,'2023년 신조차 고장관리 세부현황'!$P:$P,"&lt;"&amp;'트랜드 분석_15일'!G$18,'2023년 신조차 고장관리 세부현황'!$S:$S,'트랜드 분석_15일'!$F309,'2023년 신조차 고장관리 세부현황'!$BC:$BC,"완료",'2023년 신조차 고장관리 세부현황'!$CY:$CY,"C/I")</f>
        <v>0</v>
      </c>
      <c r="H309"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분석_15일'!$F309,'2023년 신조차 고장관리 세부현황'!$BC:$BC,"완료",'2023년 신조차 고장관리 세부현황'!$CY:$CY,"C/I")</f>
        <v>0</v>
      </c>
      <c r="I309"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분석_15일'!$F309,'2023년 신조차 고장관리 세부현황'!$BC:$BC,"완료",'2023년 신조차 고장관리 세부현황'!$CY:$CY,"C/I")</f>
        <v>0</v>
      </c>
      <c r="J309"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분석_15일'!$F309,'2023년 신조차 고장관리 세부현황'!$BC:$BC,"완료",'2023년 신조차 고장관리 세부현황'!$CY:$CY,"C/I")</f>
        <v>0</v>
      </c>
      <c r="K309"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분석_15일'!$F309,'2023년 신조차 고장관리 세부현황'!$BC:$BC,"완료",'2023년 신조차 고장관리 세부현황'!$CY:$CY,"C/I")</f>
        <v>0</v>
      </c>
      <c r="L309"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분석_15일'!$F309,'2023년 신조차 고장관리 세부현황'!$BC:$BC,"완료",'2023년 신조차 고장관리 세부현황'!$CY:$CY,"C/I")</f>
        <v>0</v>
      </c>
      <c r="M309"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분석_15일'!$F309,'2023년 신조차 고장관리 세부현황'!$BC:$BC,"완료",'2023년 신조차 고장관리 세부현황'!$CY:$CY,"C/I")</f>
        <v>0</v>
      </c>
      <c r="N309"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분석_15일'!$F309,'2023년 신조차 고장관리 세부현황'!$BC:$BC,"완료",'2023년 신조차 고장관리 세부현황'!$CY:$CY,"C/I")</f>
        <v>0</v>
      </c>
      <c r="O309"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분석_15일'!$F309,'2023년 신조차 고장관리 세부현황'!$BC:$BC,"완료",'2023년 신조차 고장관리 세부현황'!$CY:$CY,"C/I")</f>
        <v>0</v>
      </c>
      <c r="P309"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분석_15일'!$F309,'2023년 신조차 고장관리 세부현황'!$BC:$BC,"완료",'2023년 신조차 고장관리 세부현황'!$CY:$CY,"C/I")</f>
        <v>0</v>
      </c>
      <c r="Q309"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분석_15일'!$F309,'2023년 신조차 고장관리 세부현황'!$BC:$BC,"완료",'2023년 신조차 고장관리 세부현황'!$CY:$CY,"C/I")</f>
        <v>0</v>
      </c>
      <c r="R309"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분석_15일'!$F309,'2023년 신조차 고장관리 세부현황'!$BC:$BC,"완료",'2023년 신조차 고장관리 세부현황'!$CY:$CY,"C/I")</f>
        <v>0</v>
      </c>
      <c r="S309"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분석_15일'!$F309,'2023년 신조차 고장관리 세부현황'!$BC:$BC,"완료",'2023년 신조차 고장관리 세부현황'!$CY:$CY,"C/I")</f>
        <v>0</v>
      </c>
      <c r="T309"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분석_15일'!$F309,'2023년 신조차 고장관리 세부현황'!$BC:$BC,"완료",'2023년 신조차 고장관리 세부현황'!$CY:$CY,"C/I")</f>
        <v>0</v>
      </c>
      <c r="U309"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분석_15일'!$F309,'2023년 신조차 고장관리 세부현황'!$BC:$BC,"완료",'2023년 신조차 고장관리 세부현황'!$CY:$CY,"C/I")</f>
        <v>0</v>
      </c>
      <c r="V309"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분석_15일'!$F309,'2023년 신조차 고장관리 세부현황'!$BC:$BC,"완료",'2023년 신조차 고장관리 세부현황'!$CY:$CY,"C/I")</f>
        <v>0</v>
      </c>
      <c r="W309"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분석_15일'!$F309,'2023년 신조차 고장관리 세부현황'!$BC:$BC,"완료",'2023년 신조차 고장관리 세부현황'!$CY:$CY,"C/I")</f>
        <v>0</v>
      </c>
      <c r="X309"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분석_15일'!$F309,'2023년 신조차 고장관리 세부현황'!$BC:$BC,"완료",'2023년 신조차 고장관리 세부현황'!$CY:$CY,"C/I")</f>
        <v>0</v>
      </c>
      <c r="Y309"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분석_15일'!$F309,'2023년 신조차 고장관리 세부현황'!$BC:$BC,"완료",'2023년 신조차 고장관리 세부현황'!$CY:$CY,"C/I")</f>
        <v>0</v>
      </c>
      <c r="Z309"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분석_15일'!$F309,'2023년 신조차 고장관리 세부현황'!$BC:$BC,"완료",'2023년 신조차 고장관리 세부현황'!$CY:$CY,"C/I")</f>
        <v>0</v>
      </c>
      <c r="AA309"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분석_15일'!$F309,'2023년 신조차 고장관리 세부현황'!$BC:$BC,"완료",'2023년 신조차 고장관리 세부현황'!$CY:$CY,"C/I")</f>
        <v>0</v>
      </c>
      <c r="AB309"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분석_15일'!$F309,'2023년 신조차 고장관리 세부현황'!$BC:$BC,"완료",'2023년 신조차 고장관리 세부현황'!$CY:$CY,"C/I")</f>
        <v>0</v>
      </c>
      <c r="AC309"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분석_15일'!$F309,'2023년 신조차 고장관리 세부현황'!$BC:$BC,"완료",'2023년 신조차 고장관리 세부현황'!$CY:$CY,"C/I")</f>
        <v>0</v>
      </c>
      <c r="AD309"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분석_15일'!$F309,'2023년 신조차 고장관리 세부현황'!$BC:$BC,"완료",'2023년 신조차 고장관리 세부현황'!$CY:$CY,"C/I")</f>
        <v>0</v>
      </c>
      <c r="AE309"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분석_15일'!$F309,'2023년 신조차 고장관리 세부현황'!$BC:$BC,"완료",'2023년 신조차 고장관리 세부현황'!$CY:$CY,"C/I")</f>
        <v>0</v>
      </c>
      <c r="AF309"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분석_15일'!$F309,'2023년 신조차 고장관리 세부현황'!$BC:$BC,"완료",'2023년 신조차 고장관리 세부현황'!$CY:$CY,"C/I")</f>
        <v>0</v>
      </c>
      <c r="AG309"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분석_15일'!$F309,'2023년 신조차 고장관리 세부현황'!$BC:$BC,"완료",'2023년 신조차 고장관리 세부현황'!$CY:$CY,"C/I")</f>
        <v>0</v>
      </c>
      <c r="AH309"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분석_15일'!$F309,'2023년 신조차 고장관리 세부현황'!$BC:$BC,"완료",'2023년 신조차 고장관리 세부현황'!$CY:$CY,"C/I")</f>
        <v>0</v>
      </c>
      <c r="AI309"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분석_15일'!$F309,'2023년 신조차 고장관리 세부현황'!$BC:$BC,"완료",'2023년 신조차 고장관리 세부현황'!$CY:$CY,"C/I")</f>
        <v>0</v>
      </c>
      <c r="AJ309"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분석_15일'!$F309,'2023년 신조차 고장관리 세부현황'!$BC:$BC,"완료",'2023년 신조차 고장관리 세부현황'!$CY:$CY,"C/I")</f>
        <v>0</v>
      </c>
      <c r="AK309"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분석_15일'!$F309,'2023년 신조차 고장관리 세부현황'!$BC:$BC,"완료",'2023년 신조차 고장관리 세부현황'!$CY:$CY,"C/I")</f>
        <v>0</v>
      </c>
      <c r="AL309"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분석_15일'!$F309,'2023년 신조차 고장관리 세부현황'!$BC:$BC,"완료",'2023년 신조차 고장관리 세부현황'!$CY:$CY,"C/I")</f>
        <v>0</v>
      </c>
      <c r="AM309"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분석_15일'!$F309,'2023년 신조차 고장관리 세부현황'!$BC:$BC,"완료",'2023년 신조차 고장관리 세부현황'!$CY:$CY,"C/I")</f>
        <v>0</v>
      </c>
      <c r="AN309"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분석_15일'!$F309,'2023년 신조차 고장관리 세부현황'!$BC:$BC,"완료",'2023년 신조차 고장관리 세부현황'!$CY:$CY,"C/I")</f>
        <v>0</v>
      </c>
      <c r="AO309"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분석_15일'!$F309,'2023년 신조차 고장관리 세부현황'!$BC:$BC,"완료",'2023년 신조차 고장관리 세부현황'!$CY:$CY,"C/I")</f>
        <v>0</v>
      </c>
      <c r="AP309"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분석_15일'!$F309,'2023년 신조차 고장관리 세부현황'!$BC:$BC,"완료",'2023년 신조차 고장관리 세부현황'!$CY:$CY,"C/I")</f>
        <v>0</v>
      </c>
      <c r="AQ309"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분석_15일'!$F309,'2023년 신조차 고장관리 세부현황'!$BC:$BC,"완료",'2023년 신조차 고장관리 세부현황'!$CY:$CY,"C/I")</f>
        <v>0</v>
      </c>
      <c r="AR309"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분석_15일'!$F309,'2023년 신조차 고장관리 세부현황'!$BC:$BC,"완료",'2023년 신조차 고장관리 세부현황'!$CY:$CY,"C/I")</f>
        <v>0</v>
      </c>
      <c r="AS309"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분석_15일'!$F309,'2023년 신조차 고장관리 세부현황'!$BC:$BC,"완료",'2023년 신조차 고장관리 세부현황'!$CY:$CY,"C/I")</f>
        <v>0</v>
      </c>
      <c r="AT309"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분석_15일'!$F309,'2023년 신조차 고장관리 세부현황'!$BC:$BC,"완료",'2023년 신조차 고장관리 세부현황'!$CY:$CY,"C/I")</f>
        <v>0</v>
      </c>
      <c r="AU309"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분석_15일'!$F309,'2023년 신조차 고장관리 세부현황'!$BC:$BC,"완료",'2023년 신조차 고장관리 세부현황'!$CY:$CY,"C/I")</f>
        <v>0</v>
      </c>
      <c r="AV309"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분석_15일'!$F309,'2023년 신조차 고장관리 세부현황'!$BC:$BC,"완료",'2023년 신조차 고장관리 세부현황'!$CY:$CY,"C/I")</f>
        <v>0</v>
      </c>
      <c r="AW309"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분석_15일'!$F309,'2023년 신조차 고장관리 세부현황'!$BC:$BC,"완료",'2023년 신조차 고장관리 세부현황'!$CY:$CY,"C/I")</f>
        <v>0</v>
      </c>
      <c r="AX309"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분석_15일'!$F309,'2023년 신조차 고장관리 세부현황'!$BC:$BC,"완료",'2023년 신조차 고장관리 세부현황'!$CY:$CY,"C/I")</f>
        <v>0</v>
      </c>
      <c r="AY309"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분석_15일'!$F309,'2023년 신조차 고장관리 세부현황'!$BC:$BC,"완료",'2023년 신조차 고장관리 세부현황'!$CY:$CY,"C/I")</f>
        <v>0</v>
      </c>
      <c r="AZ309"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분석_15일'!$F309,'2023년 신조차 고장관리 세부현황'!$BC:$BC,"완료",'2023년 신조차 고장관리 세부현황'!$CY:$CY,"C/I")</f>
        <v>0</v>
      </c>
      <c r="BA309"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분석_15일'!$F309,'2023년 신조차 고장관리 세부현황'!$BC:$BC,"완료",'2023년 신조차 고장관리 세부현황'!$CY:$CY,"C/I")</f>
        <v>0</v>
      </c>
      <c r="BB309"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분석_15일'!$F309,'2023년 신조차 고장관리 세부현황'!$BC:$BC,"완료",'2023년 신조차 고장관리 세부현황'!$CY:$CY,"C/I")</f>
        <v>0</v>
      </c>
      <c r="BC309"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분석_15일'!$F309,'2023년 신조차 고장관리 세부현황'!$BC:$BC,"완료",'2023년 신조차 고장관리 세부현황'!$CY:$CY,"C/I")</f>
        <v>0</v>
      </c>
      <c r="BD309"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분석_15일'!$F309,'2023년 신조차 고장관리 세부현황'!$BC:$BC,"완료",'2023년 신조차 고장관리 세부현황'!$CY:$CY,"C/I")</f>
        <v>0</v>
      </c>
      <c r="BE309"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분석_15일'!$F309,'2023년 신조차 고장관리 세부현황'!$BC:$BC,"완료",'2023년 신조차 고장관리 세부현황'!$CY:$CY,"C/I")</f>
        <v>0</v>
      </c>
      <c r="BF309"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분석_15일'!$F309,'2023년 신조차 고장관리 세부현황'!$BC:$BC,"완료",'2023년 신조차 고장관리 세부현황'!$CY:$CY,"C/I")</f>
        <v>0</v>
      </c>
      <c r="BG309"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분석_15일'!$F309,'2023년 신조차 고장관리 세부현황'!$BC:$BC,"완료",'2023년 신조차 고장관리 세부현황'!$CY:$CY,"C/I")</f>
        <v>0</v>
      </c>
      <c r="BH309"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분석_15일'!$F309,'2023년 신조차 고장관리 세부현황'!$BC:$BC,"완료",'2023년 신조차 고장관리 세부현황'!$CY:$CY,"C/I")</f>
        <v>0</v>
      </c>
      <c r="BI309"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분석_15일'!$F309,'2023년 신조차 고장관리 세부현황'!$BC:$BC,"완료",'2023년 신조차 고장관리 세부현황'!$CY:$CY,"C/I")</f>
        <v>0</v>
      </c>
      <c r="BJ309"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분석_15일'!$F309,'2023년 신조차 고장관리 세부현황'!$BC:$BC,"완료",'2023년 신조차 고장관리 세부현황'!$CY:$CY,"C/I")</f>
        <v>0</v>
      </c>
      <c r="BK309"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분석_15일'!$F309,'2023년 신조차 고장관리 세부현황'!$BC:$BC,"완료",'2023년 신조차 고장관리 세부현황'!$CY:$CY,"C/I")</f>
        <v>0</v>
      </c>
      <c r="BL309"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분석_15일'!$F309,'2023년 신조차 고장관리 세부현황'!$BC:$BC,"완료",'2023년 신조차 고장관리 세부현황'!$CY:$CY,"C/I")</f>
        <v>0</v>
      </c>
      <c r="BM309"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분석_15일'!$F309,'2023년 신조차 고장관리 세부현황'!$BC:$BC,"완료",'2023년 신조차 고장관리 세부현황'!$CY:$CY,"C/I")</f>
        <v>0</v>
      </c>
      <c r="BN309"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분석_15일'!$F309,'2023년 신조차 고장관리 세부현황'!$BC:$BC,"완료",'2023년 신조차 고장관리 세부현황'!$CY:$CY,"C/I")</f>
        <v>0</v>
      </c>
      <c r="BO309"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분석_15일'!$F309,'2023년 신조차 고장관리 세부현황'!$BC:$BC,"완료",'2023년 신조차 고장관리 세부현황'!$CY:$CY,"C/I")</f>
        <v>0</v>
      </c>
      <c r="BP309"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분석_15일'!$F309,'2023년 신조차 고장관리 세부현황'!$BC:$BC,"완료",'2023년 신조차 고장관리 세부현황'!$CY:$CY,"C/I")</f>
        <v>0</v>
      </c>
      <c r="BQ309"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분석_15일'!$F309,'2023년 신조차 고장관리 세부현황'!$BC:$BC,"완료",'2023년 신조차 고장관리 세부현황'!$CY:$CY,"C/I")</f>
        <v>0</v>
      </c>
      <c r="BR309"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분석_15일'!$F309,'2023년 신조차 고장관리 세부현황'!$BC:$BC,"완료",'2023년 신조차 고장관리 세부현황'!$CY:$CY,"C/I")</f>
        <v>0</v>
      </c>
      <c r="BS309"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분석_15일'!$F309,'2023년 신조차 고장관리 세부현황'!$BC:$BC,"완료",'2023년 신조차 고장관리 세부현황'!$CY:$CY,"C/I")</f>
        <v>0</v>
      </c>
      <c r="BT309"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분석_15일'!$F309,'2023년 신조차 고장관리 세부현황'!$BC:$BC,"완료",'2023년 신조차 고장관리 세부현황'!$CY:$CY,"C/I")</f>
        <v>0</v>
      </c>
      <c r="BU309"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분석_15일'!$F309,'2023년 신조차 고장관리 세부현황'!$BC:$BC,"완료",'2023년 신조차 고장관리 세부현황'!$CY:$CY,"C/I")</f>
        <v>0</v>
      </c>
      <c r="BV309"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분석_15일'!$F309,'2023년 신조차 고장관리 세부현황'!$BC:$BC,"완료",'2023년 신조차 고장관리 세부현황'!$CY:$CY,"C/I")</f>
        <v>0</v>
      </c>
      <c r="BW309"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분석_15일'!$F309,'2023년 신조차 고장관리 세부현황'!$BC:$BC,"완료",'2023년 신조차 고장관리 세부현황'!$CY:$CY,"C/I")</f>
        <v>0</v>
      </c>
      <c r="BX309"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분석_15일'!$F309,'2023년 신조차 고장관리 세부현황'!$BC:$BC,"완료",'2023년 신조차 고장관리 세부현황'!$CY:$CY,"C/I")</f>
        <v>0</v>
      </c>
      <c r="BY309"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분석_15일'!$F309,'2023년 신조차 고장관리 세부현황'!$BC:$BC,"완료",'2023년 신조차 고장관리 세부현황'!$CY:$CY,"C/I")</f>
        <v>0</v>
      </c>
      <c r="BZ309"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분석_15일'!$F309,'2023년 신조차 고장관리 세부현황'!$BC:$BC,"완료",'2023년 신조차 고장관리 세부현황'!$CY:$CY,"C/I")</f>
        <v>0</v>
      </c>
      <c r="CA309"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분석_15일'!$F309,'2023년 신조차 고장관리 세부현황'!$BC:$BC,"완료",'2023년 신조차 고장관리 세부현황'!$CY:$CY,"C/I")</f>
        <v>0</v>
      </c>
      <c r="CB309"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분석_15일'!$F309,'2023년 신조차 고장관리 세부현황'!$BC:$BC,"완료",'2023년 신조차 고장관리 세부현황'!$CY:$CY,"C/I")</f>
        <v>0</v>
      </c>
      <c r="CC309"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분석_15일'!$F309,'2023년 신조차 고장관리 세부현황'!$BC:$BC,"완료",'2023년 신조차 고장관리 세부현황'!$CY:$CY,"C/I")</f>
        <v>0</v>
      </c>
      <c r="CD309"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분석_15일'!$F309,'2023년 신조차 고장관리 세부현황'!$BC:$BC,"완료",'2023년 신조차 고장관리 세부현황'!$CY:$CY,"C/I")</f>
        <v>0</v>
      </c>
      <c r="CE309"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분석_15일'!$F309,'2023년 신조차 고장관리 세부현황'!$BC:$BC,"완료",'2023년 신조차 고장관리 세부현황'!$CY:$CY,"C/I")</f>
        <v>0</v>
      </c>
      <c r="CF309"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분석_15일'!$F309,'2023년 신조차 고장관리 세부현황'!$BC:$BC,"완료",'2023년 신조차 고장관리 세부현황'!$CY:$CY,"C/I")</f>
        <v>0</v>
      </c>
      <c r="CG309"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분석_15일'!$F309,'2023년 신조차 고장관리 세부현황'!$BC:$BC,"완료",'2023년 신조차 고장관리 세부현황'!$CY:$CY,"C/I")</f>
        <v>0</v>
      </c>
      <c r="CH309"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분석_15일'!$F309,'2023년 신조차 고장관리 세부현황'!$BC:$BC,"완료",'2023년 신조차 고장관리 세부현황'!$CY:$CY,"C/I")</f>
        <v>0</v>
      </c>
      <c r="CI309"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분석_15일'!$F309,'2023년 신조차 고장관리 세부현황'!$BC:$BC,"완료",'2023년 신조차 고장관리 세부현황'!$CY:$CY,"C/I")</f>
        <v>0</v>
      </c>
      <c r="CJ309"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분석_15일'!$F309,'2023년 신조차 고장관리 세부현황'!$BC:$BC,"완료",'2023년 신조차 고장관리 세부현황'!$CY:$CY,"C/I")</f>
        <v>0</v>
      </c>
      <c r="CK309"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분석_15일'!$F309,'2023년 신조차 고장관리 세부현황'!$BC:$BC,"완료",'2023년 신조차 고장관리 세부현황'!$CY:$CY,"C/I")</f>
        <v>0</v>
      </c>
      <c r="CL309"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분석_15일'!$F309,'2023년 신조차 고장관리 세부현황'!$BC:$BC,"완료",'2023년 신조차 고장관리 세부현황'!$CY:$CY,"C/I")</f>
        <v>0</v>
      </c>
      <c r="CM309"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분석_15일'!$F309,'2023년 신조차 고장관리 세부현황'!$BC:$BC,"완료",'2023년 신조차 고장관리 세부현황'!$CY:$CY,"C/I")</f>
        <v>0</v>
      </c>
      <c r="CN309"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분석_15일'!$F309,'2023년 신조차 고장관리 세부현황'!$BC:$BC,"완료",'2023년 신조차 고장관리 세부현황'!$CY:$CY,"C/I")</f>
        <v>0</v>
      </c>
      <c r="CO309"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분석_15일'!$F309,'2023년 신조차 고장관리 세부현황'!$BC:$BC,"완료",'2023년 신조차 고장관리 세부현황'!$CY:$CY,"C/I")</f>
        <v>0</v>
      </c>
      <c r="CP309"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분석_15일'!$F309,'2023년 신조차 고장관리 세부현황'!$BC:$BC,"완료",'2023년 신조차 고장관리 세부현황'!$CY:$CY,"C/I")</f>
        <v>0</v>
      </c>
      <c r="CQ309"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분석_15일'!$F309,'2023년 신조차 고장관리 세부현황'!$BC:$BC,"완료",'2023년 신조차 고장관리 세부현황'!$CY:$CY,"C/I")</f>
        <v>0</v>
      </c>
      <c r="CR309"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분석_15일'!$F309,'2023년 신조차 고장관리 세부현황'!$BC:$BC,"완료",'2023년 신조차 고장관리 세부현황'!$CY:$CY,"C/I")</f>
        <v>0</v>
      </c>
      <c r="CS309"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분석_15일'!$F309,'2023년 신조차 고장관리 세부현황'!$BC:$BC,"완료",'2023년 신조차 고장관리 세부현황'!$CY:$CY,"C/I")</f>
        <v>0</v>
      </c>
      <c r="CT309"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분석_15일'!$F309,'2023년 신조차 고장관리 세부현황'!$BC:$BC,"완료",'2023년 신조차 고장관리 세부현황'!$CY:$CY,"C/I")</f>
        <v>0</v>
      </c>
      <c r="CU309"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분석_15일'!$F309,'2023년 신조차 고장관리 세부현황'!$BC:$BC,"완료",'2023년 신조차 고장관리 세부현황'!$CY:$CY,"C/I")</f>
        <v>0</v>
      </c>
      <c r="CV309"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분석_15일'!$F309,'2023년 신조차 고장관리 세부현황'!$BC:$BC,"완료",'2023년 신조차 고장관리 세부현황'!$CY:$CY,"C/I")</f>
        <v>0</v>
      </c>
      <c r="CW309"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분석_15일'!$F309,'2023년 신조차 고장관리 세부현황'!$BC:$BC,"완료",'2023년 신조차 고장관리 세부현황'!$CY:$CY,"C/I")</f>
        <v>0</v>
      </c>
      <c r="CX309">
        <f>SUM(G309:CW309)</f>
        <v>0</v>
      </c>
    </row>
    <row r="310" spans="6:103" x14ac:dyDescent="0.4">
      <c r="F310" s="85" t="s">
        <v>243</v>
      </c>
      <c r="G310" s="85">
        <f>G308+G309</f>
        <v>0</v>
      </c>
      <c r="H310" s="85">
        <f t="shared" ref="H310" si="317">H308+H309</f>
        <v>0</v>
      </c>
      <c r="I310" s="85">
        <f t="shared" ref="I310:BT310" si="318">I308+I309</f>
        <v>0</v>
      </c>
      <c r="J310" s="85">
        <f t="shared" si="318"/>
        <v>0</v>
      </c>
      <c r="K310" s="85">
        <f t="shared" si="318"/>
        <v>0</v>
      </c>
      <c r="L310" s="85">
        <f t="shared" si="318"/>
        <v>0</v>
      </c>
      <c r="M310" s="85">
        <f t="shared" si="318"/>
        <v>0</v>
      </c>
      <c r="N310" s="85">
        <f t="shared" si="318"/>
        <v>0</v>
      </c>
      <c r="O310" s="85">
        <f t="shared" si="318"/>
        <v>0</v>
      </c>
      <c r="P310" s="85">
        <f t="shared" si="318"/>
        <v>0</v>
      </c>
      <c r="Q310" s="85">
        <f t="shared" si="318"/>
        <v>0</v>
      </c>
      <c r="R310" s="85">
        <f t="shared" si="318"/>
        <v>0</v>
      </c>
      <c r="S310" s="85">
        <f t="shared" si="318"/>
        <v>0</v>
      </c>
      <c r="T310" s="85">
        <f t="shared" si="318"/>
        <v>0</v>
      </c>
      <c r="U310" s="85">
        <f t="shared" si="318"/>
        <v>0</v>
      </c>
      <c r="V310" s="85">
        <f t="shared" si="318"/>
        <v>0</v>
      </c>
      <c r="W310" s="85">
        <f t="shared" si="318"/>
        <v>0</v>
      </c>
      <c r="X310" s="85">
        <f t="shared" si="318"/>
        <v>0</v>
      </c>
      <c r="Y310" s="85">
        <f t="shared" si="318"/>
        <v>0</v>
      </c>
      <c r="Z310" s="85">
        <f t="shared" si="318"/>
        <v>0</v>
      </c>
      <c r="AA310" s="85">
        <f t="shared" si="318"/>
        <v>0</v>
      </c>
      <c r="AB310" s="85">
        <f t="shared" si="318"/>
        <v>0</v>
      </c>
      <c r="AC310" s="85">
        <f t="shared" si="318"/>
        <v>0</v>
      </c>
      <c r="AD310" s="85">
        <f t="shared" si="318"/>
        <v>0</v>
      </c>
      <c r="AE310" s="85">
        <f t="shared" si="318"/>
        <v>0</v>
      </c>
      <c r="AF310" s="85">
        <f t="shared" si="318"/>
        <v>0</v>
      </c>
      <c r="AG310" s="85">
        <f t="shared" si="318"/>
        <v>0</v>
      </c>
      <c r="AH310" s="85">
        <f t="shared" si="318"/>
        <v>0</v>
      </c>
      <c r="AI310" s="85">
        <f t="shared" si="318"/>
        <v>0</v>
      </c>
      <c r="AJ310" s="85">
        <f t="shared" si="318"/>
        <v>0</v>
      </c>
      <c r="AK310" s="85">
        <f t="shared" si="318"/>
        <v>0</v>
      </c>
      <c r="AL310" s="85">
        <f t="shared" si="318"/>
        <v>0</v>
      </c>
      <c r="AM310" s="85">
        <f t="shared" si="318"/>
        <v>0</v>
      </c>
      <c r="AN310" s="85">
        <f t="shared" si="318"/>
        <v>0</v>
      </c>
      <c r="AO310" s="85">
        <f t="shared" si="318"/>
        <v>0</v>
      </c>
      <c r="AP310" s="85">
        <f t="shared" si="318"/>
        <v>0</v>
      </c>
      <c r="AQ310" s="85">
        <f t="shared" si="318"/>
        <v>0</v>
      </c>
      <c r="AR310" s="85">
        <f t="shared" si="318"/>
        <v>0</v>
      </c>
      <c r="AS310" s="85">
        <f t="shared" si="318"/>
        <v>0</v>
      </c>
      <c r="AT310" s="85">
        <f t="shared" si="318"/>
        <v>0</v>
      </c>
      <c r="AU310" s="85">
        <f t="shared" si="318"/>
        <v>0</v>
      </c>
      <c r="AV310" s="85">
        <f t="shared" si="318"/>
        <v>0</v>
      </c>
      <c r="AW310" s="85">
        <f t="shared" si="318"/>
        <v>0</v>
      </c>
      <c r="AX310" s="85">
        <f t="shared" si="318"/>
        <v>0</v>
      </c>
      <c r="AY310" s="85">
        <f t="shared" si="318"/>
        <v>0</v>
      </c>
      <c r="AZ310" s="85">
        <f t="shared" si="318"/>
        <v>0</v>
      </c>
      <c r="BA310" s="85">
        <f t="shared" si="318"/>
        <v>0</v>
      </c>
      <c r="BB310" s="85">
        <f t="shared" si="318"/>
        <v>0</v>
      </c>
      <c r="BC310" s="85">
        <f t="shared" si="318"/>
        <v>0</v>
      </c>
      <c r="BD310" s="85">
        <f t="shared" si="318"/>
        <v>0</v>
      </c>
      <c r="BE310" s="85">
        <f t="shared" si="318"/>
        <v>0</v>
      </c>
      <c r="BF310" s="85">
        <f t="shared" si="318"/>
        <v>0</v>
      </c>
      <c r="BG310" s="85">
        <f t="shared" si="318"/>
        <v>0</v>
      </c>
      <c r="BH310" s="85">
        <f t="shared" si="318"/>
        <v>0</v>
      </c>
      <c r="BI310" s="85">
        <f t="shared" si="318"/>
        <v>0</v>
      </c>
      <c r="BJ310" s="85">
        <f t="shared" si="318"/>
        <v>0</v>
      </c>
      <c r="BK310" s="85">
        <f t="shared" si="318"/>
        <v>0</v>
      </c>
      <c r="BL310" s="85">
        <f t="shared" si="318"/>
        <v>0</v>
      </c>
      <c r="BM310" s="85">
        <f t="shared" si="318"/>
        <v>0</v>
      </c>
      <c r="BN310" s="85">
        <f t="shared" si="318"/>
        <v>0</v>
      </c>
      <c r="BO310" s="85">
        <f t="shared" si="318"/>
        <v>0</v>
      </c>
      <c r="BP310" s="85">
        <f t="shared" si="318"/>
        <v>0</v>
      </c>
      <c r="BQ310" s="85">
        <f t="shared" si="318"/>
        <v>0</v>
      </c>
      <c r="BR310" s="85">
        <f t="shared" si="318"/>
        <v>0</v>
      </c>
      <c r="BS310" s="85">
        <f t="shared" si="318"/>
        <v>0</v>
      </c>
      <c r="BT310" s="85">
        <f t="shared" si="318"/>
        <v>0</v>
      </c>
      <c r="BU310" s="85">
        <f t="shared" ref="BU310:CW310" si="319">BU308+BU309</f>
        <v>0</v>
      </c>
      <c r="BV310" s="85">
        <f t="shared" si="319"/>
        <v>0</v>
      </c>
      <c r="BW310" s="85">
        <f t="shared" si="319"/>
        <v>0</v>
      </c>
      <c r="BX310" s="85">
        <f t="shared" si="319"/>
        <v>0</v>
      </c>
      <c r="BY310" s="85">
        <f t="shared" si="319"/>
        <v>0</v>
      </c>
      <c r="BZ310" s="85">
        <f t="shared" si="319"/>
        <v>0</v>
      </c>
      <c r="CA310" s="85">
        <f t="shared" si="319"/>
        <v>0</v>
      </c>
      <c r="CB310" s="85">
        <f t="shared" si="319"/>
        <v>0</v>
      </c>
      <c r="CC310" s="85">
        <f t="shared" si="319"/>
        <v>0</v>
      </c>
      <c r="CD310" s="85">
        <f t="shared" si="319"/>
        <v>0</v>
      </c>
      <c r="CE310" s="85">
        <f t="shared" si="319"/>
        <v>0</v>
      </c>
      <c r="CF310" s="85">
        <f t="shared" si="319"/>
        <v>0</v>
      </c>
      <c r="CG310" s="85">
        <f t="shared" si="319"/>
        <v>0</v>
      </c>
      <c r="CH310" s="85">
        <f t="shared" si="319"/>
        <v>0</v>
      </c>
      <c r="CI310" s="85">
        <f t="shared" si="319"/>
        <v>0</v>
      </c>
      <c r="CJ310" s="85">
        <f t="shared" si="319"/>
        <v>0</v>
      </c>
      <c r="CK310" s="85">
        <f t="shared" si="319"/>
        <v>0</v>
      </c>
      <c r="CL310" s="85">
        <f t="shared" si="319"/>
        <v>0</v>
      </c>
      <c r="CM310" s="85">
        <f t="shared" si="319"/>
        <v>0</v>
      </c>
      <c r="CN310" s="85">
        <f t="shared" si="319"/>
        <v>0</v>
      </c>
      <c r="CO310" s="85">
        <f t="shared" si="319"/>
        <v>0</v>
      </c>
      <c r="CP310" s="85">
        <f t="shared" si="319"/>
        <v>0</v>
      </c>
      <c r="CQ310" s="85">
        <f t="shared" si="319"/>
        <v>0</v>
      </c>
      <c r="CR310" s="85">
        <f t="shared" si="319"/>
        <v>0</v>
      </c>
      <c r="CS310" s="85">
        <f t="shared" si="319"/>
        <v>0</v>
      </c>
      <c r="CT310" s="85">
        <f t="shared" si="319"/>
        <v>0</v>
      </c>
      <c r="CU310" s="85">
        <f t="shared" si="319"/>
        <v>0</v>
      </c>
      <c r="CV310" s="85">
        <f t="shared" si="319"/>
        <v>0</v>
      </c>
      <c r="CW310" s="85">
        <f t="shared" si="319"/>
        <v>0</v>
      </c>
      <c r="CX310">
        <f>SUM(G310:CW310)</f>
        <v>0</v>
      </c>
    </row>
    <row r="311" spans="6:103" x14ac:dyDescent="0.4">
      <c r="F311" s="86" t="s">
        <v>222</v>
      </c>
      <c r="G311" s="85">
        <f>COUNTIFS('2023년 신조차 고장관리 세부현황'!$K:$K,"128R",'2023년 신조차 고장관리 세부현황'!$P:$P,"&gt;="&amp;$G$17,'2023년 신조차 고장관리 세부현황'!$P:$P,"&lt;"&amp;'트랜드 분석_15일'!G$18,'2023년 신조차 고장관리 세부현황'!$S:$S,'트랜드 분석_15일'!$F311,'2023년 신조차 고장관리 세부현황'!$BC:$BC,"완료",'2023년 신조차 고장관리 세부현황'!$CY:$CY,"C/I")</f>
        <v>0</v>
      </c>
      <c r="H311"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분석_15일'!$F311,'2023년 신조차 고장관리 세부현황'!$BC:$BC,"완료",'2023년 신조차 고장관리 세부현황'!$CY:$CY,"C/I")</f>
        <v>0</v>
      </c>
      <c r="I311"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분석_15일'!$F311,'2023년 신조차 고장관리 세부현황'!$BC:$BC,"완료",'2023년 신조차 고장관리 세부현황'!$CY:$CY,"C/I")</f>
        <v>0</v>
      </c>
      <c r="J311"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분석_15일'!$F311,'2023년 신조차 고장관리 세부현황'!$BC:$BC,"완료",'2023년 신조차 고장관리 세부현황'!$CY:$CY,"C/I")</f>
        <v>0</v>
      </c>
      <c r="K311"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분석_15일'!$F311,'2023년 신조차 고장관리 세부현황'!$BC:$BC,"완료",'2023년 신조차 고장관리 세부현황'!$CY:$CY,"C/I")</f>
        <v>0</v>
      </c>
      <c r="L311"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분석_15일'!$F311,'2023년 신조차 고장관리 세부현황'!$BC:$BC,"완료",'2023년 신조차 고장관리 세부현황'!$CY:$CY,"C/I")</f>
        <v>0</v>
      </c>
      <c r="M311"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분석_15일'!$F311,'2023년 신조차 고장관리 세부현황'!$BC:$BC,"완료",'2023년 신조차 고장관리 세부현황'!$CY:$CY,"C/I")</f>
        <v>0</v>
      </c>
      <c r="N311"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분석_15일'!$F311,'2023년 신조차 고장관리 세부현황'!$BC:$BC,"완료",'2023년 신조차 고장관리 세부현황'!$CY:$CY,"C/I")</f>
        <v>0</v>
      </c>
      <c r="O311"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분석_15일'!$F311,'2023년 신조차 고장관리 세부현황'!$BC:$BC,"완료",'2023년 신조차 고장관리 세부현황'!$CY:$CY,"C/I")</f>
        <v>0</v>
      </c>
      <c r="P311"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분석_15일'!$F311,'2023년 신조차 고장관리 세부현황'!$BC:$BC,"완료",'2023년 신조차 고장관리 세부현황'!$CY:$CY,"C/I")</f>
        <v>0</v>
      </c>
      <c r="Q311"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분석_15일'!$F311,'2023년 신조차 고장관리 세부현황'!$BC:$BC,"완료",'2023년 신조차 고장관리 세부현황'!$CY:$CY,"C/I")</f>
        <v>0</v>
      </c>
      <c r="R311"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분석_15일'!$F311,'2023년 신조차 고장관리 세부현황'!$BC:$BC,"완료",'2023년 신조차 고장관리 세부현황'!$CY:$CY,"C/I")</f>
        <v>0</v>
      </c>
      <c r="S311"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분석_15일'!$F311,'2023년 신조차 고장관리 세부현황'!$BC:$BC,"완료",'2023년 신조차 고장관리 세부현황'!$CY:$CY,"C/I")</f>
        <v>0</v>
      </c>
      <c r="T311"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분석_15일'!$F311,'2023년 신조차 고장관리 세부현황'!$BC:$BC,"완료",'2023년 신조차 고장관리 세부현황'!$CY:$CY,"C/I")</f>
        <v>0</v>
      </c>
      <c r="U311"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분석_15일'!$F311,'2023년 신조차 고장관리 세부현황'!$BC:$BC,"완료",'2023년 신조차 고장관리 세부현황'!$CY:$CY,"C/I")</f>
        <v>0</v>
      </c>
      <c r="V311"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분석_15일'!$F311,'2023년 신조차 고장관리 세부현황'!$BC:$BC,"완료",'2023년 신조차 고장관리 세부현황'!$CY:$CY,"C/I")</f>
        <v>0</v>
      </c>
      <c r="W311"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분석_15일'!$F311,'2023년 신조차 고장관리 세부현황'!$BC:$BC,"완료",'2023년 신조차 고장관리 세부현황'!$CY:$CY,"C/I")</f>
        <v>0</v>
      </c>
      <c r="X311"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분석_15일'!$F311,'2023년 신조차 고장관리 세부현황'!$BC:$BC,"완료",'2023년 신조차 고장관리 세부현황'!$CY:$CY,"C/I")</f>
        <v>0</v>
      </c>
      <c r="Y311"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분석_15일'!$F311,'2023년 신조차 고장관리 세부현황'!$BC:$BC,"완료",'2023년 신조차 고장관리 세부현황'!$CY:$CY,"C/I")</f>
        <v>0</v>
      </c>
      <c r="Z311"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분석_15일'!$F311,'2023년 신조차 고장관리 세부현황'!$BC:$BC,"완료",'2023년 신조차 고장관리 세부현황'!$CY:$CY,"C/I")</f>
        <v>0</v>
      </c>
      <c r="AA311"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분석_15일'!$F311,'2023년 신조차 고장관리 세부현황'!$BC:$BC,"완료",'2023년 신조차 고장관리 세부현황'!$CY:$CY,"C/I")</f>
        <v>0</v>
      </c>
      <c r="AB311"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분석_15일'!$F311,'2023년 신조차 고장관리 세부현황'!$BC:$BC,"완료",'2023년 신조차 고장관리 세부현황'!$CY:$CY,"C/I")</f>
        <v>0</v>
      </c>
      <c r="AC311"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분석_15일'!$F311,'2023년 신조차 고장관리 세부현황'!$BC:$BC,"완료",'2023년 신조차 고장관리 세부현황'!$CY:$CY,"C/I")</f>
        <v>0</v>
      </c>
      <c r="AD311"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분석_15일'!$F311,'2023년 신조차 고장관리 세부현황'!$BC:$BC,"완료",'2023년 신조차 고장관리 세부현황'!$CY:$CY,"C/I")</f>
        <v>0</v>
      </c>
      <c r="AE311"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분석_15일'!$F311,'2023년 신조차 고장관리 세부현황'!$BC:$BC,"완료",'2023년 신조차 고장관리 세부현황'!$CY:$CY,"C/I")</f>
        <v>0</v>
      </c>
      <c r="AF311"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분석_15일'!$F311,'2023년 신조차 고장관리 세부현황'!$BC:$BC,"완료",'2023년 신조차 고장관리 세부현황'!$CY:$CY,"C/I")</f>
        <v>0</v>
      </c>
      <c r="AG311"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분석_15일'!$F311,'2023년 신조차 고장관리 세부현황'!$BC:$BC,"완료",'2023년 신조차 고장관리 세부현황'!$CY:$CY,"C/I")</f>
        <v>0</v>
      </c>
      <c r="AH311"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분석_15일'!$F311,'2023년 신조차 고장관리 세부현황'!$BC:$BC,"완료",'2023년 신조차 고장관리 세부현황'!$CY:$CY,"C/I")</f>
        <v>0</v>
      </c>
      <c r="AI311"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분석_15일'!$F311,'2023년 신조차 고장관리 세부현황'!$BC:$BC,"완료",'2023년 신조차 고장관리 세부현황'!$CY:$CY,"C/I")</f>
        <v>0</v>
      </c>
      <c r="AJ311"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분석_15일'!$F311,'2023년 신조차 고장관리 세부현황'!$BC:$BC,"완료",'2023년 신조차 고장관리 세부현황'!$CY:$CY,"C/I")</f>
        <v>0</v>
      </c>
      <c r="AK311"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분석_15일'!$F311,'2023년 신조차 고장관리 세부현황'!$BC:$BC,"완료",'2023년 신조차 고장관리 세부현황'!$CY:$CY,"C/I")</f>
        <v>0</v>
      </c>
      <c r="AL311"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분석_15일'!$F311,'2023년 신조차 고장관리 세부현황'!$BC:$BC,"완료",'2023년 신조차 고장관리 세부현황'!$CY:$CY,"C/I")</f>
        <v>0</v>
      </c>
      <c r="AM311"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분석_15일'!$F311,'2023년 신조차 고장관리 세부현황'!$BC:$BC,"완료",'2023년 신조차 고장관리 세부현황'!$CY:$CY,"C/I")</f>
        <v>0</v>
      </c>
      <c r="AN311"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분석_15일'!$F311,'2023년 신조차 고장관리 세부현황'!$BC:$BC,"완료",'2023년 신조차 고장관리 세부현황'!$CY:$CY,"C/I")</f>
        <v>0</v>
      </c>
      <c r="AO311"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분석_15일'!$F311,'2023년 신조차 고장관리 세부현황'!$BC:$BC,"완료",'2023년 신조차 고장관리 세부현황'!$CY:$CY,"C/I")</f>
        <v>0</v>
      </c>
      <c r="AP311"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분석_15일'!$F311,'2023년 신조차 고장관리 세부현황'!$BC:$BC,"완료",'2023년 신조차 고장관리 세부현황'!$CY:$CY,"C/I")</f>
        <v>0</v>
      </c>
      <c r="AQ311"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분석_15일'!$F311,'2023년 신조차 고장관리 세부현황'!$BC:$BC,"완료",'2023년 신조차 고장관리 세부현황'!$CY:$CY,"C/I")</f>
        <v>0</v>
      </c>
      <c r="AR311"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분석_15일'!$F311,'2023년 신조차 고장관리 세부현황'!$BC:$BC,"완료",'2023년 신조차 고장관리 세부현황'!$CY:$CY,"C/I")</f>
        <v>0</v>
      </c>
      <c r="AS311"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분석_15일'!$F311,'2023년 신조차 고장관리 세부현황'!$BC:$BC,"완료",'2023년 신조차 고장관리 세부현황'!$CY:$CY,"C/I")</f>
        <v>0</v>
      </c>
      <c r="AT311"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분석_15일'!$F311,'2023년 신조차 고장관리 세부현황'!$BC:$BC,"완료",'2023년 신조차 고장관리 세부현황'!$CY:$CY,"C/I")</f>
        <v>0</v>
      </c>
      <c r="AU311"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분석_15일'!$F311,'2023년 신조차 고장관리 세부현황'!$BC:$BC,"완료",'2023년 신조차 고장관리 세부현황'!$CY:$CY,"C/I")</f>
        <v>0</v>
      </c>
      <c r="AV311"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분석_15일'!$F311,'2023년 신조차 고장관리 세부현황'!$BC:$BC,"완료",'2023년 신조차 고장관리 세부현황'!$CY:$CY,"C/I")</f>
        <v>0</v>
      </c>
      <c r="AW311"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분석_15일'!$F311,'2023년 신조차 고장관리 세부현황'!$BC:$BC,"완료",'2023년 신조차 고장관리 세부현황'!$CY:$CY,"C/I")</f>
        <v>0</v>
      </c>
      <c r="AX311"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분석_15일'!$F311,'2023년 신조차 고장관리 세부현황'!$BC:$BC,"완료",'2023년 신조차 고장관리 세부현황'!$CY:$CY,"C/I")</f>
        <v>0</v>
      </c>
      <c r="AY311"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분석_15일'!$F311,'2023년 신조차 고장관리 세부현황'!$BC:$BC,"완료",'2023년 신조차 고장관리 세부현황'!$CY:$CY,"C/I")</f>
        <v>0</v>
      </c>
      <c r="AZ311"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분석_15일'!$F311,'2023년 신조차 고장관리 세부현황'!$BC:$BC,"완료",'2023년 신조차 고장관리 세부현황'!$CY:$CY,"C/I")</f>
        <v>0</v>
      </c>
      <c r="BA311"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분석_15일'!$F311,'2023년 신조차 고장관리 세부현황'!$BC:$BC,"완료",'2023년 신조차 고장관리 세부현황'!$CY:$CY,"C/I")</f>
        <v>0</v>
      </c>
      <c r="BB311"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분석_15일'!$F311,'2023년 신조차 고장관리 세부현황'!$BC:$BC,"완료",'2023년 신조차 고장관리 세부현황'!$CY:$CY,"C/I")</f>
        <v>0</v>
      </c>
      <c r="BC311"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분석_15일'!$F311,'2023년 신조차 고장관리 세부현황'!$BC:$BC,"완료",'2023년 신조차 고장관리 세부현황'!$CY:$CY,"C/I")</f>
        <v>0</v>
      </c>
      <c r="BD311"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분석_15일'!$F311,'2023년 신조차 고장관리 세부현황'!$BC:$BC,"완료",'2023년 신조차 고장관리 세부현황'!$CY:$CY,"C/I")</f>
        <v>0</v>
      </c>
      <c r="BE311"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분석_15일'!$F311,'2023년 신조차 고장관리 세부현황'!$BC:$BC,"완료",'2023년 신조차 고장관리 세부현황'!$CY:$CY,"C/I")</f>
        <v>0</v>
      </c>
      <c r="BF311"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분석_15일'!$F311,'2023년 신조차 고장관리 세부현황'!$BC:$BC,"완료",'2023년 신조차 고장관리 세부현황'!$CY:$CY,"C/I")</f>
        <v>0</v>
      </c>
      <c r="BG311"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분석_15일'!$F311,'2023년 신조차 고장관리 세부현황'!$BC:$BC,"완료",'2023년 신조차 고장관리 세부현황'!$CY:$CY,"C/I")</f>
        <v>0</v>
      </c>
      <c r="BH311"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분석_15일'!$F311,'2023년 신조차 고장관리 세부현황'!$BC:$BC,"완료",'2023년 신조차 고장관리 세부현황'!$CY:$CY,"C/I")</f>
        <v>0</v>
      </c>
      <c r="BI311"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분석_15일'!$F311,'2023년 신조차 고장관리 세부현황'!$BC:$BC,"완료",'2023년 신조차 고장관리 세부현황'!$CY:$CY,"C/I")</f>
        <v>0</v>
      </c>
      <c r="BJ311"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분석_15일'!$F311,'2023년 신조차 고장관리 세부현황'!$BC:$BC,"완료",'2023년 신조차 고장관리 세부현황'!$CY:$CY,"C/I")</f>
        <v>0</v>
      </c>
      <c r="BK311"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분석_15일'!$F311,'2023년 신조차 고장관리 세부현황'!$BC:$BC,"완료",'2023년 신조차 고장관리 세부현황'!$CY:$CY,"C/I")</f>
        <v>0</v>
      </c>
      <c r="BL311"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분석_15일'!$F311,'2023년 신조차 고장관리 세부현황'!$BC:$BC,"완료",'2023년 신조차 고장관리 세부현황'!$CY:$CY,"C/I")</f>
        <v>0</v>
      </c>
      <c r="BM311"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분석_15일'!$F311,'2023년 신조차 고장관리 세부현황'!$BC:$BC,"완료",'2023년 신조차 고장관리 세부현황'!$CY:$CY,"C/I")</f>
        <v>0</v>
      </c>
      <c r="BN311"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분석_15일'!$F311,'2023년 신조차 고장관리 세부현황'!$BC:$BC,"완료",'2023년 신조차 고장관리 세부현황'!$CY:$CY,"C/I")</f>
        <v>0</v>
      </c>
      <c r="BO311"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분석_15일'!$F311,'2023년 신조차 고장관리 세부현황'!$BC:$BC,"완료",'2023년 신조차 고장관리 세부현황'!$CY:$CY,"C/I")</f>
        <v>0</v>
      </c>
      <c r="BP311"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분석_15일'!$F311,'2023년 신조차 고장관리 세부현황'!$BC:$BC,"완료",'2023년 신조차 고장관리 세부현황'!$CY:$CY,"C/I")</f>
        <v>0</v>
      </c>
      <c r="BQ311"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분석_15일'!$F311,'2023년 신조차 고장관리 세부현황'!$BC:$BC,"완료",'2023년 신조차 고장관리 세부현황'!$CY:$CY,"C/I")</f>
        <v>0</v>
      </c>
      <c r="BR311"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분석_15일'!$F311,'2023년 신조차 고장관리 세부현황'!$BC:$BC,"완료",'2023년 신조차 고장관리 세부현황'!$CY:$CY,"C/I")</f>
        <v>0</v>
      </c>
      <c r="BS311"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분석_15일'!$F311,'2023년 신조차 고장관리 세부현황'!$BC:$BC,"완료",'2023년 신조차 고장관리 세부현황'!$CY:$CY,"C/I")</f>
        <v>0</v>
      </c>
      <c r="BT311"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분석_15일'!$F311,'2023년 신조차 고장관리 세부현황'!$BC:$BC,"완료",'2023년 신조차 고장관리 세부현황'!$CY:$CY,"C/I")</f>
        <v>0</v>
      </c>
      <c r="BU311"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분석_15일'!$F311,'2023년 신조차 고장관리 세부현황'!$BC:$BC,"완료",'2023년 신조차 고장관리 세부현황'!$CY:$CY,"C/I")</f>
        <v>0</v>
      </c>
      <c r="BV311"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분석_15일'!$F311,'2023년 신조차 고장관리 세부현황'!$BC:$BC,"완료",'2023년 신조차 고장관리 세부현황'!$CY:$CY,"C/I")</f>
        <v>0</v>
      </c>
      <c r="BW311"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분석_15일'!$F311,'2023년 신조차 고장관리 세부현황'!$BC:$BC,"완료",'2023년 신조차 고장관리 세부현황'!$CY:$CY,"C/I")</f>
        <v>0</v>
      </c>
      <c r="BX311"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분석_15일'!$F311,'2023년 신조차 고장관리 세부현황'!$BC:$BC,"완료",'2023년 신조차 고장관리 세부현황'!$CY:$CY,"C/I")</f>
        <v>0</v>
      </c>
      <c r="BY311"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분석_15일'!$F311,'2023년 신조차 고장관리 세부현황'!$BC:$BC,"완료",'2023년 신조차 고장관리 세부현황'!$CY:$CY,"C/I")</f>
        <v>0</v>
      </c>
      <c r="BZ311"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분석_15일'!$F311,'2023년 신조차 고장관리 세부현황'!$BC:$BC,"완료",'2023년 신조차 고장관리 세부현황'!$CY:$CY,"C/I")</f>
        <v>0</v>
      </c>
      <c r="CA311"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분석_15일'!$F311,'2023년 신조차 고장관리 세부현황'!$BC:$BC,"완료",'2023년 신조차 고장관리 세부현황'!$CY:$CY,"C/I")</f>
        <v>0</v>
      </c>
      <c r="CB311"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분석_15일'!$F311,'2023년 신조차 고장관리 세부현황'!$BC:$BC,"완료",'2023년 신조차 고장관리 세부현황'!$CY:$CY,"C/I")</f>
        <v>0</v>
      </c>
      <c r="CC311"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분석_15일'!$F311,'2023년 신조차 고장관리 세부현황'!$BC:$BC,"완료",'2023년 신조차 고장관리 세부현황'!$CY:$CY,"C/I")</f>
        <v>0</v>
      </c>
      <c r="CD311"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분석_15일'!$F311,'2023년 신조차 고장관리 세부현황'!$BC:$BC,"완료",'2023년 신조차 고장관리 세부현황'!$CY:$CY,"C/I")</f>
        <v>0</v>
      </c>
      <c r="CE311"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분석_15일'!$F311,'2023년 신조차 고장관리 세부현황'!$BC:$BC,"완료",'2023년 신조차 고장관리 세부현황'!$CY:$CY,"C/I")</f>
        <v>0</v>
      </c>
      <c r="CF311"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분석_15일'!$F311,'2023년 신조차 고장관리 세부현황'!$BC:$BC,"완료",'2023년 신조차 고장관리 세부현황'!$CY:$CY,"C/I")</f>
        <v>0</v>
      </c>
      <c r="CG311"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분석_15일'!$F311,'2023년 신조차 고장관리 세부현황'!$BC:$BC,"완료",'2023년 신조차 고장관리 세부현황'!$CY:$CY,"C/I")</f>
        <v>0</v>
      </c>
      <c r="CH311"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분석_15일'!$F311,'2023년 신조차 고장관리 세부현황'!$BC:$BC,"완료",'2023년 신조차 고장관리 세부현황'!$CY:$CY,"C/I")</f>
        <v>0</v>
      </c>
      <c r="CI311"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분석_15일'!$F311,'2023년 신조차 고장관리 세부현황'!$BC:$BC,"완료",'2023년 신조차 고장관리 세부현황'!$CY:$CY,"C/I")</f>
        <v>0</v>
      </c>
      <c r="CJ311"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분석_15일'!$F311,'2023년 신조차 고장관리 세부현황'!$BC:$BC,"완료",'2023년 신조차 고장관리 세부현황'!$CY:$CY,"C/I")</f>
        <v>0</v>
      </c>
      <c r="CK311"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분석_15일'!$F311,'2023년 신조차 고장관리 세부현황'!$BC:$BC,"완료",'2023년 신조차 고장관리 세부현황'!$CY:$CY,"C/I")</f>
        <v>0</v>
      </c>
      <c r="CL311"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분석_15일'!$F311,'2023년 신조차 고장관리 세부현황'!$BC:$BC,"완료",'2023년 신조차 고장관리 세부현황'!$CY:$CY,"C/I")</f>
        <v>0</v>
      </c>
      <c r="CM311"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분석_15일'!$F311,'2023년 신조차 고장관리 세부현황'!$BC:$BC,"완료",'2023년 신조차 고장관리 세부현황'!$CY:$CY,"C/I")</f>
        <v>0</v>
      </c>
      <c r="CN311"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분석_15일'!$F311,'2023년 신조차 고장관리 세부현황'!$BC:$BC,"완료",'2023년 신조차 고장관리 세부현황'!$CY:$CY,"C/I")</f>
        <v>0</v>
      </c>
      <c r="CO311"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분석_15일'!$F311,'2023년 신조차 고장관리 세부현황'!$BC:$BC,"완료",'2023년 신조차 고장관리 세부현황'!$CY:$CY,"C/I")</f>
        <v>0</v>
      </c>
      <c r="CP311"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분석_15일'!$F311,'2023년 신조차 고장관리 세부현황'!$BC:$BC,"완료",'2023년 신조차 고장관리 세부현황'!$CY:$CY,"C/I")</f>
        <v>0</v>
      </c>
      <c r="CQ311"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분석_15일'!$F311,'2023년 신조차 고장관리 세부현황'!$BC:$BC,"완료",'2023년 신조차 고장관리 세부현황'!$CY:$CY,"C/I")</f>
        <v>0</v>
      </c>
      <c r="CR311"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분석_15일'!$F311,'2023년 신조차 고장관리 세부현황'!$BC:$BC,"완료",'2023년 신조차 고장관리 세부현황'!$CY:$CY,"C/I")</f>
        <v>0</v>
      </c>
      <c r="CS311"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분석_15일'!$F311,'2023년 신조차 고장관리 세부현황'!$BC:$BC,"완료",'2023년 신조차 고장관리 세부현황'!$CY:$CY,"C/I")</f>
        <v>0</v>
      </c>
      <c r="CT311"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분석_15일'!$F311,'2023년 신조차 고장관리 세부현황'!$BC:$BC,"완료",'2023년 신조차 고장관리 세부현황'!$CY:$CY,"C/I")</f>
        <v>0</v>
      </c>
      <c r="CU311"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분석_15일'!$F311,'2023년 신조차 고장관리 세부현황'!$BC:$BC,"완료",'2023년 신조차 고장관리 세부현황'!$CY:$CY,"C/I")</f>
        <v>0</v>
      </c>
      <c r="CV311"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분석_15일'!$F311,'2023년 신조차 고장관리 세부현황'!$BC:$BC,"완료",'2023년 신조차 고장관리 세부현황'!$CY:$CY,"C/I")</f>
        <v>0</v>
      </c>
      <c r="CW311"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분석_15일'!$F311,'2023년 신조차 고장관리 세부현황'!$BC:$BC,"완료",'2023년 신조차 고장관리 세부현황'!$CY:$CY,"C/I")</f>
        <v>0</v>
      </c>
      <c r="CX311">
        <f>SUM(G311:CW311)</f>
        <v>0</v>
      </c>
    </row>
    <row r="312" spans="6:103" x14ac:dyDescent="0.4">
      <c r="F312" t="s">
        <v>351</v>
      </c>
    </row>
    <row r="313" spans="6:103" x14ac:dyDescent="0.4">
      <c r="F313" t="s">
        <v>345</v>
      </c>
      <c r="CS313" t="s">
        <v>395</v>
      </c>
    </row>
    <row r="314" spans="6:103" x14ac:dyDescent="0.4">
      <c r="F314" s="85" t="s">
        <v>242</v>
      </c>
      <c r="G314" s="85">
        <v>1</v>
      </c>
      <c r="H314" s="85">
        <v>2</v>
      </c>
      <c r="I314" s="85">
        <v>3</v>
      </c>
      <c r="J314" s="85">
        <v>4</v>
      </c>
      <c r="K314" s="85">
        <v>5</v>
      </c>
      <c r="L314" s="85">
        <v>6</v>
      </c>
      <c r="M314" s="85">
        <v>7</v>
      </c>
      <c r="N314" s="85">
        <v>8</v>
      </c>
      <c r="O314" s="85">
        <v>9</v>
      </c>
      <c r="P314" s="85">
        <v>10</v>
      </c>
      <c r="Q314" s="85">
        <v>11</v>
      </c>
      <c r="R314" s="85">
        <v>12</v>
      </c>
      <c r="S314" s="85">
        <v>13</v>
      </c>
      <c r="T314" s="85">
        <v>14</v>
      </c>
      <c r="U314" s="85">
        <v>15</v>
      </c>
      <c r="V314" s="85">
        <v>16</v>
      </c>
      <c r="W314" s="85">
        <v>17</v>
      </c>
      <c r="X314" s="85">
        <v>18</v>
      </c>
      <c r="Y314" s="85">
        <v>19</v>
      </c>
      <c r="Z314" s="85">
        <v>20</v>
      </c>
      <c r="AA314" s="85">
        <v>21</v>
      </c>
      <c r="AB314" s="85">
        <v>22</v>
      </c>
      <c r="AC314" s="85">
        <v>23</v>
      </c>
      <c r="AD314" s="85">
        <v>24</v>
      </c>
      <c r="AE314" s="85">
        <v>25</v>
      </c>
      <c r="AF314" s="85">
        <v>26</v>
      </c>
      <c r="AG314" s="85">
        <v>27</v>
      </c>
      <c r="AH314" s="85">
        <v>28</v>
      </c>
      <c r="AI314" s="85">
        <v>29</v>
      </c>
      <c r="AJ314" s="85">
        <v>30</v>
      </c>
      <c r="AK314" s="85">
        <v>31</v>
      </c>
      <c r="AL314" s="85">
        <v>32</v>
      </c>
      <c r="AM314" s="85">
        <v>33</v>
      </c>
      <c r="AN314" s="85">
        <v>34</v>
      </c>
      <c r="AO314" s="85">
        <v>35</v>
      </c>
      <c r="AP314" s="85">
        <v>36</v>
      </c>
      <c r="AQ314" s="85">
        <v>37</v>
      </c>
      <c r="AR314" s="85">
        <v>38</v>
      </c>
      <c r="AS314" s="85">
        <v>39</v>
      </c>
      <c r="AT314" s="85">
        <v>40</v>
      </c>
      <c r="AU314" s="85">
        <v>41</v>
      </c>
      <c r="AV314" s="85">
        <v>42</v>
      </c>
      <c r="AW314" s="85">
        <v>43</v>
      </c>
      <c r="AX314" s="85">
        <v>44</v>
      </c>
      <c r="AY314" s="85">
        <v>45</v>
      </c>
      <c r="AZ314" s="85">
        <v>46</v>
      </c>
      <c r="BA314" s="85">
        <v>47</v>
      </c>
      <c r="BB314" s="85">
        <v>48</v>
      </c>
      <c r="BC314" s="85">
        <v>49</v>
      </c>
      <c r="BD314" s="85">
        <v>50</v>
      </c>
      <c r="BE314" s="85">
        <v>51</v>
      </c>
      <c r="BF314" s="85">
        <v>52</v>
      </c>
      <c r="BG314" s="85">
        <v>53</v>
      </c>
      <c r="BH314" s="85">
        <v>54</v>
      </c>
      <c r="BI314" s="85">
        <v>55</v>
      </c>
      <c r="BJ314" s="85">
        <v>56</v>
      </c>
      <c r="BK314" s="85">
        <v>57</v>
      </c>
      <c r="BL314" s="85">
        <v>58</v>
      </c>
      <c r="BM314" s="85">
        <v>59</v>
      </c>
      <c r="BN314" s="85">
        <v>60</v>
      </c>
      <c r="BO314" s="85">
        <v>61</v>
      </c>
      <c r="BP314" s="85">
        <v>62</v>
      </c>
      <c r="BQ314" s="85">
        <v>63</v>
      </c>
      <c r="BR314" s="85">
        <v>64</v>
      </c>
      <c r="BS314" s="85">
        <v>65</v>
      </c>
      <c r="BT314" s="85">
        <v>66</v>
      </c>
      <c r="BU314" s="85">
        <v>67</v>
      </c>
      <c r="BV314" s="85">
        <v>68</v>
      </c>
      <c r="BW314" s="85">
        <v>69</v>
      </c>
      <c r="BX314" s="85">
        <v>70</v>
      </c>
      <c r="BY314" s="85">
        <v>71</v>
      </c>
      <c r="BZ314" s="85">
        <v>72</v>
      </c>
      <c r="CA314" s="85">
        <v>73</v>
      </c>
      <c r="CB314" s="85">
        <v>74</v>
      </c>
      <c r="CC314" s="85">
        <v>75</v>
      </c>
      <c r="CD314" s="85">
        <v>76</v>
      </c>
      <c r="CE314" s="85">
        <v>77</v>
      </c>
      <c r="CF314" s="85">
        <v>78</v>
      </c>
      <c r="CG314" s="85">
        <v>79</v>
      </c>
      <c r="CH314" s="85">
        <v>80</v>
      </c>
      <c r="CI314" s="85">
        <v>81</v>
      </c>
      <c r="CJ314" s="85">
        <v>82</v>
      </c>
      <c r="CK314" s="85">
        <v>83</v>
      </c>
      <c r="CL314" s="85">
        <v>84</v>
      </c>
      <c r="CM314" s="85">
        <v>85</v>
      </c>
      <c r="CN314" s="85">
        <v>86</v>
      </c>
      <c r="CO314" s="85">
        <v>87</v>
      </c>
      <c r="CP314" s="85">
        <v>88</v>
      </c>
      <c r="CQ314" s="85">
        <v>89</v>
      </c>
      <c r="CR314" s="85">
        <v>90</v>
      </c>
      <c r="CS314" s="85">
        <v>91</v>
      </c>
      <c r="CT314" s="85">
        <v>92</v>
      </c>
      <c r="CU314" s="85">
        <v>93</v>
      </c>
      <c r="CV314" s="85">
        <v>94</v>
      </c>
      <c r="CW314" s="85">
        <v>95</v>
      </c>
    </row>
    <row r="315" spans="6:103" x14ac:dyDescent="0.4">
      <c r="F315" s="85" t="s">
        <v>239</v>
      </c>
      <c r="G315" s="139">
        <f>15*G314</f>
        <v>15</v>
      </c>
      <c r="H315" s="139">
        <f t="shared" ref="H315:BS315" si="320">15*H314</f>
        <v>30</v>
      </c>
      <c r="I315" s="139">
        <f t="shared" si="320"/>
        <v>45</v>
      </c>
      <c r="J315" s="139">
        <f t="shared" si="320"/>
        <v>60</v>
      </c>
      <c r="K315" s="139">
        <f t="shared" si="320"/>
        <v>75</v>
      </c>
      <c r="L315" s="139">
        <f t="shared" si="320"/>
        <v>90</v>
      </c>
      <c r="M315" s="139">
        <f t="shared" si="320"/>
        <v>105</v>
      </c>
      <c r="N315" s="139">
        <f t="shared" si="320"/>
        <v>120</v>
      </c>
      <c r="O315" s="139">
        <f t="shared" si="320"/>
        <v>135</v>
      </c>
      <c r="P315" s="139">
        <f t="shared" si="320"/>
        <v>150</v>
      </c>
      <c r="Q315" s="139">
        <f t="shared" si="320"/>
        <v>165</v>
      </c>
      <c r="R315" s="139">
        <f t="shared" si="320"/>
        <v>180</v>
      </c>
      <c r="S315" s="139">
        <f t="shared" si="320"/>
        <v>195</v>
      </c>
      <c r="T315" s="139">
        <f t="shared" si="320"/>
        <v>210</v>
      </c>
      <c r="U315" s="139">
        <f t="shared" si="320"/>
        <v>225</v>
      </c>
      <c r="V315" s="139">
        <f t="shared" si="320"/>
        <v>240</v>
      </c>
      <c r="W315" s="139">
        <f t="shared" si="320"/>
        <v>255</v>
      </c>
      <c r="X315" s="139">
        <f t="shared" si="320"/>
        <v>270</v>
      </c>
      <c r="Y315" s="139">
        <f t="shared" si="320"/>
        <v>285</v>
      </c>
      <c r="Z315" s="139">
        <f t="shared" si="320"/>
        <v>300</v>
      </c>
      <c r="AA315" s="139">
        <f t="shared" si="320"/>
        <v>315</v>
      </c>
      <c r="AB315" s="139">
        <f t="shared" si="320"/>
        <v>330</v>
      </c>
      <c r="AC315" s="139">
        <f t="shared" si="320"/>
        <v>345</v>
      </c>
      <c r="AD315" s="139">
        <f t="shared" si="320"/>
        <v>360</v>
      </c>
      <c r="AE315" s="139">
        <f t="shared" si="320"/>
        <v>375</v>
      </c>
      <c r="AF315" s="139">
        <f t="shared" si="320"/>
        <v>390</v>
      </c>
      <c r="AG315" s="139">
        <f t="shared" si="320"/>
        <v>405</v>
      </c>
      <c r="AH315" s="139">
        <f t="shared" si="320"/>
        <v>420</v>
      </c>
      <c r="AI315" s="139">
        <f t="shared" si="320"/>
        <v>435</v>
      </c>
      <c r="AJ315" s="139">
        <f t="shared" si="320"/>
        <v>450</v>
      </c>
      <c r="AK315" s="139">
        <f t="shared" si="320"/>
        <v>465</v>
      </c>
      <c r="AL315" s="139">
        <f t="shared" si="320"/>
        <v>480</v>
      </c>
      <c r="AM315" s="139">
        <f t="shared" si="320"/>
        <v>495</v>
      </c>
      <c r="AN315" s="139">
        <f t="shared" si="320"/>
        <v>510</v>
      </c>
      <c r="AO315" s="139">
        <f t="shared" si="320"/>
        <v>525</v>
      </c>
      <c r="AP315" s="139">
        <f t="shared" si="320"/>
        <v>540</v>
      </c>
      <c r="AQ315" s="139">
        <f t="shared" si="320"/>
        <v>555</v>
      </c>
      <c r="AR315" s="139">
        <f t="shared" si="320"/>
        <v>570</v>
      </c>
      <c r="AS315" s="139">
        <f t="shared" si="320"/>
        <v>585</v>
      </c>
      <c r="AT315" s="139">
        <f t="shared" si="320"/>
        <v>600</v>
      </c>
      <c r="AU315" s="139">
        <f t="shared" si="320"/>
        <v>615</v>
      </c>
      <c r="AV315" s="139">
        <f t="shared" si="320"/>
        <v>630</v>
      </c>
      <c r="AW315" s="139">
        <f t="shared" si="320"/>
        <v>645</v>
      </c>
      <c r="AX315" s="139">
        <f t="shared" si="320"/>
        <v>660</v>
      </c>
      <c r="AY315" s="139">
        <f t="shared" si="320"/>
        <v>675</v>
      </c>
      <c r="AZ315" s="139">
        <f t="shared" si="320"/>
        <v>690</v>
      </c>
      <c r="BA315" s="139">
        <f t="shared" si="320"/>
        <v>705</v>
      </c>
      <c r="BB315" s="139">
        <f t="shared" si="320"/>
        <v>720</v>
      </c>
      <c r="BC315" s="139">
        <f t="shared" si="320"/>
        <v>735</v>
      </c>
      <c r="BD315" s="139">
        <f t="shared" si="320"/>
        <v>750</v>
      </c>
      <c r="BE315" s="139">
        <f t="shared" si="320"/>
        <v>765</v>
      </c>
      <c r="BF315" s="139">
        <f t="shared" si="320"/>
        <v>780</v>
      </c>
      <c r="BG315" s="139">
        <f t="shared" si="320"/>
        <v>795</v>
      </c>
      <c r="BH315" s="139">
        <f t="shared" si="320"/>
        <v>810</v>
      </c>
      <c r="BI315" s="139">
        <f t="shared" si="320"/>
        <v>825</v>
      </c>
      <c r="BJ315" s="139">
        <f t="shared" si="320"/>
        <v>840</v>
      </c>
      <c r="BK315" s="139">
        <f t="shared" si="320"/>
        <v>855</v>
      </c>
      <c r="BL315" s="139">
        <f t="shared" si="320"/>
        <v>870</v>
      </c>
      <c r="BM315" s="139">
        <f t="shared" si="320"/>
        <v>885</v>
      </c>
      <c r="BN315" s="139">
        <f t="shared" si="320"/>
        <v>900</v>
      </c>
      <c r="BO315" s="139">
        <f t="shared" si="320"/>
        <v>915</v>
      </c>
      <c r="BP315" s="139">
        <f t="shared" si="320"/>
        <v>930</v>
      </c>
      <c r="BQ315" s="139">
        <f t="shared" si="320"/>
        <v>945</v>
      </c>
      <c r="BR315" s="139">
        <f t="shared" si="320"/>
        <v>960</v>
      </c>
      <c r="BS315" s="139">
        <f t="shared" si="320"/>
        <v>975</v>
      </c>
      <c r="BT315" s="139">
        <f t="shared" ref="BT315:CW315" si="321">15*BT314</f>
        <v>990</v>
      </c>
      <c r="BU315" s="139">
        <f t="shared" si="321"/>
        <v>1005</v>
      </c>
      <c r="BV315" s="139">
        <f t="shared" si="321"/>
        <v>1020</v>
      </c>
      <c r="BW315" s="139">
        <f t="shared" si="321"/>
        <v>1035</v>
      </c>
      <c r="BX315" s="139">
        <f t="shared" si="321"/>
        <v>1050</v>
      </c>
      <c r="BY315" s="139">
        <f t="shared" si="321"/>
        <v>1065</v>
      </c>
      <c r="BZ315" s="139">
        <f t="shared" si="321"/>
        <v>1080</v>
      </c>
      <c r="CA315" s="139">
        <f t="shared" si="321"/>
        <v>1095</v>
      </c>
      <c r="CB315" s="139">
        <f t="shared" si="321"/>
        <v>1110</v>
      </c>
      <c r="CC315" s="139">
        <f t="shared" si="321"/>
        <v>1125</v>
      </c>
      <c r="CD315" s="139">
        <f t="shared" si="321"/>
        <v>1140</v>
      </c>
      <c r="CE315" s="139">
        <f t="shared" si="321"/>
        <v>1155</v>
      </c>
      <c r="CF315" s="139">
        <f t="shared" si="321"/>
        <v>1170</v>
      </c>
      <c r="CG315" s="139">
        <f t="shared" si="321"/>
        <v>1185</v>
      </c>
      <c r="CH315" s="139">
        <f t="shared" si="321"/>
        <v>1200</v>
      </c>
      <c r="CI315" s="139">
        <f t="shared" si="321"/>
        <v>1215</v>
      </c>
      <c r="CJ315" s="139">
        <f t="shared" si="321"/>
        <v>1230</v>
      </c>
      <c r="CK315" s="139">
        <f t="shared" si="321"/>
        <v>1245</v>
      </c>
      <c r="CL315" s="139">
        <f t="shared" si="321"/>
        <v>1260</v>
      </c>
      <c r="CM315" s="139">
        <f t="shared" si="321"/>
        <v>1275</v>
      </c>
      <c r="CN315" s="139">
        <f t="shared" si="321"/>
        <v>1290</v>
      </c>
      <c r="CO315" s="139">
        <f t="shared" si="321"/>
        <v>1305</v>
      </c>
      <c r="CP315" s="139">
        <f t="shared" si="321"/>
        <v>1320</v>
      </c>
      <c r="CQ315" s="139">
        <f t="shared" si="321"/>
        <v>1335</v>
      </c>
      <c r="CR315" s="139">
        <f t="shared" si="321"/>
        <v>1350</v>
      </c>
      <c r="CS315" s="139">
        <f t="shared" si="321"/>
        <v>1365</v>
      </c>
      <c r="CT315" s="139">
        <f t="shared" si="321"/>
        <v>1380</v>
      </c>
      <c r="CU315" s="139">
        <f t="shared" si="321"/>
        <v>1395</v>
      </c>
      <c r="CV315" s="139">
        <f t="shared" si="321"/>
        <v>1410</v>
      </c>
      <c r="CW315" s="139">
        <f t="shared" si="321"/>
        <v>1425</v>
      </c>
    </row>
    <row r="316" spans="6:103" x14ac:dyDescent="0.4">
      <c r="F316" s="85" t="s">
        <v>154</v>
      </c>
      <c r="G316" s="85">
        <f>COUNTIFS('2023년 신조차 고장관리 세부현황'!$K:$K,"448R",'2023년 신조차 고장관리 세부현황'!$P:$P,"&gt;="&amp;G314,'2023년 신조차 고장관리 세부현황'!$P:$P,"&lt;"&amp;'트랜드 분석_15일'!G315,'2023년 신조차 고장관리 세부현황'!$BC:$BC,"완료",'2023년 신조차 고장관리 세부현황'!$CY:$CY,"C/I")</f>
        <v>0</v>
      </c>
      <c r="H316" s="85">
        <f>COUNTIFS('2023년 신조차 고장관리 세부현황'!$K:$K,"448R",'2023년 신조차 고장관리 세부현황'!$P:$P,"&gt;="&amp;'트랜드 분석_15일'!G$27,'2023년 신조차 고장관리 세부현황'!$P:$P,"&lt;"&amp;'트랜드 분석_15일'!H$27,'2023년 신조차 고장관리 세부현황'!$BC:$BC,"완료",'2023년 신조차 고장관리 세부현황'!$CY:$CY,"C/I")</f>
        <v>0</v>
      </c>
      <c r="I316" s="85">
        <f>COUNTIFS('2023년 신조차 고장관리 세부현황'!$K:$K,"448R",'2023년 신조차 고장관리 세부현황'!$P:$P,"&gt;="&amp;'트랜드 분석_15일'!H$27,'2023년 신조차 고장관리 세부현황'!$P:$P,"&lt;"&amp;'트랜드 분석_15일'!I$27,'2023년 신조차 고장관리 세부현황'!$BC:$BC,"완료",'2023년 신조차 고장관리 세부현황'!$CY:$CY,"C/I")</f>
        <v>0</v>
      </c>
      <c r="J316" s="85">
        <f>COUNTIFS('2023년 신조차 고장관리 세부현황'!$K:$K,"448R",'2023년 신조차 고장관리 세부현황'!$P:$P,"&gt;="&amp;'트랜드 분석_15일'!I$27,'2023년 신조차 고장관리 세부현황'!$P:$P,"&lt;"&amp;'트랜드 분석_15일'!J$27,'2023년 신조차 고장관리 세부현황'!$BC:$BC,"완료",'2023년 신조차 고장관리 세부현황'!$CY:$CY,"C/I")</f>
        <v>0</v>
      </c>
      <c r="K316" s="85">
        <f>COUNTIFS('2023년 신조차 고장관리 세부현황'!$K:$K,"448R",'2023년 신조차 고장관리 세부현황'!$P:$P,"&gt;="&amp;'트랜드 분석_15일'!J$27,'2023년 신조차 고장관리 세부현황'!$P:$P,"&lt;"&amp;'트랜드 분석_15일'!K$27,'2023년 신조차 고장관리 세부현황'!$BC:$BC,"완료",'2023년 신조차 고장관리 세부현황'!$CY:$CY,"C/I")</f>
        <v>0</v>
      </c>
      <c r="L316" s="85">
        <f>COUNTIFS('2023년 신조차 고장관리 세부현황'!$K:$K,"448R",'2023년 신조차 고장관리 세부현황'!$P:$P,"&gt;="&amp;'트랜드 분석_15일'!K$27,'2023년 신조차 고장관리 세부현황'!$P:$P,"&lt;"&amp;'트랜드 분석_15일'!L$27,'2023년 신조차 고장관리 세부현황'!$BC:$BC,"완료",'2023년 신조차 고장관리 세부현황'!$CY:$CY,"C/I")</f>
        <v>0</v>
      </c>
      <c r="M316" s="85">
        <f>COUNTIFS('2023년 신조차 고장관리 세부현황'!$K:$K,"448R",'2023년 신조차 고장관리 세부현황'!$P:$P,"&gt;="&amp;'트랜드 분석_15일'!L$27,'2023년 신조차 고장관리 세부현황'!$P:$P,"&lt;"&amp;'트랜드 분석_15일'!M$27,'2023년 신조차 고장관리 세부현황'!$BC:$BC,"완료",'2023년 신조차 고장관리 세부현황'!$CY:$CY,"C/I")</f>
        <v>0</v>
      </c>
      <c r="N316" s="85">
        <f>COUNTIFS('2023년 신조차 고장관리 세부현황'!$K:$K,"448R",'2023년 신조차 고장관리 세부현황'!$P:$P,"&gt;="&amp;'트랜드 분석_15일'!M$27,'2023년 신조차 고장관리 세부현황'!$P:$P,"&lt;"&amp;'트랜드 분석_15일'!N$27,'2023년 신조차 고장관리 세부현황'!$BC:$BC,"완료",'2023년 신조차 고장관리 세부현황'!$CY:$CY,"C/I")</f>
        <v>0</v>
      </c>
      <c r="O316" s="85">
        <f>COUNTIFS('2023년 신조차 고장관리 세부현황'!$K:$K,"448R",'2023년 신조차 고장관리 세부현황'!$P:$P,"&gt;="&amp;'트랜드 분석_15일'!N$27,'2023년 신조차 고장관리 세부현황'!$P:$P,"&lt;"&amp;'트랜드 분석_15일'!O$27,'2023년 신조차 고장관리 세부현황'!$BC:$BC,"완료",'2023년 신조차 고장관리 세부현황'!$CY:$CY,"C/I")</f>
        <v>0</v>
      </c>
      <c r="P316" s="85">
        <f ca="1">COUNTIFS('2023년 신조차 고장관리 세부현황'!$K:$K,"448R",'2023년 신조차 고장관리 세부현황'!$P:$P,"&gt;="&amp;'트랜드 분석_15일'!O$27,'2023년 신조차 고장관리 세부현황'!$P:$P,"&lt;"&amp;'트랜드 분석_15일'!P$27,'2023년 신조차 고장관리 세부현황'!$BC:$BC,"완료",'2023년 신조차 고장관리 세부현황'!$CY:$CY,"C/I")</f>
        <v>0</v>
      </c>
      <c r="Q316" s="85">
        <f ca="1">COUNTIFS('2023년 신조차 고장관리 세부현황'!$K:$K,"448R",'2023년 신조차 고장관리 세부현황'!$P:$P,"&gt;="&amp;'트랜드 분석_15일'!P$27,'2023년 신조차 고장관리 세부현황'!$P:$P,"&lt;"&amp;'트랜드 분석_15일'!Q$27,'2023년 신조차 고장관리 세부현황'!$BC:$BC,"완료",'2023년 신조차 고장관리 세부현황'!$CY:$CY,"C/I")</f>
        <v>0</v>
      </c>
      <c r="R316" s="85">
        <f ca="1">COUNTIFS('2023년 신조차 고장관리 세부현황'!$K:$K,"448R",'2023년 신조차 고장관리 세부현황'!$P:$P,"&gt;="&amp;'트랜드 분석_15일'!Q$27,'2023년 신조차 고장관리 세부현황'!$P:$P,"&lt;"&amp;'트랜드 분석_15일'!R$27,'2023년 신조차 고장관리 세부현황'!$BC:$BC,"완료",'2023년 신조차 고장관리 세부현황'!$CY:$CY,"C/I")</f>
        <v>0</v>
      </c>
      <c r="S316" s="85">
        <f ca="1">COUNTIFS('2023년 신조차 고장관리 세부현황'!$K:$K,"448R",'2023년 신조차 고장관리 세부현황'!$P:$P,"&gt;="&amp;'트랜드 분석_15일'!R$27,'2023년 신조차 고장관리 세부현황'!$P:$P,"&lt;"&amp;'트랜드 분석_15일'!S$27,'2023년 신조차 고장관리 세부현황'!$BC:$BC,"완료",'2023년 신조차 고장관리 세부현황'!$CY:$CY,"C/I")</f>
        <v>0</v>
      </c>
      <c r="T316" s="85">
        <f ca="1">COUNTIFS('2023년 신조차 고장관리 세부현황'!$K:$K,"448R",'2023년 신조차 고장관리 세부현황'!$P:$P,"&gt;="&amp;'트랜드 분석_15일'!S$27,'2023년 신조차 고장관리 세부현황'!$P:$P,"&lt;"&amp;'트랜드 분석_15일'!T$27,'2023년 신조차 고장관리 세부현황'!$BC:$BC,"완료",'2023년 신조차 고장관리 세부현황'!$CY:$CY,"C/I")</f>
        <v>0</v>
      </c>
      <c r="U316" s="85">
        <f>COUNTIFS('2023년 신조차 고장관리 세부현황'!$K:$K,"448R",'2023년 신조차 고장관리 세부현황'!$P:$P,"&gt;="&amp;'트랜드 분석_15일'!T$27,'2023년 신조차 고장관리 세부현황'!$P:$P,"&lt;"&amp;'트랜드 분석_15일'!U$27,'2023년 신조차 고장관리 세부현황'!$BC:$BC,"완료",'2023년 신조차 고장관리 세부현황'!$CY:$CY,"C/I")</f>
        <v>0</v>
      </c>
      <c r="V316" s="85">
        <f>COUNTIFS('2023년 신조차 고장관리 세부현황'!$K:$K,"448R",'2023년 신조차 고장관리 세부현황'!$P:$P,"&gt;="&amp;'트랜드 분석_15일'!U$27,'2023년 신조차 고장관리 세부현황'!$P:$P,"&lt;"&amp;'트랜드 분석_15일'!V$27,'2023년 신조차 고장관리 세부현황'!$BC:$BC,"완료",'2023년 신조차 고장관리 세부현황'!$CY:$CY,"C/I")</f>
        <v>0</v>
      </c>
      <c r="W316" s="85">
        <f ca="1">COUNTIFS('2023년 신조차 고장관리 세부현황'!$K:$K,"448R",'2023년 신조차 고장관리 세부현황'!$P:$P,"&gt;="&amp;'트랜드 분석_15일'!V$27,'2023년 신조차 고장관리 세부현황'!$P:$P,"&lt;"&amp;'트랜드 분석_15일'!W$27,'2023년 신조차 고장관리 세부현황'!$BC:$BC,"완료",'2023년 신조차 고장관리 세부현황'!$CY:$CY,"C/I")</f>
        <v>0</v>
      </c>
      <c r="X316" s="85">
        <f ca="1">COUNTIFS('2023년 신조차 고장관리 세부현황'!$K:$K,"448R",'2023년 신조차 고장관리 세부현황'!$P:$P,"&gt;="&amp;'트랜드 분석_15일'!W$27,'2023년 신조차 고장관리 세부현황'!$P:$P,"&lt;"&amp;'트랜드 분석_15일'!X$27,'2023년 신조차 고장관리 세부현황'!$BC:$BC,"완료",'2023년 신조차 고장관리 세부현황'!$CY:$CY,"C/I")</f>
        <v>0</v>
      </c>
      <c r="Y316" s="85">
        <f ca="1">COUNTIFS('2023년 신조차 고장관리 세부현황'!$K:$K,"448R",'2023년 신조차 고장관리 세부현황'!$P:$P,"&gt;="&amp;'트랜드 분석_15일'!X$27,'2023년 신조차 고장관리 세부현황'!$P:$P,"&lt;"&amp;'트랜드 분석_15일'!Y$27,'2023년 신조차 고장관리 세부현황'!$BC:$BC,"완료",'2023년 신조차 고장관리 세부현황'!$CY:$CY,"C/I")</f>
        <v>0</v>
      </c>
      <c r="Z316" s="85">
        <f ca="1">COUNTIFS('2023년 신조차 고장관리 세부현황'!$K:$K,"448R",'2023년 신조차 고장관리 세부현황'!$P:$P,"&gt;="&amp;'트랜드 분석_15일'!Y$27,'2023년 신조차 고장관리 세부현황'!$P:$P,"&lt;"&amp;'트랜드 분석_15일'!Z$27,'2023년 신조차 고장관리 세부현황'!$BC:$BC,"완료",'2023년 신조차 고장관리 세부현황'!$CY:$CY,"C/I")</f>
        <v>0</v>
      </c>
      <c r="AA316" s="85">
        <f ca="1">COUNTIFS('2023년 신조차 고장관리 세부현황'!$K:$K,"448R",'2023년 신조차 고장관리 세부현황'!$P:$P,"&gt;="&amp;'트랜드 분석_15일'!Z$27,'2023년 신조차 고장관리 세부현황'!$P:$P,"&lt;"&amp;'트랜드 분석_15일'!AA$27,'2023년 신조차 고장관리 세부현황'!$BC:$BC,"완료",'2023년 신조차 고장관리 세부현황'!$CY:$CY,"C/I")</f>
        <v>0</v>
      </c>
      <c r="AB316" s="85">
        <f ca="1">COUNTIFS('2023년 신조차 고장관리 세부현황'!$K:$K,"448R",'2023년 신조차 고장관리 세부현황'!$P:$P,"&gt;="&amp;'트랜드 분석_15일'!AA$27,'2023년 신조차 고장관리 세부현황'!$P:$P,"&lt;"&amp;'트랜드 분석_15일'!AB$27,'2023년 신조차 고장관리 세부현황'!$BC:$BC,"완료",'2023년 신조차 고장관리 세부현황'!$CY:$CY,"C/I")</f>
        <v>0</v>
      </c>
      <c r="AC316" s="85">
        <f ca="1">COUNTIFS('2023년 신조차 고장관리 세부현황'!$K:$K,"448R",'2023년 신조차 고장관리 세부현황'!$P:$P,"&gt;="&amp;'트랜드 분석_15일'!AB$27,'2023년 신조차 고장관리 세부현황'!$P:$P,"&lt;"&amp;'트랜드 분석_15일'!AC$27,'2023년 신조차 고장관리 세부현황'!$BC:$BC,"완료",'2023년 신조차 고장관리 세부현황'!$CY:$CY,"C/I")</f>
        <v>0</v>
      </c>
      <c r="AD316" s="85">
        <f ca="1">COUNTIFS('2023년 신조차 고장관리 세부현황'!$K:$K,"448R",'2023년 신조차 고장관리 세부현황'!$P:$P,"&gt;="&amp;'트랜드 분석_15일'!AC$27,'2023년 신조차 고장관리 세부현황'!$P:$P,"&lt;"&amp;'트랜드 분석_15일'!AD$27,'2023년 신조차 고장관리 세부현황'!$BC:$BC,"완료",'2023년 신조차 고장관리 세부현황'!$CY:$CY,"C/I")</f>
        <v>0</v>
      </c>
      <c r="AE316" s="85">
        <f ca="1">COUNTIFS('2023년 신조차 고장관리 세부현황'!$K:$K,"448R",'2023년 신조차 고장관리 세부현황'!$P:$P,"&gt;="&amp;'트랜드 분석_15일'!AD$27,'2023년 신조차 고장관리 세부현황'!$P:$P,"&lt;"&amp;'트랜드 분석_15일'!AE$27,'2023년 신조차 고장관리 세부현황'!$BC:$BC,"완료",'2023년 신조차 고장관리 세부현황'!$CY:$CY,"C/I")</f>
        <v>0</v>
      </c>
      <c r="AF316" s="85">
        <f ca="1">COUNTIFS('2023년 신조차 고장관리 세부현황'!$K:$K,"448R",'2023년 신조차 고장관리 세부현황'!$P:$P,"&gt;="&amp;'트랜드 분석_15일'!AE$27,'2023년 신조차 고장관리 세부현황'!$P:$P,"&lt;"&amp;'트랜드 분석_15일'!AF$27,'2023년 신조차 고장관리 세부현황'!$BC:$BC,"완료",'2023년 신조차 고장관리 세부현황'!$CY:$CY,"C/I")</f>
        <v>0</v>
      </c>
      <c r="AG316" s="85">
        <f ca="1">COUNTIFS('2023년 신조차 고장관리 세부현황'!$K:$K,"448R",'2023년 신조차 고장관리 세부현황'!$P:$P,"&gt;="&amp;'트랜드 분석_15일'!AF$27,'2023년 신조차 고장관리 세부현황'!$P:$P,"&lt;"&amp;'트랜드 분석_15일'!AG$27,'2023년 신조차 고장관리 세부현황'!$BC:$BC,"완료",'2023년 신조차 고장관리 세부현황'!$CY:$CY,"C/I")</f>
        <v>0</v>
      </c>
      <c r="AH316" s="85">
        <f>COUNTIFS('2023년 신조차 고장관리 세부현황'!$K:$K,"448R",'2023년 신조차 고장관리 세부현황'!$P:$P,"&gt;="&amp;'트랜드 분석_15일'!AG$27,'2023년 신조차 고장관리 세부현황'!$P:$P,"&lt;"&amp;'트랜드 분석_15일'!AH$27,'2023년 신조차 고장관리 세부현황'!$BC:$BC,"완료",'2023년 신조차 고장관리 세부현황'!$CY:$CY,"C/I")</f>
        <v>0</v>
      </c>
      <c r="AI316" s="85">
        <f>COUNTIFS('2023년 신조차 고장관리 세부현황'!$K:$K,"448R",'2023년 신조차 고장관리 세부현황'!$P:$P,"&gt;="&amp;'트랜드 분석_15일'!AH$27,'2023년 신조차 고장관리 세부현황'!$P:$P,"&lt;"&amp;'트랜드 분석_15일'!AI$27,'2023년 신조차 고장관리 세부현황'!$BC:$BC,"완료",'2023년 신조차 고장관리 세부현황'!$CY:$CY,"C/I")</f>
        <v>0</v>
      </c>
      <c r="AJ316" s="85">
        <f>COUNTIFS('2023년 신조차 고장관리 세부현황'!$K:$K,"448R",'2023년 신조차 고장관리 세부현황'!$P:$P,"&gt;="&amp;'트랜드 분석_15일'!AI$27,'2023년 신조차 고장관리 세부현황'!$P:$P,"&lt;"&amp;'트랜드 분석_15일'!AJ$27,'2023년 신조차 고장관리 세부현황'!$BC:$BC,"완료",'2023년 신조차 고장관리 세부현황'!$CY:$CY,"C/I")</f>
        <v>0</v>
      </c>
      <c r="AK316" s="85">
        <f ca="1">COUNTIFS('2023년 신조차 고장관리 세부현황'!$K:$K,"448R",'2023년 신조차 고장관리 세부현황'!$P:$P,"&gt;="&amp;'트랜드 분석_15일'!AJ$27,'2023년 신조차 고장관리 세부현황'!$P:$P,"&lt;"&amp;'트랜드 분석_15일'!AK$27,'2023년 신조차 고장관리 세부현황'!$BC:$BC,"완료",'2023년 신조차 고장관리 세부현황'!$CY:$CY,"C/I")</f>
        <v>0</v>
      </c>
      <c r="AL316" s="85">
        <f ca="1">COUNTIFS('2023년 신조차 고장관리 세부현황'!$K:$K,"448R",'2023년 신조차 고장관리 세부현황'!$P:$P,"&gt;="&amp;'트랜드 분석_15일'!AK$27,'2023년 신조차 고장관리 세부현황'!$P:$P,"&lt;"&amp;'트랜드 분석_15일'!AL$27,'2023년 신조차 고장관리 세부현황'!$BC:$BC,"완료",'2023년 신조차 고장관리 세부현황'!$CY:$CY,"C/I")</f>
        <v>0</v>
      </c>
      <c r="AM316" s="85">
        <f>COUNTIFS('2023년 신조차 고장관리 세부현황'!$K:$K,"448R",'2023년 신조차 고장관리 세부현황'!$P:$P,"&gt;="&amp;'트랜드 분석_15일'!AL$27,'2023년 신조차 고장관리 세부현황'!$P:$P,"&lt;"&amp;'트랜드 분석_15일'!AM$27,'2023년 신조차 고장관리 세부현황'!$BC:$BC,"완료",'2023년 신조차 고장관리 세부현황'!$CY:$CY,"C/I")</f>
        <v>0</v>
      </c>
      <c r="AN316" s="85">
        <f>COUNTIFS('2023년 신조차 고장관리 세부현황'!$K:$K,"448R",'2023년 신조차 고장관리 세부현황'!$P:$P,"&gt;="&amp;'트랜드 분석_15일'!AM$27,'2023년 신조차 고장관리 세부현황'!$P:$P,"&lt;"&amp;'트랜드 분석_15일'!AN$27,'2023년 신조차 고장관리 세부현황'!$BC:$BC,"완료",'2023년 신조차 고장관리 세부현황'!$CY:$CY,"C/I")</f>
        <v>0</v>
      </c>
      <c r="AO316" s="85">
        <f ca="1">COUNTIFS('2023년 신조차 고장관리 세부현황'!$K:$K,"448R",'2023년 신조차 고장관리 세부현황'!$P:$P,"&gt;="&amp;'트랜드 분석_15일'!AN$27,'2023년 신조차 고장관리 세부현황'!$P:$P,"&lt;"&amp;'트랜드 분석_15일'!AO$27,'2023년 신조차 고장관리 세부현황'!$BC:$BC,"완료",'2023년 신조차 고장관리 세부현황'!$CY:$CY,"C/I")</f>
        <v>0</v>
      </c>
      <c r="AP316" s="85">
        <f>COUNTIFS('2023년 신조차 고장관리 세부현황'!$K:$K,"448R",'2023년 신조차 고장관리 세부현황'!$P:$P,"&gt;="&amp;'트랜드 분석_15일'!AO$27,'2023년 신조차 고장관리 세부현황'!$P:$P,"&lt;"&amp;'트랜드 분석_15일'!AP$27,'2023년 신조차 고장관리 세부현황'!$BC:$BC,"완료",'2023년 신조차 고장관리 세부현황'!$CY:$CY,"C/I")</f>
        <v>0</v>
      </c>
      <c r="AQ316" s="85">
        <f ca="1">COUNTIFS('2023년 신조차 고장관리 세부현황'!$K:$K,"448R",'2023년 신조차 고장관리 세부현황'!$P:$P,"&gt;="&amp;'트랜드 분석_15일'!AP$27,'2023년 신조차 고장관리 세부현황'!$P:$P,"&lt;"&amp;'트랜드 분석_15일'!AQ$27,'2023년 신조차 고장관리 세부현황'!$BC:$BC,"완료",'2023년 신조차 고장관리 세부현황'!$CY:$CY,"C/I")</f>
        <v>0</v>
      </c>
      <c r="AR316" s="85">
        <f>COUNTIFS('2023년 신조차 고장관리 세부현황'!$K:$K,"448R",'2023년 신조차 고장관리 세부현황'!$P:$P,"&gt;="&amp;'트랜드 분석_15일'!AQ$27,'2023년 신조차 고장관리 세부현황'!$P:$P,"&lt;"&amp;'트랜드 분석_15일'!AR$27,'2023년 신조차 고장관리 세부현황'!$BC:$BC,"완료",'2023년 신조차 고장관리 세부현황'!$CY:$CY,"C/I")</f>
        <v>0</v>
      </c>
      <c r="AS316" s="85">
        <f>COUNTIFS('2023년 신조차 고장관리 세부현황'!$K:$K,"448R",'2023년 신조차 고장관리 세부현황'!$P:$P,"&gt;="&amp;'트랜드 분석_15일'!AR$27,'2023년 신조차 고장관리 세부현황'!$P:$P,"&lt;"&amp;'트랜드 분석_15일'!AS$27,'2023년 신조차 고장관리 세부현황'!$BC:$BC,"완료",'2023년 신조차 고장관리 세부현황'!$CY:$CY,"C/I")</f>
        <v>0</v>
      </c>
      <c r="AT316" s="85">
        <f>COUNTIFS('2023년 신조차 고장관리 세부현황'!$K:$K,"448R",'2023년 신조차 고장관리 세부현황'!$P:$P,"&gt;="&amp;'트랜드 분석_15일'!AS$27,'2023년 신조차 고장관리 세부현황'!$P:$P,"&lt;"&amp;'트랜드 분석_15일'!AT$27,'2023년 신조차 고장관리 세부현황'!$BC:$BC,"완료",'2023년 신조차 고장관리 세부현황'!$CY:$CY,"C/I")</f>
        <v>0</v>
      </c>
      <c r="AU316" s="85">
        <f>COUNTIFS('2023년 신조차 고장관리 세부현황'!$K:$K,"448R",'2023년 신조차 고장관리 세부현황'!$P:$P,"&gt;="&amp;'트랜드 분석_15일'!AT$27,'2023년 신조차 고장관리 세부현황'!$P:$P,"&lt;"&amp;'트랜드 분석_15일'!AU$27,'2023년 신조차 고장관리 세부현황'!$BC:$BC,"완료",'2023년 신조차 고장관리 세부현황'!$CY:$CY,"C/I")</f>
        <v>0</v>
      </c>
      <c r="AV316" s="85">
        <f>COUNTIFS('2023년 신조차 고장관리 세부현황'!$K:$K,"448R",'2023년 신조차 고장관리 세부현황'!$P:$P,"&gt;="&amp;'트랜드 분석_15일'!AU$27,'2023년 신조차 고장관리 세부현황'!$P:$P,"&lt;"&amp;'트랜드 분석_15일'!AV$27,'2023년 신조차 고장관리 세부현황'!$BC:$BC,"완료",'2023년 신조차 고장관리 세부현황'!$CY:$CY,"C/I")</f>
        <v>0</v>
      </c>
      <c r="AW316" s="85">
        <f>COUNTIFS('2023년 신조차 고장관리 세부현황'!$K:$K,"448R",'2023년 신조차 고장관리 세부현황'!$P:$P,"&gt;="&amp;'트랜드 분석_15일'!AV$27,'2023년 신조차 고장관리 세부현황'!$P:$P,"&lt;"&amp;'트랜드 분석_15일'!AW$27,'2023년 신조차 고장관리 세부현황'!$BC:$BC,"완료",'2023년 신조차 고장관리 세부현황'!$CY:$CY,"C/I")</f>
        <v>0</v>
      </c>
      <c r="AX316" s="85">
        <f>COUNTIFS('2023년 신조차 고장관리 세부현황'!$K:$K,"448R",'2023년 신조차 고장관리 세부현황'!$P:$P,"&gt;="&amp;'트랜드 분석_15일'!AW$27,'2023년 신조차 고장관리 세부현황'!$P:$P,"&lt;"&amp;'트랜드 분석_15일'!AX$27,'2023년 신조차 고장관리 세부현황'!$BC:$BC,"완료",'2023년 신조차 고장관리 세부현황'!$CY:$CY,"C/I")</f>
        <v>0</v>
      </c>
      <c r="AY316" s="85">
        <f>COUNTIFS('2023년 신조차 고장관리 세부현황'!$K:$K,"448R",'2023년 신조차 고장관리 세부현황'!$P:$P,"&gt;="&amp;'트랜드 분석_15일'!AX$27,'2023년 신조차 고장관리 세부현황'!$P:$P,"&lt;"&amp;'트랜드 분석_15일'!AY$27,'2023년 신조차 고장관리 세부현황'!$BC:$BC,"완료",'2023년 신조차 고장관리 세부현황'!$CY:$CY,"C/I")</f>
        <v>0</v>
      </c>
      <c r="AZ316" s="85">
        <f>COUNTIFS('2023년 신조차 고장관리 세부현황'!$K:$K,"448R",'2023년 신조차 고장관리 세부현황'!$P:$P,"&gt;="&amp;'트랜드 분석_15일'!AY$27,'2023년 신조차 고장관리 세부현황'!$P:$P,"&lt;"&amp;'트랜드 분석_15일'!AZ$27,'2023년 신조차 고장관리 세부현황'!$BC:$BC,"완료",'2023년 신조차 고장관리 세부현황'!$CY:$CY,"C/I")</f>
        <v>0</v>
      </c>
      <c r="BA316" s="85">
        <f>COUNTIFS('2023년 신조차 고장관리 세부현황'!$K:$K,"448R",'2023년 신조차 고장관리 세부현황'!$P:$P,"&gt;="&amp;'트랜드 분석_15일'!AZ$27,'2023년 신조차 고장관리 세부현황'!$P:$P,"&lt;"&amp;'트랜드 분석_15일'!BA$27,'2023년 신조차 고장관리 세부현황'!$BC:$BC,"완료",'2023년 신조차 고장관리 세부현황'!$CY:$CY,"C/I")</f>
        <v>0</v>
      </c>
      <c r="BB316" s="85">
        <f>COUNTIFS('2023년 신조차 고장관리 세부현황'!$K:$K,"448R",'2023년 신조차 고장관리 세부현황'!$P:$P,"&gt;="&amp;'트랜드 분석_15일'!BA$27,'2023년 신조차 고장관리 세부현황'!$P:$P,"&lt;"&amp;'트랜드 분석_15일'!BB$27,'2023년 신조차 고장관리 세부현황'!$BC:$BC,"완료",'2023년 신조차 고장관리 세부현황'!$CY:$CY,"C/I")</f>
        <v>0</v>
      </c>
      <c r="BC316" s="85">
        <f>COUNTIFS('2023년 신조차 고장관리 세부현황'!$K:$K,"448R",'2023년 신조차 고장관리 세부현황'!$P:$P,"&gt;="&amp;'트랜드 분석_15일'!BB$27,'2023년 신조차 고장관리 세부현황'!$P:$P,"&lt;"&amp;'트랜드 분석_15일'!BC$27,'2023년 신조차 고장관리 세부현황'!$BC:$BC,"완료",'2023년 신조차 고장관리 세부현황'!$CY:$CY,"C/I")</f>
        <v>0</v>
      </c>
      <c r="BD316" s="85">
        <f>COUNTIFS('2023년 신조차 고장관리 세부현황'!$K:$K,"448R",'2023년 신조차 고장관리 세부현황'!$P:$P,"&gt;="&amp;'트랜드 분석_15일'!BC$27,'2023년 신조차 고장관리 세부현황'!$P:$P,"&lt;"&amp;'트랜드 분석_15일'!BD$27,'2023년 신조차 고장관리 세부현황'!$BC:$BC,"완료",'2023년 신조차 고장관리 세부현황'!$CY:$CY,"C/I")</f>
        <v>0</v>
      </c>
      <c r="BE316" s="85">
        <f>COUNTIFS('2023년 신조차 고장관리 세부현황'!$K:$K,"448R",'2023년 신조차 고장관리 세부현황'!$P:$P,"&gt;="&amp;'트랜드 분석_15일'!BD$27,'2023년 신조차 고장관리 세부현황'!$P:$P,"&lt;"&amp;'트랜드 분석_15일'!BE$27,'2023년 신조차 고장관리 세부현황'!$BC:$BC,"완료",'2023년 신조차 고장관리 세부현황'!$CY:$CY,"C/I")</f>
        <v>0</v>
      </c>
      <c r="BF316" s="85">
        <f>COUNTIFS('2023년 신조차 고장관리 세부현황'!$K:$K,"448R",'2023년 신조차 고장관리 세부현황'!$P:$P,"&gt;="&amp;'트랜드 분석_15일'!BE$27,'2023년 신조차 고장관리 세부현황'!$P:$P,"&lt;"&amp;'트랜드 분석_15일'!BF$27,'2023년 신조차 고장관리 세부현황'!$BC:$BC,"완료",'2023년 신조차 고장관리 세부현황'!$CY:$CY,"C/I")</f>
        <v>0</v>
      </c>
      <c r="BG316" s="85">
        <f>COUNTIFS('2023년 신조차 고장관리 세부현황'!$K:$K,"448R",'2023년 신조차 고장관리 세부현황'!$P:$P,"&gt;="&amp;'트랜드 분석_15일'!BF$27,'2023년 신조차 고장관리 세부현황'!$P:$P,"&lt;"&amp;'트랜드 분석_15일'!BG$27,'2023년 신조차 고장관리 세부현황'!$BC:$BC,"완료",'2023년 신조차 고장관리 세부현황'!$CY:$CY,"C/I")</f>
        <v>0</v>
      </c>
      <c r="BH316" s="85">
        <f>COUNTIFS('2023년 신조차 고장관리 세부현황'!$K:$K,"448R",'2023년 신조차 고장관리 세부현황'!$P:$P,"&gt;="&amp;'트랜드 분석_15일'!BG$27,'2023년 신조차 고장관리 세부현황'!$P:$P,"&lt;"&amp;'트랜드 분석_15일'!BH$27,'2023년 신조차 고장관리 세부현황'!$BC:$BC,"완료",'2023년 신조차 고장관리 세부현황'!$CY:$CY,"C/I")</f>
        <v>0</v>
      </c>
      <c r="BI316" s="85">
        <f>COUNTIFS('2023년 신조차 고장관리 세부현황'!$K:$K,"448R",'2023년 신조차 고장관리 세부현황'!$P:$P,"&gt;="&amp;'트랜드 분석_15일'!BH$27,'2023년 신조차 고장관리 세부현황'!$P:$P,"&lt;"&amp;'트랜드 분석_15일'!BI$27,'2023년 신조차 고장관리 세부현황'!$BC:$BC,"완료",'2023년 신조차 고장관리 세부현황'!$CY:$CY,"C/I")</f>
        <v>0</v>
      </c>
      <c r="BJ316" s="85">
        <f>COUNTIFS('2023년 신조차 고장관리 세부현황'!$K:$K,"448R",'2023년 신조차 고장관리 세부현황'!$P:$P,"&gt;="&amp;'트랜드 분석_15일'!BI$27,'2023년 신조차 고장관리 세부현황'!$P:$P,"&lt;"&amp;'트랜드 분석_15일'!BJ$27,'2023년 신조차 고장관리 세부현황'!$BC:$BC,"완료",'2023년 신조차 고장관리 세부현황'!$CY:$CY,"C/I")</f>
        <v>0</v>
      </c>
      <c r="BK316" s="85">
        <f>COUNTIFS('2023년 신조차 고장관리 세부현황'!$K:$K,"448R",'2023년 신조차 고장관리 세부현황'!$P:$P,"&gt;="&amp;'트랜드 분석_15일'!BJ$27,'2023년 신조차 고장관리 세부현황'!$P:$P,"&lt;"&amp;'트랜드 분석_15일'!BK$27,'2023년 신조차 고장관리 세부현황'!$BC:$BC,"완료",'2023년 신조차 고장관리 세부현황'!$CY:$CY,"C/I")</f>
        <v>0</v>
      </c>
      <c r="BL316" s="85">
        <f>COUNTIFS('2023년 신조차 고장관리 세부현황'!$K:$K,"448R",'2023년 신조차 고장관리 세부현황'!$P:$P,"&gt;="&amp;'트랜드 분석_15일'!BK$27,'2023년 신조차 고장관리 세부현황'!$P:$P,"&lt;"&amp;'트랜드 분석_15일'!BL$27,'2023년 신조차 고장관리 세부현황'!$BC:$BC,"완료",'2023년 신조차 고장관리 세부현황'!$CY:$CY,"C/I")</f>
        <v>0</v>
      </c>
      <c r="BM316" s="85">
        <f>COUNTIFS('2023년 신조차 고장관리 세부현황'!$K:$K,"448R",'2023년 신조차 고장관리 세부현황'!$P:$P,"&gt;="&amp;'트랜드 분석_15일'!BL$27,'2023년 신조차 고장관리 세부현황'!$P:$P,"&lt;"&amp;'트랜드 분석_15일'!BM$27,'2023년 신조차 고장관리 세부현황'!$BC:$BC,"완료",'2023년 신조차 고장관리 세부현황'!$CY:$CY,"C/I")</f>
        <v>0</v>
      </c>
      <c r="BN316" s="85">
        <f>COUNTIFS('2023년 신조차 고장관리 세부현황'!$K:$K,"448R",'2023년 신조차 고장관리 세부현황'!$P:$P,"&gt;="&amp;'트랜드 분석_15일'!BM$27,'2023년 신조차 고장관리 세부현황'!$P:$P,"&lt;"&amp;'트랜드 분석_15일'!BN$27,'2023년 신조차 고장관리 세부현황'!$BC:$BC,"완료",'2023년 신조차 고장관리 세부현황'!$CY:$CY,"C/I")</f>
        <v>0</v>
      </c>
      <c r="BO316" s="85">
        <f>COUNTIFS('2023년 신조차 고장관리 세부현황'!$K:$K,"448R",'2023년 신조차 고장관리 세부현황'!$P:$P,"&gt;="&amp;'트랜드 분석_15일'!BN$27,'2023년 신조차 고장관리 세부현황'!$P:$P,"&lt;"&amp;'트랜드 분석_15일'!BO$27,'2023년 신조차 고장관리 세부현황'!$BC:$BC,"완료",'2023년 신조차 고장관리 세부현황'!$CY:$CY,"C/I")</f>
        <v>0</v>
      </c>
      <c r="BP316" s="85">
        <f>COUNTIFS('2023년 신조차 고장관리 세부현황'!$K:$K,"448R",'2023년 신조차 고장관리 세부현황'!$P:$P,"&gt;="&amp;'트랜드 분석_15일'!BO$27,'2023년 신조차 고장관리 세부현황'!$P:$P,"&lt;"&amp;'트랜드 분석_15일'!BP$27,'2023년 신조차 고장관리 세부현황'!$BC:$BC,"완료",'2023년 신조차 고장관리 세부현황'!$CY:$CY,"C/I")</f>
        <v>0</v>
      </c>
      <c r="BQ316" s="85">
        <f>COUNTIFS('2023년 신조차 고장관리 세부현황'!$K:$K,"448R",'2023년 신조차 고장관리 세부현황'!$P:$P,"&gt;="&amp;'트랜드 분석_15일'!BP$27,'2023년 신조차 고장관리 세부현황'!$P:$P,"&lt;"&amp;'트랜드 분석_15일'!BQ$27,'2023년 신조차 고장관리 세부현황'!$BC:$BC,"완료",'2023년 신조차 고장관리 세부현황'!$CY:$CY,"C/I")</f>
        <v>0</v>
      </c>
      <c r="BR316" s="85">
        <f>COUNTIFS('2023년 신조차 고장관리 세부현황'!$K:$K,"448R",'2023년 신조차 고장관리 세부현황'!$P:$P,"&gt;="&amp;'트랜드 분석_15일'!BQ$27,'2023년 신조차 고장관리 세부현황'!$P:$P,"&lt;"&amp;'트랜드 분석_15일'!BR$27,'2023년 신조차 고장관리 세부현황'!$BC:$BC,"완료",'2023년 신조차 고장관리 세부현황'!$CY:$CY,"C/I")</f>
        <v>0</v>
      </c>
      <c r="BS316" s="85">
        <f>COUNTIFS('2023년 신조차 고장관리 세부현황'!$K:$K,"448R",'2023년 신조차 고장관리 세부현황'!$P:$P,"&gt;="&amp;'트랜드 분석_15일'!BR$27,'2023년 신조차 고장관리 세부현황'!$P:$P,"&lt;"&amp;'트랜드 분석_15일'!BS$27,'2023년 신조차 고장관리 세부현황'!$BC:$BC,"완료",'2023년 신조차 고장관리 세부현황'!$CY:$CY,"C/I")</f>
        <v>0</v>
      </c>
      <c r="BT316" s="85">
        <f>COUNTIFS('2023년 신조차 고장관리 세부현황'!$K:$K,"448R",'2023년 신조차 고장관리 세부현황'!$P:$P,"&gt;="&amp;'트랜드 분석_15일'!BS$27,'2023년 신조차 고장관리 세부현황'!$P:$P,"&lt;"&amp;'트랜드 분석_15일'!BT$27,'2023년 신조차 고장관리 세부현황'!$BC:$BC,"완료",'2023년 신조차 고장관리 세부현황'!$CY:$CY,"C/I")</f>
        <v>0</v>
      </c>
      <c r="BU316" s="85">
        <f>COUNTIFS('2023년 신조차 고장관리 세부현황'!$K:$K,"448R",'2023년 신조차 고장관리 세부현황'!$P:$P,"&gt;="&amp;'트랜드 분석_15일'!BT$27,'2023년 신조차 고장관리 세부현황'!$P:$P,"&lt;"&amp;'트랜드 분석_15일'!BU$27,'2023년 신조차 고장관리 세부현황'!$BC:$BC,"완료",'2023년 신조차 고장관리 세부현황'!$CY:$CY,"C/I")</f>
        <v>0</v>
      </c>
      <c r="BV316" s="85">
        <f>COUNTIFS('2023년 신조차 고장관리 세부현황'!$K:$K,"448R",'2023년 신조차 고장관리 세부현황'!$P:$P,"&gt;="&amp;'트랜드 분석_15일'!BU$27,'2023년 신조차 고장관리 세부현황'!$P:$P,"&lt;"&amp;'트랜드 분석_15일'!BV$27,'2023년 신조차 고장관리 세부현황'!$BC:$BC,"완료",'2023년 신조차 고장관리 세부현황'!$CY:$CY,"C/I")</f>
        <v>0</v>
      </c>
      <c r="BW316" s="85">
        <f>COUNTIFS('2023년 신조차 고장관리 세부현황'!$K:$K,"448R",'2023년 신조차 고장관리 세부현황'!$P:$P,"&gt;="&amp;'트랜드 분석_15일'!BV$27,'2023년 신조차 고장관리 세부현황'!$P:$P,"&lt;"&amp;'트랜드 분석_15일'!BW$27,'2023년 신조차 고장관리 세부현황'!$BC:$BC,"완료",'2023년 신조차 고장관리 세부현황'!$CY:$CY,"C/I")</f>
        <v>0</v>
      </c>
      <c r="BX316" s="85">
        <f>COUNTIFS('2023년 신조차 고장관리 세부현황'!$K:$K,"448R",'2023년 신조차 고장관리 세부현황'!$P:$P,"&gt;="&amp;'트랜드 분석_15일'!BW$27,'2023년 신조차 고장관리 세부현황'!$P:$P,"&lt;"&amp;'트랜드 분석_15일'!BX$27,'2023년 신조차 고장관리 세부현황'!$BC:$BC,"완료",'2023년 신조차 고장관리 세부현황'!$CY:$CY,"C/I")</f>
        <v>0</v>
      </c>
      <c r="BY316" s="85">
        <f>COUNTIFS('2023년 신조차 고장관리 세부현황'!$K:$K,"448R",'2023년 신조차 고장관리 세부현황'!$P:$P,"&gt;="&amp;'트랜드 분석_15일'!BX$27,'2023년 신조차 고장관리 세부현황'!$P:$P,"&lt;"&amp;'트랜드 분석_15일'!BY$27,'2023년 신조차 고장관리 세부현황'!$BC:$BC,"완료",'2023년 신조차 고장관리 세부현황'!$CY:$CY,"C/I")</f>
        <v>0</v>
      </c>
      <c r="BZ316" s="85">
        <f>COUNTIFS('2023년 신조차 고장관리 세부현황'!$K:$K,"448R",'2023년 신조차 고장관리 세부현황'!$P:$P,"&gt;="&amp;'트랜드 분석_15일'!BY$27,'2023년 신조차 고장관리 세부현황'!$P:$P,"&lt;"&amp;'트랜드 분석_15일'!BZ$27,'2023년 신조차 고장관리 세부현황'!$BC:$BC,"완료",'2023년 신조차 고장관리 세부현황'!$CY:$CY,"C/I")</f>
        <v>0</v>
      </c>
      <c r="CA316" s="85">
        <f>COUNTIFS('2023년 신조차 고장관리 세부현황'!$K:$K,"448R",'2023년 신조차 고장관리 세부현황'!$P:$P,"&gt;="&amp;'트랜드 분석_15일'!BZ$27,'2023년 신조차 고장관리 세부현황'!$P:$P,"&lt;"&amp;'트랜드 분석_15일'!CA$27,'2023년 신조차 고장관리 세부현황'!$BC:$BC,"완료",'2023년 신조차 고장관리 세부현황'!$CY:$CY,"C/I")</f>
        <v>0</v>
      </c>
      <c r="CB316" s="85">
        <f>COUNTIFS('2023년 신조차 고장관리 세부현황'!$K:$K,"448R",'2023년 신조차 고장관리 세부현황'!$P:$P,"&gt;="&amp;'트랜드 분석_15일'!CA$27,'2023년 신조차 고장관리 세부현황'!$P:$P,"&lt;"&amp;'트랜드 분석_15일'!CB$27,'2023년 신조차 고장관리 세부현황'!$BC:$BC,"완료",'2023년 신조차 고장관리 세부현황'!$CY:$CY,"C/I")</f>
        <v>0</v>
      </c>
      <c r="CC316" s="85">
        <f>COUNTIFS('2023년 신조차 고장관리 세부현황'!$K:$K,"448R",'2023년 신조차 고장관리 세부현황'!$P:$P,"&gt;="&amp;'트랜드 분석_15일'!CB$27,'2023년 신조차 고장관리 세부현황'!$P:$P,"&lt;"&amp;'트랜드 분석_15일'!CC$27,'2023년 신조차 고장관리 세부현황'!$BC:$BC,"완료",'2023년 신조차 고장관리 세부현황'!$CY:$CY,"C/I")</f>
        <v>0</v>
      </c>
      <c r="CD316" s="85">
        <f>COUNTIFS('2023년 신조차 고장관리 세부현황'!$K:$K,"448R",'2023년 신조차 고장관리 세부현황'!$P:$P,"&gt;="&amp;'트랜드 분석_15일'!CC$27,'2023년 신조차 고장관리 세부현황'!$P:$P,"&lt;"&amp;'트랜드 분석_15일'!CD$27,'2023년 신조차 고장관리 세부현황'!$BC:$BC,"완료",'2023년 신조차 고장관리 세부현황'!$CY:$CY,"C/I")</f>
        <v>0</v>
      </c>
      <c r="CE316" s="85">
        <f>COUNTIFS('2023년 신조차 고장관리 세부현황'!$K:$K,"448R",'2023년 신조차 고장관리 세부현황'!$P:$P,"&gt;="&amp;'트랜드 분석_15일'!CD$27,'2023년 신조차 고장관리 세부현황'!$P:$P,"&lt;"&amp;'트랜드 분석_15일'!CE$27,'2023년 신조차 고장관리 세부현황'!$BC:$BC,"완료",'2023년 신조차 고장관리 세부현황'!$CY:$CY,"C/I")</f>
        <v>0</v>
      </c>
      <c r="CF316" s="85">
        <f>COUNTIFS('2023년 신조차 고장관리 세부현황'!$K:$K,"448R",'2023년 신조차 고장관리 세부현황'!$P:$P,"&gt;="&amp;'트랜드 분석_15일'!CE$27,'2023년 신조차 고장관리 세부현황'!$P:$P,"&lt;"&amp;'트랜드 분석_15일'!CF$27,'2023년 신조차 고장관리 세부현황'!$BC:$BC,"완료",'2023년 신조차 고장관리 세부현황'!$CY:$CY,"C/I")</f>
        <v>0</v>
      </c>
      <c r="CG316" s="85">
        <f>COUNTIFS('2023년 신조차 고장관리 세부현황'!$K:$K,"448R",'2023년 신조차 고장관리 세부현황'!$P:$P,"&gt;="&amp;'트랜드 분석_15일'!CF$27,'2023년 신조차 고장관리 세부현황'!$P:$P,"&lt;"&amp;'트랜드 분석_15일'!CG$27,'2023년 신조차 고장관리 세부현황'!$BC:$BC,"완료",'2023년 신조차 고장관리 세부현황'!$CY:$CY,"C/I")</f>
        <v>0</v>
      </c>
      <c r="CH316" s="85">
        <f>COUNTIFS('2023년 신조차 고장관리 세부현황'!$K:$K,"448R",'2023년 신조차 고장관리 세부현황'!$P:$P,"&gt;="&amp;'트랜드 분석_15일'!CG$27,'2023년 신조차 고장관리 세부현황'!$P:$P,"&lt;"&amp;'트랜드 분석_15일'!CH$27,'2023년 신조차 고장관리 세부현황'!$BC:$BC,"완료",'2023년 신조차 고장관리 세부현황'!$CY:$CY,"C/I")</f>
        <v>0</v>
      </c>
      <c r="CI316" s="85">
        <f>COUNTIFS('2023년 신조차 고장관리 세부현황'!$K:$K,"448R",'2023년 신조차 고장관리 세부현황'!$P:$P,"&gt;="&amp;'트랜드 분석_15일'!CH$27,'2023년 신조차 고장관리 세부현황'!$P:$P,"&lt;"&amp;'트랜드 분석_15일'!CI$27,'2023년 신조차 고장관리 세부현황'!$BC:$BC,"완료",'2023년 신조차 고장관리 세부현황'!$CY:$CY,"C/I")</f>
        <v>0</v>
      </c>
      <c r="CJ316" s="85">
        <f>COUNTIFS('2023년 신조차 고장관리 세부현황'!$K:$K,"448R",'2023년 신조차 고장관리 세부현황'!$P:$P,"&gt;="&amp;'트랜드 분석_15일'!CI$27,'2023년 신조차 고장관리 세부현황'!$P:$P,"&lt;"&amp;'트랜드 분석_15일'!CJ$27,'2023년 신조차 고장관리 세부현황'!$BC:$BC,"완료",'2023년 신조차 고장관리 세부현황'!$CY:$CY,"C/I")</f>
        <v>0</v>
      </c>
      <c r="CK316" s="85">
        <f>COUNTIFS('2023년 신조차 고장관리 세부현황'!$K:$K,"448R",'2023년 신조차 고장관리 세부현황'!$P:$P,"&gt;="&amp;'트랜드 분석_15일'!CJ$27,'2023년 신조차 고장관리 세부현황'!$P:$P,"&lt;"&amp;'트랜드 분석_15일'!CK$27,'2023년 신조차 고장관리 세부현황'!$BC:$BC,"완료",'2023년 신조차 고장관리 세부현황'!$CY:$CY,"C/I")</f>
        <v>0</v>
      </c>
      <c r="CL316" s="85">
        <f>COUNTIFS('2023년 신조차 고장관리 세부현황'!$K:$K,"448R",'2023년 신조차 고장관리 세부현황'!$P:$P,"&gt;="&amp;'트랜드 분석_15일'!CK$27,'2023년 신조차 고장관리 세부현황'!$P:$P,"&lt;"&amp;'트랜드 분석_15일'!CL$27,'2023년 신조차 고장관리 세부현황'!$BC:$BC,"완료",'2023년 신조차 고장관리 세부현황'!$CY:$CY,"C/I")</f>
        <v>0</v>
      </c>
      <c r="CM316" s="85">
        <f>COUNTIFS('2023년 신조차 고장관리 세부현황'!$K:$K,"448R",'2023년 신조차 고장관리 세부현황'!$P:$P,"&gt;="&amp;'트랜드 분석_15일'!CL$27,'2023년 신조차 고장관리 세부현황'!$P:$P,"&lt;"&amp;'트랜드 분석_15일'!CM$27,'2023년 신조차 고장관리 세부현황'!$BC:$BC,"완료",'2023년 신조차 고장관리 세부현황'!$CY:$CY,"C/I")</f>
        <v>0</v>
      </c>
      <c r="CN316" s="85">
        <f>COUNTIFS('2023년 신조차 고장관리 세부현황'!$K:$K,"448R",'2023년 신조차 고장관리 세부현황'!$P:$P,"&gt;="&amp;'트랜드 분석_15일'!CM$27,'2023년 신조차 고장관리 세부현황'!$P:$P,"&lt;"&amp;'트랜드 분석_15일'!CN$27,'2023년 신조차 고장관리 세부현황'!$BC:$BC,"완료",'2023년 신조차 고장관리 세부현황'!$CY:$CY,"C/I")</f>
        <v>0</v>
      </c>
      <c r="CO316" s="85">
        <f>COUNTIFS('2023년 신조차 고장관리 세부현황'!$K:$K,"448R",'2023년 신조차 고장관리 세부현황'!$P:$P,"&gt;="&amp;'트랜드 분석_15일'!CN$27,'2023년 신조차 고장관리 세부현황'!$P:$P,"&lt;"&amp;'트랜드 분석_15일'!CO$27,'2023년 신조차 고장관리 세부현황'!$BC:$BC,"완료",'2023년 신조차 고장관리 세부현황'!$CY:$CY,"C/I")</f>
        <v>0</v>
      </c>
      <c r="CP316" s="85">
        <f>COUNTIFS('2023년 신조차 고장관리 세부현황'!$K:$K,"448R",'2023년 신조차 고장관리 세부현황'!$P:$P,"&gt;="&amp;'트랜드 분석_15일'!CO$27,'2023년 신조차 고장관리 세부현황'!$P:$P,"&lt;"&amp;'트랜드 분석_15일'!CP$27,'2023년 신조차 고장관리 세부현황'!$BC:$BC,"완료",'2023년 신조차 고장관리 세부현황'!$CY:$CY,"C/I")</f>
        <v>0</v>
      </c>
      <c r="CQ316" s="85">
        <f>COUNTIFS('2023년 신조차 고장관리 세부현황'!$K:$K,"448R",'2023년 신조차 고장관리 세부현황'!$P:$P,"&gt;="&amp;'트랜드 분석_15일'!CP$27,'2023년 신조차 고장관리 세부현황'!$P:$P,"&lt;"&amp;'트랜드 분석_15일'!CQ$27,'2023년 신조차 고장관리 세부현황'!$BC:$BC,"완료",'2023년 신조차 고장관리 세부현황'!$CY:$CY,"C/I")</f>
        <v>0</v>
      </c>
      <c r="CR316" s="85">
        <f>COUNTIFS('2023년 신조차 고장관리 세부현황'!$K:$K,"448R",'2023년 신조차 고장관리 세부현황'!$P:$P,"&gt;="&amp;'트랜드 분석_15일'!CQ$27,'2023년 신조차 고장관리 세부현황'!$P:$P,"&lt;"&amp;'트랜드 분석_15일'!CR$27,'2023년 신조차 고장관리 세부현황'!$BC:$BC,"완료",'2023년 신조차 고장관리 세부현황'!$CY:$CY,"C/I")</f>
        <v>0</v>
      </c>
      <c r="CS316" s="85">
        <f>COUNTIFS('2023년 신조차 고장관리 세부현황'!$K:$K,"448R",'2023년 신조차 고장관리 세부현황'!$P:$P,"&gt;="&amp;'트랜드 분석_15일'!CR$27,'2023년 신조차 고장관리 세부현황'!$P:$P,"&lt;"&amp;'트랜드 분석_15일'!CS$27,'2023년 신조차 고장관리 세부현황'!$BC:$BC,"완료",'2023년 신조차 고장관리 세부현황'!$CY:$CY,"C/I")</f>
        <v>0</v>
      </c>
      <c r="CT316" s="85">
        <f>COUNTIFS('2023년 신조차 고장관리 세부현황'!$K:$K,"448R",'2023년 신조차 고장관리 세부현황'!$P:$P,"&gt;="&amp;'트랜드 분석_15일'!CS$27,'2023년 신조차 고장관리 세부현황'!$P:$P,"&lt;"&amp;'트랜드 분석_15일'!CT$27,'2023년 신조차 고장관리 세부현황'!$BC:$BC,"완료",'2023년 신조차 고장관리 세부현황'!$CY:$CY,"C/I")</f>
        <v>0</v>
      </c>
      <c r="CU316" s="85">
        <f>COUNTIFS('2023년 신조차 고장관리 세부현황'!$K:$K,"448R",'2023년 신조차 고장관리 세부현황'!$P:$P,"&gt;="&amp;'트랜드 분석_15일'!CT$27,'2023년 신조차 고장관리 세부현황'!$P:$P,"&lt;"&amp;'트랜드 분석_15일'!CU$27,'2023년 신조차 고장관리 세부현황'!$BC:$BC,"완료",'2023년 신조차 고장관리 세부현황'!$CY:$CY,"C/I")</f>
        <v>0</v>
      </c>
      <c r="CV316" s="85">
        <f>COUNTIFS('2023년 신조차 고장관리 세부현황'!$K:$K,"448R",'2023년 신조차 고장관리 세부현황'!$P:$P,"&gt;="&amp;'트랜드 분석_15일'!CU$27,'2023년 신조차 고장관리 세부현황'!$P:$P,"&lt;"&amp;'트랜드 분석_15일'!CV$27,'2023년 신조차 고장관리 세부현황'!$BC:$BC,"완료",'2023년 신조차 고장관리 세부현황'!$CY:$CY,"C/I")</f>
        <v>0</v>
      </c>
      <c r="CW316" s="85">
        <f>COUNTIFS('2023년 신조차 고장관리 세부현황'!$K:$K,"448R",'2023년 신조차 고장관리 세부현황'!$P:$P,"&gt;="&amp;'트랜드 분석_15일'!CV$27,'2023년 신조차 고장관리 세부현황'!$P:$P,"&lt;"&amp;'트랜드 분석_15일'!CW$27,'2023년 신조차 고장관리 세부현황'!$BC:$BC,"완료",'2023년 신조차 고장관리 세부현황'!$CY:$CY,"C/I")</f>
        <v>0</v>
      </c>
      <c r="CX316">
        <f ca="1">SUM(G316:CW316)</f>
        <v>0</v>
      </c>
    </row>
    <row r="317" spans="6:103" x14ac:dyDescent="0.4">
      <c r="F317" s="85" t="s">
        <v>164</v>
      </c>
      <c r="G317" s="85">
        <f>COUNTIFS('2023년 신조차 고장관리 세부현황'!$K:$K,"448R",'2023년 신조차 고장관리 세부현황'!$P:$P,"&gt;="&amp;$G$26,'2023년 신조차 고장관리 세부현황'!$P:$P,"&lt;"&amp;'트랜드 분석_15일'!G$27,'2023년 신조차 고장관리 세부현황'!$S:$S,'트랜드 분석_15일'!$F317,'2023년 신조차 고장관리 세부현황'!$BC:$BC,"완료",'2023년 신조차 고장관리 세부현황'!$CY:$CY,"C/I")</f>
        <v>0</v>
      </c>
      <c r="H317"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분석_15일'!$F317,'2023년 신조차 고장관리 세부현황'!$BC:$BC,"완료",'2023년 신조차 고장관리 세부현황'!$CY:$CY,"C/I")</f>
        <v>0</v>
      </c>
      <c r="I317"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분석_15일'!$F317,'2023년 신조차 고장관리 세부현황'!$BC:$BC,"완료",'2023년 신조차 고장관리 세부현황'!$CY:$CY,"C/I")</f>
        <v>0</v>
      </c>
      <c r="J317"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분석_15일'!$F317,'2023년 신조차 고장관리 세부현황'!$BC:$BC,"완료",'2023년 신조차 고장관리 세부현황'!$CY:$CY,"C/I")</f>
        <v>0</v>
      </c>
      <c r="K317"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분석_15일'!$F317,'2023년 신조차 고장관리 세부현황'!$BC:$BC,"완료",'2023년 신조차 고장관리 세부현황'!$CY:$CY,"C/I")</f>
        <v>0</v>
      </c>
      <c r="L317"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분석_15일'!$F317,'2023년 신조차 고장관리 세부현황'!$BC:$BC,"완료",'2023년 신조차 고장관리 세부현황'!$CY:$CY,"C/I")</f>
        <v>0</v>
      </c>
      <c r="M317"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분석_15일'!$F317,'2023년 신조차 고장관리 세부현황'!$BC:$BC,"완료",'2023년 신조차 고장관리 세부현황'!$CY:$CY,"C/I")</f>
        <v>0</v>
      </c>
      <c r="N317"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분석_15일'!$F317,'2023년 신조차 고장관리 세부현황'!$BC:$BC,"완료",'2023년 신조차 고장관리 세부현황'!$CY:$CY,"C/I")</f>
        <v>0</v>
      </c>
      <c r="O317"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분석_15일'!$F317,'2023년 신조차 고장관리 세부현황'!$BC:$BC,"완료",'2023년 신조차 고장관리 세부현황'!$CY:$CY,"C/I")</f>
        <v>0</v>
      </c>
      <c r="P317"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분석_15일'!$F317,'2023년 신조차 고장관리 세부현황'!$BC:$BC,"완료",'2023년 신조차 고장관리 세부현황'!$CY:$CY,"C/I")</f>
        <v>0</v>
      </c>
      <c r="Q317"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분석_15일'!$F317,'2023년 신조차 고장관리 세부현황'!$BC:$BC,"완료",'2023년 신조차 고장관리 세부현황'!$CY:$CY,"C/I")</f>
        <v>0</v>
      </c>
      <c r="R317"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분석_15일'!$F317,'2023년 신조차 고장관리 세부현황'!$BC:$BC,"완료",'2023년 신조차 고장관리 세부현황'!$CY:$CY,"C/I")</f>
        <v>0</v>
      </c>
      <c r="S317"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분석_15일'!$F317,'2023년 신조차 고장관리 세부현황'!$BC:$BC,"완료",'2023년 신조차 고장관리 세부현황'!$CY:$CY,"C/I")</f>
        <v>0</v>
      </c>
      <c r="T317"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분석_15일'!$F317,'2023년 신조차 고장관리 세부현황'!$BC:$BC,"완료",'2023년 신조차 고장관리 세부현황'!$CY:$CY,"C/I")</f>
        <v>0</v>
      </c>
      <c r="U317"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분석_15일'!$F317,'2023년 신조차 고장관리 세부현황'!$BC:$BC,"완료",'2023년 신조차 고장관리 세부현황'!$CY:$CY,"C/I")</f>
        <v>0</v>
      </c>
      <c r="V317"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분석_15일'!$F317,'2023년 신조차 고장관리 세부현황'!$BC:$BC,"완료",'2023년 신조차 고장관리 세부현황'!$CY:$CY,"C/I")</f>
        <v>0</v>
      </c>
      <c r="W317"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분석_15일'!$F317,'2023년 신조차 고장관리 세부현황'!$BC:$BC,"완료",'2023년 신조차 고장관리 세부현황'!$CY:$CY,"C/I")</f>
        <v>0</v>
      </c>
      <c r="X317"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분석_15일'!$F317,'2023년 신조차 고장관리 세부현황'!$BC:$BC,"완료",'2023년 신조차 고장관리 세부현황'!$CY:$CY,"C/I")</f>
        <v>0</v>
      </c>
      <c r="Y317"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분석_15일'!$F317,'2023년 신조차 고장관리 세부현황'!$BC:$BC,"완료",'2023년 신조차 고장관리 세부현황'!$CY:$CY,"C/I")</f>
        <v>0</v>
      </c>
      <c r="Z317"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분석_15일'!$F317,'2023년 신조차 고장관리 세부현황'!$BC:$BC,"완료",'2023년 신조차 고장관리 세부현황'!$CY:$CY,"C/I")</f>
        <v>0</v>
      </c>
      <c r="AA317"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분석_15일'!$F317,'2023년 신조차 고장관리 세부현황'!$BC:$BC,"완료",'2023년 신조차 고장관리 세부현황'!$CY:$CY,"C/I")</f>
        <v>0</v>
      </c>
      <c r="AB317"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분석_15일'!$F317,'2023년 신조차 고장관리 세부현황'!$BC:$BC,"완료",'2023년 신조차 고장관리 세부현황'!$CY:$CY,"C/I")</f>
        <v>0</v>
      </c>
      <c r="AC317"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분석_15일'!$F317,'2023년 신조차 고장관리 세부현황'!$BC:$BC,"완료",'2023년 신조차 고장관리 세부현황'!$CY:$CY,"C/I")</f>
        <v>0</v>
      </c>
      <c r="AD317"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분석_15일'!$F317,'2023년 신조차 고장관리 세부현황'!$BC:$BC,"완료",'2023년 신조차 고장관리 세부현황'!$CY:$CY,"C/I")</f>
        <v>0</v>
      </c>
      <c r="AE317"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분석_15일'!$F317,'2023년 신조차 고장관리 세부현황'!$BC:$BC,"완료",'2023년 신조차 고장관리 세부현황'!$CY:$CY,"C/I")</f>
        <v>0</v>
      </c>
      <c r="AF317"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분석_15일'!$F317,'2023년 신조차 고장관리 세부현황'!$BC:$BC,"완료",'2023년 신조차 고장관리 세부현황'!$CY:$CY,"C/I")</f>
        <v>0</v>
      </c>
      <c r="AG317"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분석_15일'!$F317,'2023년 신조차 고장관리 세부현황'!$BC:$BC,"완료",'2023년 신조차 고장관리 세부현황'!$CY:$CY,"C/I")</f>
        <v>0</v>
      </c>
      <c r="AH317"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분석_15일'!$F317,'2023년 신조차 고장관리 세부현황'!$BC:$BC,"완료",'2023년 신조차 고장관리 세부현황'!$CY:$CY,"C/I")</f>
        <v>0</v>
      </c>
      <c r="AI317"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분석_15일'!$F317,'2023년 신조차 고장관리 세부현황'!$BC:$BC,"완료",'2023년 신조차 고장관리 세부현황'!$CY:$CY,"C/I")</f>
        <v>0</v>
      </c>
      <c r="AJ317"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분석_15일'!$F317,'2023년 신조차 고장관리 세부현황'!$BC:$BC,"완료",'2023년 신조차 고장관리 세부현황'!$CY:$CY,"C/I")</f>
        <v>0</v>
      </c>
      <c r="AK317"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분석_15일'!$F317,'2023년 신조차 고장관리 세부현황'!$BC:$BC,"완료",'2023년 신조차 고장관리 세부현황'!$CY:$CY,"C/I")</f>
        <v>0</v>
      </c>
      <c r="AL317"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분석_15일'!$F317,'2023년 신조차 고장관리 세부현황'!$BC:$BC,"완료",'2023년 신조차 고장관리 세부현황'!$CY:$CY,"C/I")</f>
        <v>0</v>
      </c>
      <c r="AM317"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분석_15일'!$F317,'2023년 신조차 고장관리 세부현황'!$BC:$BC,"완료",'2023년 신조차 고장관리 세부현황'!$CY:$CY,"C/I")</f>
        <v>0</v>
      </c>
      <c r="AN317"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분석_15일'!$F317,'2023년 신조차 고장관리 세부현황'!$BC:$BC,"완료",'2023년 신조차 고장관리 세부현황'!$CY:$CY,"C/I")</f>
        <v>0</v>
      </c>
      <c r="AO317"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분석_15일'!$F317,'2023년 신조차 고장관리 세부현황'!$BC:$BC,"완료",'2023년 신조차 고장관리 세부현황'!$CY:$CY,"C/I")</f>
        <v>0</v>
      </c>
      <c r="AP317"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분석_15일'!$F317,'2023년 신조차 고장관리 세부현황'!$BC:$BC,"완료",'2023년 신조차 고장관리 세부현황'!$CY:$CY,"C/I")</f>
        <v>0</v>
      </c>
      <c r="AQ317"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분석_15일'!$F317,'2023년 신조차 고장관리 세부현황'!$BC:$BC,"완료",'2023년 신조차 고장관리 세부현황'!$CY:$CY,"C/I")</f>
        <v>0</v>
      </c>
      <c r="AR317"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분석_15일'!$F317,'2023년 신조차 고장관리 세부현황'!$BC:$BC,"완료",'2023년 신조차 고장관리 세부현황'!$CY:$CY,"C/I")</f>
        <v>0</v>
      </c>
      <c r="AS317"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분석_15일'!$F317,'2023년 신조차 고장관리 세부현황'!$BC:$BC,"완료",'2023년 신조차 고장관리 세부현황'!$CY:$CY,"C/I")</f>
        <v>0</v>
      </c>
      <c r="AT317"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분석_15일'!$F317,'2023년 신조차 고장관리 세부현황'!$BC:$BC,"완료",'2023년 신조차 고장관리 세부현황'!$CY:$CY,"C/I")</f>
        <v>0</v>
      </c>
      <c r="AU317"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분석_15일'!$F317,'2023년 신조차 고장관리 세부현황'!$BC:$BC,"완료",'2023년 신조차 고장관리 세부현황'!$CY:$CY,"C/I")</f>
        <v>0</v>
      </c>
      <c r="AV317"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분석_15일'!$F317,'2023년 신조차 고장관리 세부현황'!$BC:$BC,"완료",'2023년 신조차 고장관리 세부현황'!$CY:$CY,"C/I")</f>
        <v>0</v>
      </c>
      <c r="AW317"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분석_15일'!$F317,'2023년 신조차 고장관리 세부현황'!$BC:$BC,"완료",'2023년 신조차 고장관리 세부현황'!$CY:$CY,"C/I")</f>
        <v>0</v>
      </c>
      <c r="AX317"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분석_15일'!$F317,'2023년 신조차 고장관리 세부현황'!$BC:$BC,"완료",'2023년 신조차 고장관리 세부현황'!$CY:$CY,"C/I")</f>
        <v>0</v>
      </c>
      <c r="AY317"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분석_15일'!$F317,'2023년 신조차 고장관리 세부현황'!$BC:$BC,"완료",'2023년 신조차 고장관리 세부현황'!$CY:$CY,"C/I")</f>
        <v>0</v>
      </c>
      <c r="AZ317"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분석_15일'!$F317,'2023년 신조차 고장관리 세부현황'!$BC:$BC,"완료",'2023년 신조차 고장관리 세부현황'!$CY:$CY,"C/I")</f>
        <v>0</v>
      </c>
      <c r="BA317"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분석_15일'!$F317,'2023년 신조차 고장관리 세부현황'!$BC:$BC,"완료",'2023년 신조차 고장관리 세부현황'!$CY:$CY,"C/I")</f>
        <v>0</v>
      </c>
      <c r="BB317"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분석_15일'!$F317,'2023년 신조차 고장관리 세부현황'!$BC:$BC,"완료",'2023년 신조차 고장관리 세부현황'!$CY:$CY,"C/I")</f>
        <v>0</v>
      </c>
      <c r="BC317"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분석_15일'!$F317,'2023년 신조차 고장관리 세부현황'!$BC:$BC,"완료",'2023년 신조차 고장관리 세부현황'!$CY:$CY,"C/I")</f>
        <v>0</v>
      </c>
      <c r="BD317"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분석_15일'!$F317,'2023년 신조차 고장관리 세부현황'!$BC:$BC,"완료",'2023년 신조차 고장관리 세부현황'!$CY:$CY,"C/I")</f>
        <v>0</v>
      </c>
      <c r="BE317"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분석_15일'!$F317,'2023년 신조차 고장관리 세부현황'!$BC:$BC,"완료",'2023년 신조차 고장관리 세부현황'!$CY:$CY,"C/I")</f>
        <v>0</v>
      </c>
      <c r="BF317"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분석_15일'!$F317,'2023년 신조차 고장관리 세부현황'!$BC:$BC,"완료",'2023년 신조차 고장관리 세부현황'!$CY:$CY,"C/I")</f>
        <v>0</v>
      </c>
      <c r="BG317"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분석_15일'!$F317,'2023년 신조차 고장관리 세부현황'!$BC:$BC,"완료",'2023년 신조차 고장관리 세부현황'!$CY:$CY,"C/I")</f>
        <v>0</v>
      </c>
      <c r="BH317"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분석_15일'!$F317,'2023년 신조차 고장관리 세부현황'!$BC:$BC,"완료",'2023년 신조차 고장관리 세부현황'!$CY:$CY,"C/I")</f>
        <v>0</v>
      </c>
      <c r="BI317"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분석_15일'!$F317,'2023년 신조차 고장관리 세부현황'!$BC:$BC,"완료",'2023년 신조차 고장관리 세부현황'!$CY:$CY,"C/I")</f>
        <v>0</v>
      </c>
      <c r="BJ317"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분석_15일'!$F317,'2023년 신조차 고장관리 세부현황'!$BC:$BC,"완료",'2023년 신조차 고장관리 세부현황'!$CY:$CY,"C/I")</f>
        <v>0</v>
      </c>
      <c r="BK317"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분석_15일'!$F317,'2023년 신조차 고장관리 세부현황'!$BC:$BC,"완료",'2023년 신조차 고장관리 세부현황'!$CY:$CY,"C/I")</f>
        <v>0</v>
      </c>
      <c r="BL317"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분석_15일'!$F317,'2023년 신조차 고장관리 세부현황'!$BC:$BC,"완료",'2023년 신조차 고장관리 세부현황'!$CY:$CY,"C/I")</f>
        <v>0</v>
      </c>
      <c r="BM317"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분석_15일'!$F317,'2023년 신조차 고장관리 세부현황'!$BC:$BC,"완료",'2023년 신조차 고장관리 세부현황'!$CY:$CY,"C/I")</f>
        <v>0</v>
      </c>
      <c r="BN317"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분석_15일'!$F317,'2023년 신조차 고장관리 세부현황'!$BC:$BC,"완료",'2023년 신조차 고장관리 세부현황'!$CY:$CY,"C/I")</f>
        <v>0</v>
      </c>
      <c r="BO317"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분석_15일'!$F317,'2023년 신조차 고장관리 세부현황'!$BC:$BC,"완료",'2023년 신조차 고장관리 세부현황'!$CY:$CY,"C/I")</f>
        <v>0</v>
      </c>
      <c r="BP317"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분석_15일'!$F317,'2023년 신조차 고장관리 세부현황'!$BC:$BC,"완료",'2023년 신조차 고장관리 세부현황'!$CY:$CY,"C/I")</f>
        <v>0</v>
      </c>
      <c r="BQ317"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분석_15일'!$F317,'2023년 신조차 고장관리 세부현황'!$BC:$BC,"완료",'2023년 신조차 고장관리 세부현황'!$CY:$CY,"C/I")</f>
        <v>0</v>
      </c>
      <c r="BR317"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분석_15일'!$F317,'2023년 신조차 고장관리 세부현황'!$BC:$BC,"완료",'2023년 신조차 고장관리 세부현황'!$CY:$CY,"C/I")</f>
        <v>0</v>
      </c>
      <c r="BS317"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분석_15일'!$F317,'2023년 신조차 고장관리 세부현황'!$BC:$BC,"완료",'2023년 신조차 고장관리 세부현황'!$CY:$CY,"C/I")</f>
        <v>0</v>
      </c>
      <c r="BT317"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분석_15일'!$F317,'2023년 신조차 고장관리 세부현황'!$BC:$BC,"완료",'2023년 신조차 고장관리 세부현황'!$CY:$CY,"C/I")</f>
        <v>0</v>
      </c>
      <c r="BU317"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분석_15일'!$F317,'2023년 신조차 고장관리 세부현황'!$BC:$BC,"완료",'2023년 신조차 고장관리 세부현황'!$CY:$CY,"C/I")</f>
        <v>0</v>
      </c>
      <c r="BV317"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분석_15일'!$F317,'2023년 신조차 고장관리 세부현황'!$BC:$BC,"완료",'2023년 신조차 고장관리 세부현황'!$CY:$CY,"C/I")</f>
        <v>0</v>
      </c>
      <c r="BW317"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분석_15일'!$F317,'2023년 신조차 고장관리 세부현황'!$BC:$BC,"완료",'2023년 신조차 고장관리 세부현황'!$CY:$CY,"C/I")</f>
        <v>0</v>
      </c>
      <c r="BX317"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분석_15일'!$F317,'2023년 신조차 고장관리 세부현황'!$BC:$BC,"완료",'2023년 신조차 고장관리 세부현황'!$CY:$CY,"C/I")</f>
        <v>0</v>
      </c>
      <c r="BY317"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분석_15일'!$F317,'2023년 신조차 고장관리 세부현황'!$BC:$BC,"완료",'2023년 신조차 고장관리 세부현황'!$CY:$CY,"C/I")</f>
        <v>0</v>
      </c>
      <c r="BZ317"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분석_15일'!$F317,'2023년 신조차 고장관리 세부현황'!$BC:$BC,"완료",'2023년 신조차 고장관리 세부현황'!$CY:$CY,"C/I")</f>
        <v>0</v>
      </c>
      <c r="CA317"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분석_15일'!$F317,'2023년 신조차 고장관리 세부현황'!$BC:$BC,"완료",'2023년 신조차 고장관리 세부현황'!$CY:$CY,"C/I")</f>
        <v>0</v>
      </c>
      <c r="CB317"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분석_15일'!$F317,'2023년 신조차 고장관리 세부현황'!$BC:$BC,"완료",'2023년 신조차 고장관리 세부현황'!$CY:$CY,"C/I")</f>
        <v>0</v>
      </c>
      <c r="CC317"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분석_15일'!$F317,'2023년 신조차 고장관리 세부현황'!$BC:$BC,"완료",'2023년 신조차 고장관리 세부현황'!$CY:$CY,"C/I")</f>
        <v>0</v>
      </c>
      <c r="CD317"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분석_15일'!$F317,'2023년 신조차 고장관리 세부현황'!$BC:$BC,"완료",'2023년 신조차 고장관리 세부현황'!$CY:$CY,"C/I")</f>
        <v>0</v>
      </c>
      <c r="CE317"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분석_15일'!$F317,'2023년 신조차 고장관리 세부현황'!$BC:$BC,"완료",'2023년 신조차 고장관리 세부현황'!$CY:$CY,"C/I")</f>
        <v>0</v>
      </c>
      <c r="CF317"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분석_15일'!$F317,'2023년 신조차 고장관리 세부현황'!$BC:$BC,"완료",'2023년 신조차 고장관리 세부현황'!$CY:$CY,"C/I")</f>
        <v>0</v>
      </c>
      <c r="CG317"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분석_15일'!$F317,'2023년 신조차 고장관리 세부현황'!$BC:$BC,"완료",'2023년 신조차 고장관리 세부현황'!$CY:$CY,"C/I")</f>
        <v>0</v>
      </c>
      <c r="CH317"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분석_15일'!$F317,'2023년 신조차 고장관리 세부현황'!$BC:$BC,"완료",'2023년 신조차 고장관리 세부현황'!$CY:$CY,"C/I")</f>
        <v>0</v>
      </c>
      <c r="CI317"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분석_15일'!$F317,'2023년 신조차 고장관리 세부현황'!$BC:$BC,"완료",'2023년 신조차 고장관리 세부현황'!$CY:$CY,"C/I")</f>
        <v>0</v>
      </c>
      <c r="CJ317"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분석_15일'!$F317,'2023년 신조차 고장관리 세부현황'!$BC:$BC,"완료",'2023년 신조차 고장관리 세부현황'!$CY:$CY,"C/I")</f>
        <v>0</v>
      </c>
      <c r="CK317"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분석_15일'!$F317,'2023년 신조차 고장관리 세부현황'!$BC:$BC,"완료",'2023년 신조차 고장관리 세부현황'!$CY:$CY,"C/I")</f>
        <v>0</v>
      </c>
      <c r="CL317"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분석_15일'!$F317,'2023년 신조차 고장관리 세부현황'!$BC:$BC,"완료",'2023년 신조차 고장관리 세부현황'!$CY:$CY,"C/I")</f>
        <v>0</v>
      </c>
      <c r="CM317"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분석_15일'!$F317,'2023년 신조차 고장관리 세부현황'!$BC:$BC,"완료",'2023년 신조차 고장관리 세부현황'!$CY:$CY,"C/I")</f>
        <v>0</v>
      </c>
      <c r="CN317"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분석_15일'!$F317,'2023년 신조차 고장관리 세부현황'!$BC:$BC,"완료",'2023년 신조차 고장관리 세부현황'!$CY:$CY,"C/I")</f>
        <v>0</v>
      </c>
      <c r="CO317"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분석_15일'!$F317,'2023년 신조차 고장관리 세부현황'!$BC:$BC,"완료",'2023년 신조차 고장관리 세부현황'!$CY:$CY,"C/I")</f>
        <v>0</v>
      </c>
      <c r="CP317"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분석_15일'!$F317,'2023년 신조차 고장관리 세부현황'!$BC:$BC,"완료",'2023년 신조차 고장관리 세부현황'!$CY:$CY,"C/I")</f>
        <v>0</v>
      </c>
      <c r="CQ317"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분석_15일'!$F317,'2023년 신조차 고장관리 세부현황'!$BC:$BC,"완료",'2023년 신조차 고장관리 세부현황'!$CY:$CY,"C/I")</f>
        <v>0</v>
      </c>
      <c r="CR317"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분석_15일'!$F317,'2023년 신조차 고장관리 세부현황'!$BC:$BC,"완료",'2023년 신조차 고장관리 세부현황'!$CY:$CY,"C/I")</f>
        <v>0</v>
      </c>
      <c r="CS317"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분석_15일'!$F317,'2023년 신조차 고장관리 세부현황'!$BC:$BC,"완료",'2023년 신조차 고장관리 세부현황'!$CY:$CY,"C/I")</f>
        <v>0</v>
      </c>
      <c r="CT317"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분석_15일'!$F317,'2023년 신조차 고장관리 세부현황'!$BC:$BC,"완료",'2023년 신조차 고장관리 세부현황'!$CY:$CY,"C/I")</f>
        <v>0</v>
      </c>
      <c r="CU317"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분석_15일'!$F317,'2023년 신조차 고장관리 세부현황'!$BC:$BC,"완료",'2023년 신조차 고장관리 세부현황'!$CY:$CY,"C/I")</f>
        <v>0</v>
      </c>
      <c r="CV317"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분석_15일'!$F317,'2023년 신조차 고장관리 세부현황'!$BC:$BC,"완료",'2023년 신조차 고장관리 세부현황'!$CY:$CY,"C/I")</f>
        <v>0</v>
      </c>
      <c r="CW317"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분석_15일'!$F317,'2023년 신조차 고장관리 세부현황'!$BC:$BC,"완료",'2023년 신조차 고장관리 세부현황'!$CY:$CY,"C/I")</f>
        <v>0</v>
      </c>
      <c r="CX317">
        <f>SUM(G317:CW317)</f>
        <v>0</v>
      </c>
    </row>
    <row r="318" spans="6:103" x14ac:dyDescent="0.4">
      <c r="F318" s="85" t="s">
        <v>223</v>
      </c>
      <c r="G318" s="85">
        <f>COUNTIFS('2023년 신조차 고장관리 세부현황'!$K:$K,"448R",'2023년 신조차 고장관리 세부현황'!$P:$P,"&gt;="&amp;$G$26,'2023년 신조차 고장관리 세부현황'!$P:$P,"&lt;"&amp;'트랜드 분석_15일'!G$27,'2023년 신조차 고장관리 세부현황'!$S:$S,'트랜드 분석_15일'!$F318,'2023년 신조차 고장관리 세부현황'!$BC:$BC,"완료",'2023년 신조차 고장관리 세부현황'!$CY:$CY,"C/I")</f>
        <v>0</v>
      </c>
      <c r="H318"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분석_15일'!$F318,'2023년 신조차 고장관리 세부현황'!$BC:$BC,"완료",'2023년 신조차 고장관리 세부현황'!$CY:$CY,"C/I")</f>
        <v>0</v>
      </c>
      <c r="I318"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분석_15일'!$F318,'2023년 신조차 고장관리 세부현황'!$BC:$BC,"완료",'2023년 신조차 고장관리 세부현황'!$CY:$CY,"C/I")</f>
        <v>0</v>
      </c>
      <c r="J318"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분석_15일'!$F318,'2023년 신조차 고장관리 세부현황'!$BC:$BC,"완료",'2023년 신조차 고장관리 세부현황'!$CY:$CY,"C/I")</f>
        <v>0</v>
      </c>
      <c r="K318"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분석_15일'!$F318,'2023년 신조차 고장관리 세부현황'!$BC:$BC,"완료",'2023년 신조차 고장관리 세부현황'!$CY:$CY,"C/I")</f>
        <v>0</v>
      </c>
      <c r="L318"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분석_15일'!$F318,'2023년 신조차 고장관리 세부현황'!$BC:$BC,"완료",'2023년 신조차 고장관리 세부현황'!$CY:$CY,"C/I")</f>
        <v>0</v>
      </c>
      <c r="M318"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분석_15일'!$F318,'2023년 신조차 고장관리 세부현황'!$BC:$BC,"완료",'2023년 신조차 고장관리 세부현황'!$CY:$CY,"C/I")</f>
        <v>0</v>
      </c>
      <c r="N318"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분석_15일'!$F318,'2023년 신조차 고장관리 세부현황'!$BC:$BC,"완료",'2023년 신조차 고장관리 세부현황'!$CY:$CY,"C/I")</f>
        <v>0</v>
      </c>
      <c r="O318"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분석_15일'!$F318,'2023년 신조차 고장관리 세부현황'!$BC:$BC,"완료",'2023년 신조차 고장관리 세부현황'!$CY:$CY,"C/I")</f>
        <v>0</v>
      </c>
      <c r="P318" s="85">
        <f ca="1">COUNTIFS('2023년 신조차 고장관리 세부현황'!$K:$K,"448R",'2023년 신조차 고장관리 세부현황'!$P:$P,"&gt;="&amp;'트랜드 분석_15일'!O$27,'2023년 신조차 고장관리 세부현황'!$P:$P,"&lt;"&amp;'트랜드 분석_15일'!P$27,'2023년 신조차 고장관리 세부현황'!$S:$S,'트랜드 분석_15일'!$F318,'2023년 신조차 고장관리 세부현황'!$BC:$BC,"완료",'2023년 신조차 고장관리 세부현황'!$CY:$CY,"C/I")</f>
        <v>0</v>
      </c>
      <c r="Q318"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분석_15일'!$F318,'2023년 신조차 고장관리 세부현황'!$BC:$BC,"완료",'2023년 신조차 고장관리 세부현황'!$CY:$CY,"C/I")</f>
        <v>0</v>
      </c>
      <c r="R318" s="85">
        <f ca="1">COUNTIFS('2023년 신조차 고장관리 세부현황'!$K:$K,"448R",'2023년 신조차 고장관리 세부현황'!$P:$P,"&gt;="&amp;'트랜드 분석_15일'!Q$27,'2023년 신조차 고장관리 세부현황'!$P:$P,"&lt;"&amp;'트랜드 분석_15일'!R$27,'2023년 신조차 고장관리 세부현황'!$S:$S,'트랜드 분석_15일'!$F318,'2023년 신조차 고장관리 세부현황'!$BC:$BC,"완료",'2023년 신조차 고장관리 세부현황'!$CY:$CY,"C/I")</f>
        <v>0</v>
      </c>
      <c r="S318" s="85">
        <f ca="1">COUNTIFS('2023년 신조차 고장관리 세부현황'!$K:$K,"448R",'2023년 신조차 고장관리 세부현황'!$P:$P,"&gt;="&amp;'트랜드 분석_15일'!R$27,'2023년 신조차 고장관리 세부현황'!$P:$P,"&lt;"&amp;'트랜드 분석_15일'!S$27,'2023년 신조차 고장관리 세부현황'!$S:$S,'트랜드 분석_15일'!$F318,'2023년 신조차 고장관리 세부현황'!$BC:$BC,"완료",'2023년 신조차 고장관리 세부현황'!$CY:$CY,"C/I")</f>
        <v>0</v>
      </c>
      <c r="T318"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분석_15일'!$F318,'2023년 신조차 고장관리 세부현황'!$BC:$BC,"완료",'2023년 신조차 고장관리 세부현황'!$CY:$CY,"C/I")</f>
        <v>0</v>
      </c>
      <c r="U318"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분석_15일'!$F318,'2023년 신조차 고장관리 세부현황'!$BC:$BC,"완료",'2023년 신조차 고장관리 세부현황'!$CY:$CY,"C/I")</f>
        <v>0</v>
      </c>
      <c r="V318"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분석_15일'!$F318,'2023년 신조차 고장관리 세부현황'!$BC:$BC,"완료",'2023년 신조차 고장관리 세부현황'!$CY:$CY,"C/I")</f>
        <v>0</v>
      </c>
      <c r="W318" s="85">
        <f ca="1">COUNTIFS('2023년 신조차 고장관리 세부현황'!$K:$K,"448R",'2023년 신조차 고장관리 세부현황'!$P:$P,"&gt;="&amp;'트랜드 분석_15일'!V$27,'2023년 신조차 고장관리 세부현황'!$P:$P,"&lt;"&amp;'트랜드 분석_15일'!W$27,'2023년 신조차 고장관리 세부현황'!$S:$S,'트랜드 분석_15일'!$F318,'2023년 신조차 고장관리 세부현황'!$BC:$BC,"완료",'2023년 신조차 고장관리 세부현황'!$CY:$CY,"C/I")</f>
        <v>0</v>
      </c>
      <c r="X318"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분석_15일'!$F318,'2023년 신조차 고장관리 세부현황'!$BC:$BC,"완료",'2023년 신조차 고장관리 세부현황'!$CY:$CY,"C/I")</f>
        <v>0</v>
      </c>
      <c r="Y318" s="85">
        <f ca="1">COUNTIFS('2023년 신조차 고장관리 세부현황'!$K:$K,"448R",'2023년 신조차 고장관리 세부현황'!$P:$P,"&gt;="&amp;'트랜드 분석_15일'!X$27,'2023년 신조차 고장관리 세부현황'!$P:$P,"&lt;"&amp;'트랜드 분석_15일'!Y$27,'2023년 신조차 고장관리 세부현황'!$S:$S,'트랜드 분석_15일'!$F318,'2023년 신조차 고장관리 세부현황'!$BC:$BC,"완료",'2023년 신조차 고장관리 세부현황'!$CY:$CY,"C/I")</f>
        <v>0</v>
      </c>
      <c r="Z318" s="85">
        <f ca="1">COUNTIFS('2023년 신조차 고장관리 세부현황'!$K:$K,"448R",'2023년 신조차 고장관리 세부현황'!$P:$P,"&gt;="&amp;'트랜드 분석_15일'!Y$27,'2023년 신조차 고장관리 세부현황'!$P:$P,"&lt;"&amp;'트랜드 분석_15일'!Z$27,'2023년 신조차 고장관리 세부현황'!$S:$S,'트랜드 분석_15일'!$F318,'2023년 신조차 고장관리 세부현황'!$BC:$BC,"완료",'2023년 신조차 고장관리 세부현황'!$CY:$CY,"C/I")</f>
        <v>0</v>
      </c>
      <c r="AA318"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분석_15일'!$F318,'2023년 신조차 고장관리 세부현황'!$BC:$BC,"완료",'2023년 신조차 고장관리 세부현황'!$CY:$CY,"C/I")</f>
        <v>0</v>
      </c>
      <c r="AB318" s="85">
        <f ca="1">COUNTIFS('2023년 신조차 고장관리 세부현황'!$K:$K,"448R",'2023년 신조차 고장관리 세부현황'!$P:$P,"&gt;="&amp;'트랜드 분석_15일'!AA$27,'2023년 신조차 고장관리 세부현황'!$P:$P,"&lt;"&amp;'트랜드 분석_15일'!AB$27,'2023년 신조차 고장관리 세부현황'!$S:$S,'트랜드 분석_15일'!$F318,'2023년 신조차 고장관리 세부현황'!$BC:$BC,"완료",'2023년 신조차 고장관리 세부현황'!$CY:$CY,"C/I")</f>
        <v>0</v>
      </c>
      <c r="AC318" s="85">
        <f ca="1">COUNTIFS('2023년 신조차 고장관리 세부현황'!$K:$K,"448R",'2023년 신조차 고장관리 세부현황'!$P:$P,"&gt;="&amp;'트랜드 분석_15일'!AB$27,'2023년 신조차 고장관리 세부현황'!$P:$P,"&lt;"&amp;'트랜드 분석_15일'!AC$27,'2023년 신조차 고장관리 세부현황'!$S:$S,'트랜드 분석_15일'!$F318,'2023년 신조차 고장관리 세부현황'!$BC:$BC,"완료",'2023년 신조차 고장관리 세부현황'!$CY:$CY,"C/I")</f>
        <v>0</v>
      </c>
      <c r="AD318"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분석_15일'!$F318,'2023년 신조차 고장관리 세부현황'!$BC:$BC,"완료",'2023년 신조차 고장관리 세부현황'!$CY:$CY,"C/I")</f>
        <v>0</v>
      </c>
      <c r="AE318" s="85">
        <f ca="1">COUNTIFS('2023년 신조차 고장관리 세부현황'!$K:$K,"448R",'2023년 신조차 고장관리 세부현황'!$P:$P,"&gt;="&amp;'트랜드 분석_15일'!AD$27,'2023년 신조차 고장관리 세부현황'!$P:$P,"&lt;"&amp;'트랜드 분석_15일'!AE$27,'2023년 신조차 고장관리 세부현황'!$S:$S,'트랜드 분석_15일'!$F318,'2023년 신조차 고장관리 세부현황'!$BC:$BC,"완료",'2023년 신조차 고장관리 세부현황'!$CY:$CY,"C/I")</f>
        <v>0</v>
      </c>
      <c r="AF318" s="85">
        <f ca="1">COUNTIFS('2023년 신조차 고장관리 세부현황'!$K:$K,"448R",'2023년 신조차 고장관리 세부현황'!$P:$P,"&gt;="&amp;'트랜드 분석_15일'!AE$27,'2023년 신조차 고장관리 세부현황'!$P:$P,"&lt;"&amp;'트랜드 분석_15일'!AF$27,'2023년 신조차 고장관리 세부현황'!$S:$S,'트랜드 분석_15일'!$F318,'2023년 신조차 고장관리 세부현황'!$BC:$BC,"완료",'2023년 신조차 고장관리 세부현황'!$CY:$CY,"C/I")</f>
        <v>0</v>
      </c>
      <c r="AG318"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분석_15일'!$F318,'2023년 신조차 고장관리 세부현황'!$BC:$BC,"완료",'2023년 신조차 고장관리 세부현황'!$CY:$CY,"C/I")</f>
        <v>0</v>
      </c>
      <c r="AH318"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분석_15일'!$F318,'2023년 신조차 고장관리 세부현황'!$BC:$BC,"완료",'2023년 신조차 고장관리 세부현황'!$CY:$CY,"C/I")</f>
        <v>0</v>
      </c>
      <c r="AI318"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분석_15일'!$F318,'2023년 신조차 고장관리 세부현황'!$BC:$BC,"완료",'2023년 신조차 고장관리 세부현황'!$CY:$CY,"C/I")</f>
        <v>0</v>
      </c>
      <c r="AJ318"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분석_15일'!$F318,'2023년 신조차 고장관리 세부현황'!$BC:$BC,"완료",'2023년 신조차 고장관리 세부현황'!$CY:$CY,"C/I")</f>
        <v>0</v>
      </c>
      <c r="AK318"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분석_15일'!$F318,'2023년 신조차 고장관리 세부현황'!$BC:$BC,"완료",'2023년 신조차 고장관리 세부현황'!$CY:$CY,"C/I")</f>
        <v>0</v>
      </c>
      <c r="AL318"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분석_15일'!$F318,'2023년 신조차 고장관리 세부현황'!$BC:$BC,"완료",'2023년 신조차 고장관리 세부현황'!$CY:$CY,"C/I")</f>
        <v>0</v>
      </c>
      <c r="AM318"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분석_15일'!$F318,'2023년 신조차 고장관리 세부현황'!$BC:$BC,"완료",'2023년 신조차 고장관리 세부현황'!$CY:$CY,"C/I")</f>
        <v>0</v>
      </c>
      <c r="AN318"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분석_15일'!$F318,'2023년 신조차 고장관리 세부현황'!$BC:$BC,"완료",'2023년 신조차 고장관리 세부현황'!$CY:$CY,"C/I")</f>
        <v>0</v>
      </c>
      <c r="AO318"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분석_15일'!$F318,'2023년 신조차 고장관리 세부현황'!$BC:$BC,"완료",'2023년 신조차 고장관리 세부현황'!$CY:$CY,"C/I")</f>
        <v>0</v>
      </c>
      <c r="AP318"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분석_15일'!$F318,'2023년 신조차 고장관리 세부현황'!$BC:$BC,"완료",'2023년 신조차 고장관리 세부현황'!$CY:$CY,"C/I")</f>
        <v>0</v>
      </c>
      <c r="AQ318"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분석_15일'!$F318,'2023년 신조차 고장관리 세부현황'!$BC:$BC,"완료",'2023년 신조차 고장관리 세부현황'!$CY:$CY,"C/I")</f>
        <v>0</v>
      </c>
      <c r="AR318"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분석_15일'!$F318,'2023년 신조차 고장관리 세부현황'!$BC:$BC,"완료",'2023년 신조차 고장관리 세부현황'!$CY:$CY,"C/I")</f>
        <v>0</v>
      </c>
      <c r="AS318"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분석_15일'!$F318,'2023년 신조차 고장관리 세부현황'!$BC:$BC,"완료",'2023년 신조차 고장관리 세부현황'!$CY:$CY,"C/I")</f>
        <v>0</v>
      </c>
      <c r="AT318"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분석_15일'!$F318,'2023년 신조차 고장관리 세부현황'!$BC:$BC,"완료",'2023년 신조차 고장관리 세부현황'!$CY:$CY,"C/I")</f>
        <v>0</v>
      </c>
      <c r="AU318"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분석_15일'!$F318,'2023년 신조차 고장관리 세부현황'!$BC:$BC,"완료",'2023년 신조차 고장관리 세부현황'!$CY:$CY,"C/I")</f>
        <v>0</v>
      </c>
      <c r="AV318"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분석_15일'!$F318,'2023년 신조차 고장관리 세부현황'!$BC:$BC,"완료",'2023년 신조차 고장관리 세부현황'!$CY:$CY,"C/I")</f>
        <v>0</v>
      </c>
      <c r="AW318"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분석_15일'!$F318,'2023년 신조차 고장관리 세부현황'!$BC:$BC,"완료",'2023년 신조차 고장관리 세부현황'!$CY:$CY,"C/I")</f>
        <v>0</v>
      </c>
      <c r="AX318"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분석_15일'!$F318,'2023년 신조차 고장관리 세부현황'!$BC:$BC,"완료",'2023년 신조차 고장관리 세부현황'!$CY:$CY,"C/I")</f>
        <v>0</v>
      </c>
      <c r="AY318"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분석_15일'!$F318,'2023년 신조차 고장관리 세부현황'!$BC:$BC,"완료",'2023년 신조차 고장관리 세부현황'!$CY:$CY,"C/I")</f>
        <v>0</v>
      </c>
      <c r="AZ318"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분석_15일'!$F318,'2023년 신조차 고장관리 세부현황'!$BC:$BC,"완료",'2023년 신조차 고장관리 세부현황'!$CY:$CY,"C/I")</f>
        <v>0</v>
      </c>
      <c r="BA318"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분석_15일'!$F318,'2023년 신조차 고장관리 세부현황'!$BC:$BC,"완료",'2023년 신조차 고장관리 세부현황'!$CY:$CY,"C/I")</f>
        <v>0</v>
      </c>
      <c r="BB318"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분석_15일'!$F318,'2023년 신조차 고장관리 세부현황'!$BC:$BC,"완료",'2023년 신조차 고장관리 세부현황'!$CY:$CY,"C/I")</f>
        <v>0</v>
      </c>
      <c r="BC318"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분석_15일'!$F318,'2023년 신조차 고장관리 세부현황'!$BC:$BC,"완료",'2023년 신조차 고장관리 세부현황'!$CY:$CY,"C/I")</f>
        <v>0</v>
      </c>
      <c r="BD318"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분석_15일'!$F318,'2023년 신조차 고장관리 세부현황'!$BC:$BC,"완료",'2023년 신조차 고장관리 세부현황'!$CY:$CY,"C/I")</f>
        <v>0</v>
      </c>
      <c r="BE318"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분석_15일'!$F318,'2023년 신조차 고장관리 세부현황'!$BC:$BC,"완료",'2023년 신조차 고장관리 세부현황'!$CY:$CY,"C/I")</f>
        <v>0</v>
      </c>
      <c r="BF318"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분석_15일'!$F318,'2023년 신조차 고장관리 세부현황'!$BC:$BC,"완료",'2023년 신조차 고장관리 세부현황'!$CY:$CY,"C/I")</f>
        <v>0</v>
      </c>
      <c r="BG318"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분석_15일'!$F318,'2023년 신조차 고장관리 세부현황'!$BC:$BC,"완료",'2023년 신조차 고장관리 세부현황'!$CY:$CY,"C/I")</f>
        <v>0</v>
      </c>
      <c r="BH318"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분석_15일'!$F318,'2023년 신조차 고장관리 세부현황'!$BC:$BC,"완료",'2023년 신조차 고장관리 세부현황'!$CY:$CY,"C/I")</f>
        <v>0</v>
      </c>
      <c r="BI318"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분석_15일'!$F318,'2023년 신조차 고장관리 세부현황'!$BC:$BC,"완료",'2023년 신조차 고장관리 세부현황'!$CY:$CY,"C/I")</f>
        <v>0</v>
      </c>
      <c r="BJ318"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분석_15일'!$F318,'2023년 신조차 고장관리 세부현황'!$BC:$BC,"완료",'2023년 신조차 고장관리 세부현황'!$CY:$CY,"C/I")</f>
        <v>0</v>
      </c>
      <c r="BK318"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분석_15일'!$F318,'2023년 신조차 고장관리 세부현황'!$BC:$BC,"완료",'2023년 신조차 고장관리 세부현황'!$CY:$CY,"C/I")</f>
        <v>0</v>
      </c>
      <c r="BL318"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분석_15일'!$F318,'2023년 신조차 고장관리 세부현황'!$BC:$BC,"완료",'2023년 신조차 고장관리 세부현황'!$CY:$CY,"C/I")</f>
        <v>0</v>
      </c>
      <c r="BM318"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분석_15일'!$F318,'2023년 신조차 고장관리 세부현황'!$BC:$BC,"완료",'2023년 신조차 고장관리 세부현황'!$CY:$CY,"C/I")</f>
        <v>0</v>
      </c>
      <c r="BN318"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분석_15일'!$F318,'2023년 신조차 고장관리 세부현황'!$BC:$BC,"완료",'2023년 신조차 고장관리 세부현황'!$CY:$CY,"C/I")</f>
        <v>0</v>
      </c>
      <c r="BO318"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분석_15일'!$F318,'2023년 신조차 고장관리 세부현황'!$BC:$BC,"완료",'2023년 신조차 고장관리 세부현황'!$CY:$CY,"C/I")</f>
        <v>0</v>
      </c>
      <c r="BP318"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분석_15일'!$F318,'2023년 신조차 고장관리 세부현황'!$BC:$BC,"완료",'2023년 신조차 고장관리 세부현황'!$CY:$CY,"C/I")</f>
        <v>0</v>
      </c>
      <c r="BQ318"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분석_15일'!$F318,'2023년 신조차 고장관리 세부현황'!$BC:$BC,"완료",'2023년 신조차 고장관리 세부현황'!$CY:$CY,"C/I")</f>
        <v>0</v>
      </c>
      <c r="BR318"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분석_15일'!$F318,'2023년 신조차 고장관리 세부현황'!$BC:$BC,"완료",'2023년 신조차 고장관리 세부현황'!$CY:$CY,"C/I")</f>
        <v>0</v>
      </c>
      <c r="BS318"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분석_15일'!$F318,'2023년 신조차 고장관리 세부현황'!$BC:$BC,"완료",'2023년 신조차 고장관리 세부현황'!$CY:$CY,"C/I")</f>
        <v>0</v>
      </c>
      <c r="BT318"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분석_15일'!$F318,'2023년 신조차 고장관리 세부현황'!$BC:$BC,"완료",'2023년 신조차 고장관리 세부현황'!$CY:$CY,"C/I")</f>
        <v>0</v>
      </c>
      <c r="BU318"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분석_15일'!$F318,'2023년 신조차 고장관리 세부현황'!$BC:$BC,"완료",'2023년 신조차 고장관리 세부현황'!$CY:$CY,"C/I")</f>
        <v>0</v>
      </c>
      <c r="BV318"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분석_15일'!$F318,'2023년 신조차 고장관리 세부현황'!$BC:$BC,"완료",'2023년 신조차 고장관리 세부현황'!$CY:$CY,"C/I")</f>
        <v>0</v>
      </c>
      <c r="BW318"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분석_15일'!$F318,'2023년 신조차 고장관리 세부현황'!$BC:$BC,"완료",'2023년 신조차 고장관리 세부현황'!$CY:$CY,"C/I")</f>
        <v>0</v>
      </c>
      <c r="BX318"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분석_15일'!$F318,'2023년 신조차 고장관리 세부현황'!$BC:$BC,"완료",'2023년 신조차 고장관리 세부현황'!$CY:$CY,"C/I")</f>
        <v>0</v>
      </c>
      <c r="BY318"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분석_15일'!$F318,'2023년 신조차 고장관리 세부현황'!$BC:$BC,"완료",'2023년 신조차 고장관리 세부현황'!$CY:$CY,"C/I")</f>
        <v>0</v>
      </c>
      <c r="BZ318"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분석_15일'!$F318,'2023년 신조차 고장관리 세부현황'!$BC:$BC,"완료",'2023년 신조차 고장관리 세부현황'!$CY:$CY,"C/I")</f>
        <v>0</v>
      </c>
      <c r="CA318"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분석_15일'!$F318,'2023년 신조차 고장관리 세부현황'!$BC:$BC,"완료",'2023년 신조차 고장관리 세부현황'!$CY:$CY,"C/I")</f>
        <v>0</v>
      </c>
      <c r="CB318"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분석_15일'!$F318,'2023년 신조차 고장관리 세부현황'!$BC:$BC,"완료",'2023년 신조차 고장관리 세부현황'!$CY:$CY,"C/I")</f>
        <v>0</v>
      </c>
      <c r="CC318"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분석_15일'!$F318,'2023년 신조차 고장관리 세부현황'!$BC:$BC,"완료",'2023년 신조차 고장관리 세부현황'!$CY:$CY,"C/I")</f>
        <v>0</v>
      </c>
      <c r="CD318"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분석_15일'!$F318,'2023년 신조차 고장관리 세부현황'!$BC:$BC,"완료",'2023년 신조차 고장관리 세부현황'!$CY:$CY,"C/I")</f>
        <v>0</v>
      </c>
      <c r="CE318"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분석_15일'!$F318,'2023년 신조차 고장관리 세부현황'!$BC:$BC,"완료",'2023년 신조차 고장관리 세부현황'!$CY:$CY,"C/I")</f>
        <v>0</v>
      </c>
      <c r="CF318"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분석_15일'!$F318,'2023년 신조차 고장관리 세부현황'!$BC:$BC,"완료",'2023년 신조차 고장관리 세부현황'!$CY:$CY,"C/I")</f>
        <v>0</v>
      </c>
      <c r="CG318"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분석_15일'!$F318,'2023년 신조차 고장관리 세부현황'!$BC:$BC,"완료",'2023년 신조차 고장관리 세부현황'!$CY:$CY,"C/I")</f>
        <v>0</v>
      </c>
      <c r="CH318"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분석_15일'!$F318,'2023년 신조차 고장관리 세부현황'!$BC:$BC,"완료",'2023년 신조차 고장관리 세부현황'!$CY:$CY,"C/I")</f>
        <v>0</v>
      </c>
      <c r="CI318"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분석_15일'!$F318,'2023년 신조차 고장관리 세부현황'!$BC:$BC,"완료",'2023년 신조차 고장관리 세부현황'!$CY:$CY,"C/I")</f>
        <v>0</v>
      </c>
      <c r="CJ318"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분석_15일'!$F318,'2023년 신조차 고장관리 세부현황'!$BC:$BC,"완료",'2023년 신조차 고장관리 세부현황'!$CY:$CY,"C/I")</f>
        <v>0</v>
      </c>
      <c r="CK318"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분석_15일'!$F318,'2023년 신조차 고장관리 세부현황'!$BC:$BC,"완료",'2023년 신조차 고장관리 세부현황'!$CY:$CY,"C/I")</f>
        <v>0</v>
      </c>
      <c r="CL318"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분석_15일'!$F318,'2023년 신조차 고장관리 세부현황'!$BC:$BC,"완료",'2023년 신조차 고장관리 세부현황'!$CY:$CY,"C/I")</f>
        <v>0</v>
      </c>
      <c r="CM318"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분석_15일'!$F318,'2023년 신조차 고장관리 세부현황'!$BC:$BC,"완료",'2023년 신조차 고장관리 세부현황'!$CY:$CY,"C/I")</f>
        <v>0</v>
      </c>
      <c r="CN318"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분석_15일'!$F318,'2023년 신조차 고장관리 세부현황'!$BC:$BC,"완료",'2023년 신조차 고장관리 세부현황'!$CY:$CY,"C/I")</f>
        <v>0</v>
      </c>
      <c r="CO318"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분석_15일'!$F318,'2023년 신조차 고장관리 세부현황'!$BC:$BC,"완료",'2023년 신조차 고장관리 세부현황'!$CY:$CY,"C/I")</f>
        <v>0</v>
      </c>
      <c r="CP318"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분석_15일'!$F318,'2023년 신조차 고장관리 세부현황'!$BC:$BC,"완료",'2023년 신조차 고장관리 세부현황'!$CY:$CY,"C/I")</f>
        <v>0</v>
      </c>
      <c r="CQ318"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분석_15일'!$F318,'2023년 신조차 고장관리 세부현황'!$BC:$BC,"완료",'2023년 신조차 고장관리 세부현황'!$CY:$CY,"C/I")</f>
        <v>0</v>
      </c>
      <c r="CR318"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분석_15일'!$F318,'2023년 신조차 고장관리 세부현황'!$BC:$BC,"완료",'2023년 신조차 고장관리 세부현황'!$CY:$CY,"C/I")</f>
        <v>0</v>
      </c>
      <c r="CS318"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분석_15일'!$F318,'2023년 신조차 고장관리 세부현황'!$BC:$BC,"완료",'2023년 신조차 고장관리 세부현황'!$CY:$CY,"C/I")</f>
        <v>0</v>
      </c>
      <c r="CT318"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분석_15일'!$F318,'2023년 신조차 고장관리 세부현황'!$BC:$BC,"완료",'2023년 신조차 고장관리 세부현황'!$CY:$CY,"C/I")</f>
        <v>0</v>
      </c>
      <c r="CU318"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분석_15일'!$F318,'2023년 신조차 고장관리 세부현황'!$BC:$BC,"완료",'2023년 신조차 고장관리 세부현황'!$CY:$CY,"C/I")</f>
        <v>0</v>
      </c>
      <c r="CV318"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분석_15일'!$F318,'2023년 신조차 고장관리 세부현황'!$BC:$BC,"완료",'2023년 신조차 고장관리 세부현황'!$CY:$CY,"C/I")</f>
        <v>0</v>
      </c>
      <c r="CW318"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분석_15일'!$F318,'2023년 신조차 고장관리 세부현황'!$BC:$BC,"완료",'2023년 신조차 고장관리 세부현황'!$CY:$CY,"C/I")</f>
        <v>0</v>
      </c>
      <c r="CX318">
        <f ca="1">SUM(G318:CW318)</f>
        <v>0</v>
      </c>
    </row>
    <row r="319" spans="6:103" x14ac:dyDescent="0.4">
      <c r="F319" s="85" t="s">
        <v>243</v>
      </c>
      <c r="G319" s="85">
        <f>G317+G318</f>
        <v>0</v>
      </c>
      <c r="H319" s="85">
        <f t="shared" ref="H319" si="322">H317+H318</f>
        <v>0</v>
      </c>
      <c r="I319" s="85">
        <f t="shared" ref="I319:BT319" si="323">I317+I318</f>
        <v>0</v>
      </c>
      <c r="J319" s="85">
        <f t="shared" si="323"/>
        <v>0</v>
      </c>
      <c r="K319" s="85">
        <f t="shared" si="323"/>
        <v>0</v>
      </c>
      <c r="L319" s="85">
        <f t="shared" si="323"/>
        <v>0</v>
      </c>
      <c r="M319" s="85">
        <f t="shared" si="323"/>
        <v>0</v>
      </c>
      <c r="N319" s="85">
        <f t="shared" si="323"/>
        <v>0</v>
      </c>
      <c r="O319" s="85">
        <f t="shared" si="323"/>
        <v>0</v>
      </c>
      <c r="P319" s="85">
        <f t="shared" ca="1" si="323"/>
        <v>0</v>
      </c>
      <c r="Q319" s="85">
        <f t="shared" si="323"/>
        <v>0</v>
      </c>
      <c r="R319" s="85">
        <f t="shared" ca="1" si="323"/>
        <v>0</v>
      </c>
      <c r="S319" s="85">
        <f t="shared" ca="1" si="323"/>
        <v>0</v>
      </c>
      <c r="T319" s="85">
        <f t="shared" si="323"/>
        <v>0</v>
      </c>
      <c r="U319" s="85">
        <f t="shared" si="323"/>
        <v>0</v>
      </c>
      <c r="V319" s="85">
        <f t="shared" si="323"/>
        <v>0</v>
      </c>
      <c r="W319" s="85">
        <f t="shared" ca="1" si="323"/>
        <v>0</v>
      </c>
      <c r="X319" s="85">
        <f t="shared" si="323"/>
        <v>0</v>
      </c>
      <c r="Y319" s="85">
        <f t="shared" ca="1" si="323"/>
        <v>0</v>
      </c>
      <c r="Z319" s="85">
        <f t="shared" ca="1" si="323"/>
        <v>0</v>
      </c>
      <c r="AA319" s="85">
        <f t="shared" si="323"/>
        <v>0</v>
      </c>
      <c r="AB319" s="85">
        <f t="shared" ca="1" si="323"/>
        <v>0</v>
      </c>
      <c r="AC319" s="85">
        <f t="shared" ca="1" si="323"/>
        <v>0</v>
      </c>
      <c r="AD319" s="85">
        <f t="shared" si="323"/>
        <v>0</v>
      </c>
      <c r="AE319" s="85">
        <f t="shared" ca="1" si="323"/>
        <v>0</v>
      </c>
      <c r="AF319" s="85">
        <f t="shared" ca="1" si="323"/>
        <v>0</v>
      </c>
      <c r="AG319" s="85">
        <f t="shared" si="323"/>
        <v>0</v>
      </c>
      <c r="AH319" s="85">
        <f t="shared" si="323"/>
        <v>0</v>
      </c>
      <c r="AI319" s="85">
        <f t="shared" si="323"/>
        <v>0</v>
      </c>
      <c r="AJ319" s="85">
        <f t="shared" si="323"/>
        <v>0</v>
      </c>
      <c r="AK319" s="85">
        <f t="shared" si="323"/>
        <v>0</v>
      </c>
      <c r="AL319" s="85">
        <f t="shared" si="323"/>
        <v>0</v>
      </c>
      <c r="AM319" s="85">
        <f t="shared" si="323"/>
        <v>0</v>
      </c>
      <c r="AN319" s="85">
        <f t="shared" si="323"/>
        <v>0</v>
      </c>
      <c r="AO319" s="85">
        <f t="shared" si="323"/>
        <v>0</v>
      </c>
      <c r="AP319" s="85">
        <f t="shared" si="323"/>
        <v>0</v>
      </c>
      <c r="AQ319" s="85">
        <f t="shared" si="323"/>
        <v>0</v>
      </c>
      <c r="AR319" s="85">
        <f t="shared" si="323"/>
        <v>0</v>
      </c>
      <c r="AS319" s="85">
        <f t="shared" si="323"/>
        <v>0</v>
      </c>
      <c r="AT319" s="85">
        <f t="shared" si="323"/>
        <v>0</v>
      </c>
      <c r="AU319" s="85">
        <f t="shared" si="323"/>
        <v>0</v>
      </c>
      <c r="AV319" s="85">
        <f t="shared" si="323"/>
        <v>0</v>
      </c>
      <c r="AW319" s="85">
        <f t="shared" si="323"/>
        <v>0</v>
      </c>
      <c r="AX319" s="85">
        <f t="shared" si="323"/>
        <v>0</v>
      </c>
      <c r="AY319" s="85">
        <f t="shared" si="323"/>
        <v>0</v>
      </c>
      <c r="AZ319" s="85">
        <f t="shared" si="323"/>
        <v>0</v>
      </c>
      <c r="BA319" s="85">
        <f t="shared" si="323"/>
        <v>0</v>
      </c>
      <c r="BB319" s="85">
        <f t="shared" si="323"/>
        <v>0</v>
      </c>
      <c r="BC319" s="85">
        <f t="shared" si="323"/>
        <v>0</v>
      </c>
      <c r="BD319" s="85">
        <f t="shared" si="323"/>
        <v>0</v>
      </c>
      <c r="BE319" s="85">
        <f t="shared" si="323"/>
        <v>0</v>
      </c>
      <c r="BF319" s="85">
        <f t="shared" si="323"/>
        <v>0</v>
      </c>
      <c r="BG319" s="85">
        <f t="shared" si="323"/>
        <v>0</v>
      </c>
      <c r="BH319" s="85">
        <f t="shared" si="323"/>
        <v>0</v>
      </c>
      <c r="BI319" s="85">
        <f t="shared" si="323"/>
        <v>0</v>
      </c>
      <c r="BJ319" s="85">
        <f t="shared" si="323"/>
        <v>0</v>
      </c>
      <c r="BK319" s="85">
        <f t="shared" si="323"/>
        <v>0</v>
      </c>
      <c r="BL319" s="85">
        <f t="shared" si="323"/>
        <v>0</v>
      </c>
      <c r="BM319" s="85">
        <f t="shared" si="323"/>
        <v>0</v>
      </c>
      <c r="BN319" s="85">
        <f t="shared" si="323"/>
        <v>0</v>
      </c>
      <c r="BO319" s="85">
        <f t="shared" si="323"/>
        <v>0</v>
      </c>
      <c r="BP319" s="85">
        <f t="shared" si="323"/>
        <v>0</v>
      </c>
      <c r="BQ319" s="85">
        <f t="shared" si="323"/>
        <v>0</v>
      </c>
      <c r="BR319" s="85">
        <f t="shared" si="323"/>
        <v>0</v>
      </c>
      <c r="BS319" s="85">
        <f t="shared" si="323"/>
        <v>0</v>
      </c>
      <c r="BT319" s="85">
        <f t="shared" si="323"/>
        <v>0</v>
      </c>
      <c r="BU319" s="85">
        <f t="shared" ref="BU319:CW319" si="324">BU317+BU318</f>
        <v>0</v>
      </c>
      <c r="BV319" s="85">
        <f t="shared" si="324"/>
        <v>0</v>
      </c>
      <c r="BW319" s="85">
        <f t="shared" si="324"/>
        <v>0</v>
      </c>
      <c r="BX319" s="85">
        <f t="shared" si="324"/>
        <v>0</v>
      </c>
      <c r="BY319" s="85">
        <f t="shared" si="324"/>
        <v>0</v>
      </c>
      <c r="BZ319" s="85">
        <f t="shared" si="324"/>
        <v>0</v>
      </c>
      <c r="CA319" s="85">
        <f t="shared" si="324"/>
        <v>0</v>
      </c>
      <c r="CB319" s="85">
        <f t="shared" si="324"/>
        <v>0</v>
      </c>
      <c r="CC319" s="85">
        <f t="shared" si="324"/>
        <v>0</v>
      </c>
      <c r="CD319" s="85">
        <f t="shared" si="324"/>
        <v>0</v>
      </c>
      <c r="CE319" s="85">
        <f t="shared" si="324"/>
        <v>0</v>
      </c>
      <c r="CF319" s="85">
        <f t="shared" si="324"/>
        <v>0</v>
      </c>
      <c r="CG319" s="85">
        <f t="shared" si="324"/>
        <v>0</v>
      </c>
      <c r="CH319" s="85">
        <f t="shared" si="324"/>
        <v>0</v>
      </c>
      <c r="CI319" s="85">
        <f t="shared" si="324"/>
        <v>0</v>
      </c>
      <c r="CJ319" s="85">
        <f t="shared" si="324"/>
        <v>0</v>
      </c>
      <c r="CK319" s="85">
        <f t="shared" si="324"/>
        <v>0</v>
      </c>
      <c r="CL319" s="85">
        <f t="shared" si="324"/>
        <v>0</v>
      </c>
      <c r="CM319" s="85">
        <f t="shared" si="324"/>
        <v>0</v>
      </c>
      <c r="CN319" s="85">
        <f t="shared" si="324"/>
        <v>0</v>
      </c>
      <c r="CO319" s="85">
        <f t="shared" si="324"/>
        <v>0</v>
      </c>
      <c r="CP319" s="85">
        <f t="shared" si="324"/>
        <v>0</v>
      </c>
      <c r="CQ319" s="85">
        <f t="shared" si="324"/>
        <v>0</v>
      </c>
      <c r="CR319" s="85">
        <f t="shared" si="324"/>
        <v>0</v>
      </c>
      <c r="CS319" s="85">
        <f t="shared" si="324"/>
        <v>0</v>
      </c>
      <c r="CT319" s="85">
        <f t="shared" si="324"/>
        <v>0</v>
      </c>
      <c r="CU319" s="85">
        <f t="shared" si="324"/>
        <v>0</v>
      </c>
      <c r="CV319" s="85">
        <f t="shared" si="324"/>
        <v>0</v>
      </c>
      <c r="CW319" s="85">
        <f t="shared" si="324"/>
        <v>0</v>
      </c>
      <c r="CX319">
        <f ca="1">SUM(G319:CW319)</f>
        <v>0</v>
      </c>
      <c r="CY319" t="s">
        <v>357</v>
      </c>
    </row>
    <row r="320" spans="6:103" x14ac:dyDescent="0.4">
      <c r="F320" s="86" t="s">
        <v>222</v>
      </c>
      <c r="G320" s="85">
        <f>COUNTIFS('2023년 신조차 고장관리 세부현황'!$K:$K,"448R",'2023년 신조차 고장관리 세부현황'!$P:$P,"&gt;="&amp;$G$26,'2023년 신조차 고장관리 세부현황'!$P:$P,"&lt;"&amp;'트랜드 분석_15일'!G$27,'2023년 신조차 고장관리 세부현황'!$S:$S,'트랜드 분석_15일'!$F320,'2023년 신조차 고장관리 세부현황'!$BC:$BC,"완료",'2023년 신조차 고장관리 세부현황'!$CY:$CY,"C/I")</f>
        <v>0</v>
      </c>
      <c r="H320"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분석_15일'!$F320,'2023년 신조차 고장관리 세부현황'!$BC:$BC,"완료",'2023년 신조차 고장관리 세부현황'!$CY:$CY,"C/I")</f>
        <v>0</v>
      </c>
      <c r="I320"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분석_15일'!$F320,'2023년 신조차 고장관리 세부현황'!$BC:$BC,"완료",'2023년 신조차 고장관리 세부현황'!$CY:$CY,"C/I")</f>
        <v>0</v>
      </c>
      <c r="J320"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분석_15일'!$F320,'2023년 신조차 고장관리 세부현황'!$BC:$BC,"완료",'2023년 신조차 고장관리 세부현황'!$CY:$CY,"C/I")</f>
        <v>0</v>
      </c>
      <c r="K320"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분석_15일'!$F320,'2023년 신조차 고장관리 세부현황'!$BC:$BC,"완료",'2023년 신조차 고장관리 세부현황'!$CY:$CY,"C/I")</f>
        <v>0</v>
      </c>
      <c r="L320"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분석_15일'!$F320,'2023년 신조차 고장관리 세부현황'!$BC:$BC,"완료",'2023년 신조차 고장관리 세부현황'!$CY:$CY,"C/I")</f>
        <v>0</v>
      </c>
      <c r="M320"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분석_15일'!$F320,'2023년 신조차 고장관리 세부현황'!$BC:$BC,"완료",'2023년 신조차 고장관리 세부현황'!$CY:$CY,"C/I")</f>
        <v>0</v>
      </c>
      <c r="N320"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분석_15일'!$F320,'2023년 신조차 고장관리 세부현황'!$BC:$BC,"완료",'2023년 신조차 고장관리 세부현황'!$CY:$CY,"C/I")</f>
        <v>0</v>
      </c>
      <c r="O320"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분석_15일'!$F320,'2023년 신조차 고장관리 세부현황'!$BC:$BC,"완료",'2023년 신조차 고장관리 세부현황'!$CY:$CY,"C/I")</f>
        <v>0</v>
      </c>
      <c r="P320"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분석_15일'!$F320,'2023년 신조차 고장관리 세부현황'!$BC:$BC,"완료",'2023년 신조차 고장관리 세부현황'!$CY:$CY,"C/I")</f>
        <v>0</v>
      </c>
      <c r="Q320"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분석_15일'!$F320,'2023년 신조차 고장관리 세부현황'!$BC:$BC,"완료",'2023년 신조차 고장관리 세부현황'!$CY:$CY,"C/I")</f>
        <v>0</v>
      </c>
      <c r="R320"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분석_15일'!$F320,'2023년 신조차 고장관리 세부현황'!$BC:$BC,"완료",'2023년 신조차 고장관리 세부현황'!$CY:$CY,"C/I")</f>
        <v>0</v>
      </c>
      <c r="S320"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분석_15일'!$F320,'2023년 신조차 고장관리 세부현황'!$BC:$BC,"완료",'2023년 신조차 고장관리 세부현황'!$CY:$CY,"C/I")</f>
        <v>0</v>
      </c>
      <c r="T320"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분석_15일'!$F320,'2023년 신조차 고장관리 세부현황'!$BC:$BC,"완료",'2023년 신조차 고장관리 세부현황'!$CY:$CY,"C/I")</f>
        <v>0</v>
      </c>
      <c r="U320"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분석_15일'!$F320,'2023년 신조차 고장관리 세부현황'!$BC:$BC,"완료",'2023년 신조차 고장관리 세부현황'!$CY:$CY,"C/I")</f>
        <v>0</v>
      </c>
      <c r="V320"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분석_15일'!$F320,'2023년 신조차 고장관리 세부현황'!$BC:$BC,"완료",'2023년 신조차 고장관리 세부현황'!$CY:$CY,"C/I")</f>
        <v>0</v>
      </c>
      <c r="W320"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분석_15일'!$F320,'2023년 신조차 고장관리 세부현황'!$BC:$BC,"완료",'2023년 신조차 고장관리 세부현황'!$CY:$CY,"C/I")</f>
        <v>0</v>
      </c>
      <c r="X320"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분석_15일'!$F320,'2023년 신조차 고장관리 세부현황'!$BC:$BC,"완료",'2023년 신조차 고장관리 세부현황'!$CY:$CY,"C/I")</f>
        <v>0</v>
      </c>
      <c r="Y320"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분석_15일'!$F320,'2023년 신조차 고장관리 세부현황'!$BC:$BC,"완료",'2023년 신조차 고장관리 세부현황'!$CY:$CY,"C/I")</f>
        <v>0</v>
      </c>
      <c r="Z320"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분석_15일'!$F320,'2023년 신조차 고장관리 세부현황'!$BC:$BC,"완료",'2023년 신조차 고장관리 세부현황'!$CY:$CY,"C/I")</f>
        <v>0</v>
      </c>
      <c r="AA320"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분석_15일'!$F320,'2023년 신조차 고장관리 세부현황'!$BC:$BC,"완료",'2023년 신조차 고장관리 세부현황'!$CY:$CY,"C/I")</f>
        <v>0</v>
      </c>
      <c r="AB320"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분석_15일'!$F320,'2023년 신조차 고장관리 세부현황'!$BC:$BC,"완료",'2023년 신조차 고장관리 세부현황'!$CY:$CY,"C/I")</f>
        <v>0</v>
      </c>
      <c r="AC320"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분석_15일'!$F320,'2023년 신조차 고장관리 세부현황'!$BC:$BC,"완료",'2023년 신조차 고장관리 세부현황'!$CY:$CY,"C/I")</f>
        <v>0</v>
      </c>
      <c r="AD320"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분석_15일'!$F320,'2023년 신조차 고장관리 세부현황'!$BC:$BC,"완료",'2023년 신조차 고장관리 세부현황'!$CY:$CY,"C/I")</f>
        <v>0</v>
      </c>
      <c r="AE320"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분석_15일'!$F320,'2023년 신조차 고장관리 세부현황'!$BC:$BC,"완료",'2023년 신조차 고장관리 세부현황'!$CY:$CY,"C/I")</f>
        <v>0</v>
      </c>
      <c r="AF320"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분석_15일'!$F320,'2023년 신조차 고장관리 세부현황'!$BC:$BC,"완료",'2023년 신조차 고장관리 세부현황'!$CY:$CY,"C/I")</f>
        <v>0</v>
      </c>
      <c r="AG320"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분석_15일'!$F320,'2023년 신조차 고장관리 세부현황'!$BC:$BC,"완료",'2023년 신조차 고장관리 세부현황'!$CY:$CY,"C/I")</f>
        <v>0</v>
      </c>
      <c r="AH320"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분석_15일'!$F320,'2023년 신조차 고장관리 세부현황'!$BC:$BC,"완료",'2023년 신조차 고장관리 세부현황'!$CY:$CY,"C/I")</f>
        <v>0</v>
      </c>
      <c r="AI320"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분석_15일'!$F320,'2023년 신조차 고장관리 세부현황'!$BC:$BC,"완료",'2023년 신조차 고장관리 세부현황'!$CY:$CY,"C/I")</f>
        <v>0</v>
      </c>
      <c r="AJ320"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분석_15일'!$F320,'2023년 신조차 고장관리 세부현황'!$BC:$BC,"완료",'2023년 신조차 고장관리 세부현황'!$CY:$CY,"C/I")</f>
        <v>0</v>
      </c>
      <c r="AK320"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분석_15일'!$F320,'2023년 신조차 고장관리 세부현황'!$BC:$BC,"완료",'2023년 신조차 고장관리 세부현황'!$CY:$CY,"C/I")</f>
        <v>0</v>
      </c>
      <c r="AL320"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분석_15일'!$F320,'2023년 신조차 고장관리 세부현황'!$BC:$BC,"완료",'2023년 신조차 고장관리 세부현황'!$CY:$CY,"C/I")</f>
        <v>0</v>
      </c>
      <c r="AM320"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분석_15일'!$F320,'2023년 신조차 고장관리 세부현황'!$BC:$BC,"완료",'2023년 신조차 고장관리 세부현황'!$CY:$CY,"C/I")</f>
        <v>0</v>
      </c>
      <c r="AN320"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분석_15일'!$F320,'2023년 신조차 고장관리 세부현황'!$BC:$BC,"완료",'2023년 신조차 고장관리 세부현황'!$CY:$CY,"C/I")</f>
        <v>0</v>
      </c>
      <c r="AO320"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분석_15일'!$F320,'2023년 신조차 고장관리 세부현황'!$BC:$BC,"완료",'2023년 신조차 고장관리 세부현황'!$CY:$CY,"C/I")</f>
        <v>0</v>
      </c>
      <c r="AP320"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분석_15일'!$F320,'2023년 신조차 고장관리 세부현황'!$BC:$BC,"완료",'2023년 신조차 고장관리 세부현황'!$CY:$CY,"C/I")</f>
        <v>0</v>
      </c>
      <c r="AQ320"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분석_15일'!$F320,'2023년 신조차 고장관리 세부현황'!$BC:$BC,"완료",'2023년 신조차 고장관리 세부현황'!$CY:$CY,"C/I")</f>
        <v>0</v>
      </c>
      <c r="AR320"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분석_15일'!$F320,'2023년 신조차 고장관리 세부현황'!$BC:$BC,"완료",'2023년 신조차 고장관리 세부현황'!$CY:$CY,"C/I")</f>
        <v>0</v>
      </c>
      <c r="AS320"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분석_15일'!$F320,'2023년 신조차 고장관리 세부현황'!$BC:$BC,"완료",'2023년 신조차 고장관리 세부현황'!$CY:$CY,"C/I")</f>
        <v>0</v>
      </c>
      <c r="AT320"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분석_15일'!$F320,'2023년 신조차 고장관리 세부현황'!$BC:$BC,"완료",'2023년 신조차 고장관리 세부현황'!$CY:$CY,"C/I")</f>
        <v>0</v>
      </c>
      <c r="AU320"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분석_15일'!$F320,'2023년 신조차 고장관리 세부현황'!$BC:$BC,"완료",'2023년 신조차 고장관리 세부현황'!$CY:$CY,"C/I")</f>
        <v>0</v>
      </c>
      <c r="AV320"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분석_15일'!$F320,'2023년 신조차 고장관리 세부현황'!$BC:$BC,"완료",'2023년 신조차 고장관리 세부현황'!$CY:$CY,"C/I")</f>
        <v>0</v>
      </c>
      <c r="AW320"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분석_15일'!$F320,'2023년 신조차 고장관리 세부현황'!$BC:$BC,"완료",'2023년 신조차 고장관리 세부현황'!$CY:$CY,"C/I")</f>
        <v>0</v>
      </c>
      <c r="AX320"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분석_15일'!$F320,'2023년 신조차 고장관리 세부현황'!$BC:$BC,"완료",'2023년 신조차 고장관리 세부현황'!$CY:$CY,"C/I")</f>
        <v>0</v>
      </c>
      <c r="AY320"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분석_15일'!$F320,'2023년 신조차 고장관리 세부현황'!$BC:$BC,"완료",'2023년 신조차 고장관리 세부현황'!$CY:$CY,"C/I")</f>
        <v>0</v>
      </c>
      <c r="AZ320"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분석_15일'!$F320,'2023년 신조차 고장관리 세부현황'!$BC:$BC,"완료",'2023년 신조차 고장관리 세부현황'!$CY:$CY,"C/I")</f>
        <v>0</v>
      </c>
      <c r="BA320"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분석_15일'!$F320,'2023년 신조차 고장관리 세부현황'!$BC:$BC,"완료",'2023년 신조차 고장관리 세부현황'!$CY:$CY,"C/I")</f>
        <v>0</v>
      </c>
      <c r="BB320"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분석_15일'!$F320,'2023년 신조차 고장관리 세부현황'!$BC:$BC,"완료",'2023년 신조차 고장관리 세부현황'!$CY:$CY,"C/I")</f>
        <v>0</v>
      </c>
      <c r="BC320"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분석_15일'!$F320,'2023년 신조차 고장관리 세부현황'!$BC:$BC,"완료",'2023년 신조차 고장관리 세부현황'!$CY:$CY,"C/I")</f>
        <v>0</v>
      </c>
      <c r="BD320"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분석_15일'!$F320,'2023년 신조차 고장관리 세부현황'!$BC:$BC,"완료",'2023년 신조차 고장관리 세부현황'!$CY:$CY,"C/I")</f>
        <v>0</v>
      </c>
      <c r="BE320"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분석_15일'!$F320,'2023년 신조차 고장관리 세부현황'!$BC:$BC,"완료",'2023년 신조차 고장관리 세부현황'!$CY:$CY,"C/I")</f>
        <v>0</v>
      </c>
      <c r="BF320"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분석_15일'!$F320,'2023년 신조차 고장관리 세부현황'!$BC:$BC,"완료",'2023년 신조차 고장관리 세부현황'!$CY:$CY,"C/I")</f>
        <v>0</v>
      </c>
      <c r="BG320"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분석_15일'!$F320,'2023년 신조차 고장관리 세부현황'!$BC:$BC,"완료",'2023년 신조차 고장관리 세부현황'!$CY:$CY,"C/I")</f>
        <v>0</v>
      </c>
      <c r="BH320"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분석_15일'!$F320,'2023년 신조차 고장관리 세부현황'!$BC:$BC,"완료",'2023년 신조차 고장관리 세부현황'!$CY:$CY,"C/I")</f>
        <v>0</v>
      </c>
      <c r="BI320"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분석_15일'!$F320,'2023년 신조차 고장관리 세부현황'!$BC:$BC,"완료",'2023년 신조차 고장관리 세부현황'!$CY:$CY,"C/I")</f>
        <v>0</v>
      </c>
      <c r="BJ320"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분석_15일'!$F320,'2023년 신조차 고장관리 세부현황'!$BC:$BC,"완료",'2023년 신조차 고장관리 세부현황'!$CY:$CY,"C/I")</f>
        <v>0</v>
      </c>
      <c r="BK320"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분석_15일'!$F320,'2023년 신조차 고장관리 세부현황'!$BC:$BC,"완료",'2023년 신조차 고장관리 세부현황'!$CY:$CY,"C/I")</f>
        <v>0</v>
      </c>
      <c r="BL320"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분석_15일'!$F320,'2023년 신조차 고장관리 세부현황'!$BC:$BC,"완료",'2023년 신조차 고장관리 세부현황'!$CY:$CY,"C/I")</f>
        <v>0</v>
      </c>
      <c r="BM320"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분석_15일'!$F320,'2023년 신조차 고장관리 세부현황'!$BC:$BC,"완료",'2023년 신조차 고장관리 세부현황'!$CY:$CY,"C/I")</f>
        <v>0</v>
      </c>
      <c r="BN320"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분석_15일'!$F320,'2023년 신조차 고장관리 세부현황'!$BC:$BC,"완료",'2023년 신조차 고장관리 세부현황'!$CY:$CY,"C/I")</f>
        <v>0</v>
      </c>
      <c r="BO320"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분석_15일'!$F320,'2023년 신조차 고장관리 세부현황'!$BC:$BC,"완료",'2023년 신조차 고장관리 세부현황'!$CY:$CY,"C/I")</f>
        <v>0</v>
      </c>
      <c r="BP320"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분석_15일'!$F320,'2023년 신조차 고장관리 세부현황'!$BC:$BC,"완료",'2023년 신조차 고장관리 세부현황'!$CY:$CY,"C/I")</f>
        <v>0</v>
      </c>
      <c r="BQ320"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분석_15일'!$F320,'2023년 신조차 고장관리 세부현황'!$BC:$BC,"완료",'2023년 신조차 고장관리 세부현황'!$CY:$CY,"C/I")</f>
        <v>0</v>
      </c>
      <c r="BR320"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분석_15일'!$F320,'2023년 신조차 고장관리 세부현황'!$BC:$BC,"완료",'2023년 신조차 고장관리 세부현황'!$CY:$CY,"C/I")</f>
        <v>0</v>
      </c>
      <c r="BS320"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분석_15일'!$F320,'2023년 신조차 고장관리 세부현황'!$BC:$BC,"완료",'2023년 신조차 고장관리 세부현황'!$CY:$CY,"C/I")</f>
        <v>0</v>
      </c>
      <c r="BT320"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분석_15일'!$F320,'2023년 신조차 고장관리 세부현황'!$BC:$BC,"완료",'2023년 신조차 고장관리 세부현황'!$CY:$CY,"C/I")</f>
        <v>0</v>
      </c>
      <c r="BU320"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분석_15일'!$F320,'2023년 신조차 고장관리 세부현황'!$BC:$BC,"완료",'2023년 신조차 고장관리 세부현황'!$CY:$CY,"C/I")</f>
        <v>0</v>
      </c>
      <c r="BV320"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분석_15일'!$F320,'2023년 신조차 고장관리 세부현황'!$BC:$BC,"완료",'2023년 신조차 고장관리 세부현황'!$CY:$CY,"C/I")</f>
        <v>0</v>
      </c>
      <c r="BW320"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분석_15일'!$F320,'2023년 신조차 고장관리 세부현황'!$BC:$BC,"완료",'2023년 신조차 고장관리 세부현황'!$CY:$CY,"C/I")</f>
        <v>0</v>
      </c>
      <c r="BX320"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분석_15일'!$F320,'2023년 신조차 고장관리 세부현황'!$BC:$BC,"완료",'2023년 신조차 고장관리 세부현황'!$CY:$CY,"C/I")</f>
        <v>0</v>
      </c>
      <c r="BY320"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분석_15일'!$F320,'2023년 신조차 고장관리 세부현황'!$BC:$BC,"완료",'2023년 신조차 고장관리 세부현황'!$CY:$CY,"C/I")</f>
        <v>0</v>
      </c>
      <c r="BZ320"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분석_15일'!$F320,'2023년 신조차 고장관리 세부현황'!$BC:$BC,"완료",'2023년 신조차 고장관리 세부현황'!$CY:$CY,"C/I")</f>
        <v>0</v>
      </c>
      <c r="CA320"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분석_15일'!$F320,'2023년 신조차 고장관리 세부현황'!$BC:$BC,"완료",'2023년 신조차 고장관리 세부현황'!$CY:$CY,"C/I")</f>
        <v>0</v>
      </c>
      <c r="CB320"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분석_15일'!$F320,'2023년 신조차 고장관리 세부현황'!$BC:$BC,"완료",'2023년 신조차 고장관리 세부현황'!$CY:$CY,"C/I")</f>
        <v>0</v>
      </c>
      <c r="CC320"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분석_15일'!$F320,'2023년 신조차 고장관리 세부현황'!$BC:$BC,"완료",'2023년 신조차 고장관리 세부현황'!$CY:$CY,"C/I")</f>
        <v>0</v>
      </c>
      <c r="CD320"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분석_15일'!$F320,'2023년 신조차 고장관리 세부현황'!$BC:$BC,"완료",'2023년 신조차 고장관리 세부현황'!$CY:$CY,"C/I")</f>
        <v>0</v>
      </c>
      <c r="CE320"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분석_15일'!$F320,'2023년 신조차 고장관리 세부현황'!$BC:$BC,"완료",'2023년 신조차 고장관리 세부현황'!$CY:$CY,"C/I")</f>
        <v>0</v>
      </c>
      <c r="CF320"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분석_15일'!$F320,'2023년 신조차 고장관리 세부현황'!$BC:$BC,"완료",'2023년 신조차 고장관리 세부현황'!$CY:$CY,"C/I")</f>
        <v>0</v>
      </c>
      <c r="CG320"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분석_15일'!$F320,'2023년 신조차 고장관리 세부현황'!$BC:$BC,"완료",'2023년 신조차 고장관리 세부현황'!$CY:$CY,"C/I")</f>
        <v>0</v>
      </c>
      <c r="CH320"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분석_15일'!$F320,'2023년 신조차 고장관리 세부현황'!$BC:$BC,"완료",'2023년 신조차 고장관리 세부현황'!$CY:$CY,"C/I")</f>
        <v>0</v>
      </c>
      <c r="CI320"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분석_15일'!$F320,'2023년 신조차 고장관리 세부현황'!$BC:$BC,"완료",'2023년 신조차 고장관리 세부현황'!$CY:$CY,"C/I")</f>
        <v>0</v>
      </c>
      <c r="CJ320"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분석_15일'!$F320,'2023년 신조차 고장관리 세부현황'!$BC:$BC,"완료",'2023년 신조차 고장관리 세부현황'!$CY:$CY,"C/I")</f>
        <v>0</v>
      </c>
      <c r="CK320"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분석_15일'!$F320,'2023년 신조차 고장관리 세부현황'!$BC:$BC,"완료",'2023년 신조차 고장관리 세부현황'!$CY:$CY,"C/I")</f>
        <v>0</v>
      </c>
      <c r="CL320"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분석_15일'!$F320,'2023년 신조차 고장관리 세부현황'!$BC:$BC,"완료",'2023년 신조차 고장관리 세부현황'!$CY:$CY,"C/I")</f>
        <v>0</v>
      </c>
      <c r="CM320"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분석_15일'!$F320,'2023년 신조차 고장관리 세부현황'!$BC:$BC,"완료",'2023년 신조차 고장관리 세부현황'!$CY:$CY,"C/I")</f>
        <v>0</v>
      </c>
      <c r="CN320"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분석_15일'!$F320,'2023년 신조차 고장관리 세부현황'!$BC:$BC,"완료",'2023년 신조차 고장관리 세부현황'!$CY:$CY,"C/I")</f>
        <v>0</v>
      </c>
      <c r="CO320"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분석_15일'!$F320,'2023년 신조차 고장관리 세부현황'!$BC:$BC,"완료",'2023년 신조차 고장관리 세부현황'!$CY:$CY,"C/I")</f>
        <v>0</v>
      </c>
      <c r="CP320"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분석_15일'!$F320,'2023년 신조차 고장관리 세부현황'!$BC:$BC,"완료",'2023년 신조차 고장관리 세부현황'!$CY:$CY,"C/I")</f>
        <v>0</v>
      </c>
      <c r="CQ320"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분석_15일'!$F320,'2023년 신조차 고장관리 세부현황'!$BC:$BC,"완료",'2023년 신조차 고장관리 세부현황'!$CY:$CY,"C/I")</f>
        <v>0</v>
      </c>
      <c r="CR320"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분석_15일'!$F320,'2023년 신조차 고장관리 세부현황'!$BC:$BC,"완료",'2023년 신조차 고장관리 세부현황'!$CY:$CY,"C/I")</f>
        <v>0</v>
      </c>
      <c r="CS320"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분석_15일'!$F320,'2023년 신조차 고장관리 세부현황'!$BC:$BC,"완료",'2023년 신조차 고장관리 세부현황'!$CY:$CY,"C/I")</f>
        <v>0</v>
      </c>
      <c r="CT320"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분석_15일'!$F320,'2023년 신조차 고장관리 세부현황'!$BC:$BC,"완료",'2023년 신조차 고장관리 세부현황'!$CY:$CY,"C/I")</f>
        <v>0</v>
      </c>
      <c r="CU320"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분석_15일'!$F320,'2023년 신조차 고장관리 세부현황'!$BC:$BC,"완료",'2023년 신조차 고장관리 세부현황'!$CY:$CY,"C/I")</f>
        <v>0</v>
      </c>
      <c r="CV320"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분석_15일'!$F320,'2023년 신조차 고장관리 세부현황'!$BC:$BC,"완료",'2023년 신조차 고장관리 세부현황'!$CY:$CY,"C/I")</f>
        <v>0</v>
      </c>
      <c r="CW320"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분석_15일'!$F320,'2023년 신조차 고장관리 세부현황'!$BC:$BC,"완료",'2023년 신조차 고장관리 세부현황'!$CY:$CY,"C/I")</f>
        <v>0</v>
      </c>
      <c r="CX320">
        <f>SUM(G320:CW320)</f>
        <v>0</v>
      </c>
    </row>
    <row r="322" spans="6:102" x14ac:dyDescent="0.4">
      <c r="F322" t="s">
        <v>352</v>
      </c>
    </row>
    <row r="323" spans="6:102" x14ac:dyDescent="0.4">
      <c r="F323" t="s">
        <v>346</v>
      </c>
      <c r="CS323" t="s">
        <v>396</v>
      </c>
    </row>
    <row r="324" spans="6:102" x14ac:dyDescent="0.4">
      <c r="F324" s="85" t="s">
        <v>242</v>
      </c>
      <c r="G324" s="85">
        <v>1</v>
      </c>
      <c r="H324" s="85">
        <v>2</v>
      </c>
      <c r="I324" s="85">
        <v>3</v>
      </c>
      <c r="J324" s="85">
        <v>4</v>
      </c>
      <c r="K324" s="85">
        <v>5</v>
      </c>
      <c r="L324" s="85">
        <v>6</v>
      </c>
      <c r="M324" s="85">
        <v>7</v>
      </c>
      <c r="N324" s="85">
        <v>8</v>
      </c>
      <c r="O324" s="85">
        <v>9</v>
      </c>
      <c r="P324" s="85">
        <v>10</v>
      </c>
      <c r="Q324" s="85">
        <v>11</v>
      </c>
      <c r="R324" s="85">
        <v>12</v>
      </c>
      <c r="S324" s="85">
        <v>13</v>
      </c>
      <c r="T324" s="85">
        <v>14</v>
      </c>
      <c r="U324" s="85">
        <v>15</v>
      </c>
      <c r="V324" s="85">
        <v>16</v>
      </c>
      <c r="W324" s="85">
        <v>17</v>
      </c>
      <c r="X324" s="85">
        <v>18</v>
      </c>
      <c r="Y324" s="85">
        <v>19</v>
      </c>
      <c r="Z324" s="85">
        <v>20</v>
      </c>
      <c r="AA324" s="85">
        <v>21</v>
      </c>
      <c r="AB324" s="85">
        <v>22</v>
      </c>
      <c r="AC324" s="85">
        <v>23</v>
      </c>
      <c r="AD324" s="85">
        <v>24</v>
      </c>
      <c r="AE324" s="85">
        <v>25</v>
      </c>
      <c r="AF324" s="85">
        <v>26</v>
      </c>
      <c r="AG324" s="85">
        <v>27</v>
      </c>
      <c r="AH324" s="85">
        <v>28</v>
      </c>
      <c r="AI324" s="85">
        <v>29</v>
      </c>
      <c r="AJ324" s="85">
        <v>30</v>
      </c>
      <c r="AK324" s="85">
        <v>31</v>
      </c>
      <c r="AL324" s="85">
        <v>32</v>
      </c>
      <c r="AM324" s="85">
        <v>33</v>
      </c>
      <c r="AN324" s="85">
        <v>34</v>
      </c>
      <c r="AO324" s="85">
        <v>35</v>
      </c>
      <c r="AP324" s="85">
        <v>36</v>
      </c>
      <c r="AQ324" s="85">
        <v>37</v>
      </c>
      <c r="AR324" s="85">
        <v>38</v>
      </c>
      <c r="AS324" s="85">
        <v>39</v>
      </c>
      <c r="AT324" s="85">
        <v>40</v>
      </c>
      <c r="AU324" s="85">
        <v>41</v>
      </c>
      <c r="AV324" s="85">
        <v>42</v>
      </c>
      <c r="AW324" s="85">
        <v>43</v>
      </c>
      <c r="AX324" s="85">
        <v>44</v>
      </c>
      <c r="AY324" s="85">
        <v>45</v>
      </c>
      <c r="AZ324" s="85">
        <v>46</v>
      </c>
      <c r="BA324" s="85">
        <v>47</v>
      </c>
      <c r="BB324" s="85">
        <v>48</v>
      </c>
      <c r="BC324" s="85">
        <v>49</v>
      </c>
      <c r="BD324" s="85">
        <v>50</v>
      </c>
      <c r="BE324" s="85">
        <v>51</v>
      </c>
      <c r="BF324" s="85">
        <v>52</v>
      </c>
      <c r="BG324" s="85">
        <v>53</v>
      </c>
      <c r="BH324" s="85">
        <v>54</v>
      </c>
      <c r="BI324" s="85">
        <v>55</v>
      </c>
      <c r="BJ324" s="85">
        <v>56</v>
      </c>
      <c r="BK324" s="85">
        <v>57</v>
      </c>
      <c r="BL324" s="85">
        <v>58</v>
      </c>
      <c r="BM324" s="85">
        <v>59</v>
      </c>
      <c r="BN324" s="85">
        <v>60</v>
      </c>
      <c r="BO324" s="85">
        <v>61</v>
      </c>
      <c r="BP324" s="85">
        <v>62</v>
      </c>
      <c r="BQ324" s="85">
        <v>63</v>
      </c>
      <c r="BR324" s="85">
        <v>64</v>
      </c>
      <c r="BS324" s="85">
        <v>65</v>
      </c>
      <c r="BT324" s="85">
        <v>66</v>
      </c>
      <c r="BU324" s="85">
        <v>67</v>
      </c>
      <c r="BV324" s="85">
        <v>68</v>
      </c>
      <c r="BW324" s="85">
        <v>69</v>
      </c>
      <c r="BX324" s="85">
        <v>70</v>
      </c>
      <c r="BY324" s="85">
        <v>71</v>
      </c>
      <c r="BZ324" s="85">
        <v>72</v>
      </c>
      <c r="CA324" s="85">
        <v>73</v>
      </c>
      <c r="CB324" s="85">
        <v>74</v>
      </c>
      <c r="CC324" s="85">
        <v>75</v>
      </c>
      <c r="CD324" s="85">
        <v>76</v>
      </c>
      <c r="CE324" s="85">
        <v>77</v>
      </c>
      <c r="CF324" s="85">
        <v>78</v>
      </c>
      <c r="CG324" s="85">
        <v>79</v>
      </c>
      <c r="CH324" s="85">
        <v>80</v>
      </c>
      <c r="CI324" s="85">
        <v>81</v>
      </c>
      <c r="CJ324" s="85">
        <v>82</v>
      </c>
      <c r="CK324" s="85">
        <v>83</v>
      </c>
      <c r="CL324" s="85">
        <v>84</v>
      </c>
      <c r="CM324" s="85">
        <v>85</v>
      </c>
      <c r="CN324" s="85">
        <v>86</v>
      </c>
      <c r="CO324" s="85">
        <v>87</v>
      </c>
      <c r="CP324" s="85">
        <v>88</v>
      </c>
      <c r="CQ324" s="85">
        <v>89</v>
      </c>
      <c r="CR324" s="85">
        <v>90</v>
      </c>
      <c r="CS324" s="85">
        <v>91</v>
      </c>
      <c r="CT324" s="85">
        <v>92</v>
      </c>
      <c r="CU324" s="85">
        <v>93</v>
      </c>
      <c r="CV324" s="85">
        <v>94</v>
      </c>
      <c r="CW324" s="85">
        <v>95</v>
      </c>
    </row>
    <row r="325" spans="6:102" x14ac:dyDescent="0.4">
      <c r="F325" s="85" t="s">
        <v>239</v>
      </c>
      <c r="G325" s="139">
        <f>15*G324</f>
        <v>15</v>
      </c>
      <c r="H325" s="139">
        <f t="shared" ref="H325:BS325" si="325">15*H324</f>
        <v>30</v>
      </c>
      <c r="I325" s="139">
        <f t="shared" si="325"/>
        <v>45</v>
      </c>
      <c r="J325" s="139">
        <f t="shared" si="325"/>
        <v>60</v>
      </c>
      <c r="K325" s="139">
        <f t="shared" si="325"/>
        <v>75</v>
      </c>
      <c r="L325" s="139">
        <f t="shared" si="325"/>
        <v>90</v>
      </c>
      <c r="M325" s="139">
        <f t="shared" si="325"/>
        <v>105</v>
      </c>
      <c r="N325" s="139">
        <f t="shared" si="325"/>
        <v>120</v>
      </c>
      <c r="O325" s="139">
        <f t="shared" si="325"/>
        <v>135</v>
      </c>
      <c r="P325" s="139">
        <f t="shared" si="325"/>
        <v>150</v>
      </c>
      <c r="Q325" s="139">
        <f t="shared" si="325"/>
        <v>165</v>
      </c>
      <c r="R325" s="139">
        <f t="shared" si="325"/>
        <v>180</v>
      </c>
      <c r="S325" s="139">
        <f t="shared" si="325"/>
        <v>195</v>
      </c>
      <c r="T325" s="139">
        <f t="shared" si="325"/>
        <v>210</v>
      </c>
      <c r="U325" s="139">
        <f t="shared" si="325"/>
        <v>225</v>
      </c>
      <c r="V325" s="139">
        <f t="shared" si="325"/>
        <v>240</v>
      </c>
      <c r="W325" s="139">
        <f t="shared" si="325"/>
        <v>255</v>
      </c>
      <c r="X325" s="139">
        <f t="shared" si="325"/>
        <v>270</v>
      </c>
      <c r="Y325" s="139">
        <f t="shared" si="325"/>
        <v>285</v>
      </c>
      <c r="Z325" s="139">
        <f t="shared" si="325"/>
        <v>300</v>
      </c>
      <c r="AA325" s="139">
        <f t="shared" si="325"/>
        <v>315</v>
      </c>
      <c r="AB325" s="139">
        <f t="shared" si="325"/>
        <v>330</v>
      </c>
      <c r="AC325" s="139">
        <f t="shared" si="325"/>
        <v>345</v>
      </c>
      <c r="AD325" s="139">
        <f t="shared" si="325"/>
        <v>360</v>
      </c>
      <c r="AE325" s="139">
        <f t="shared" si="325"/>
        <v>375</v>
      </c>
      <c r="AF325" s="139">
        <f t="shared" si="325"/>
        <v>390</v>
      </c>
      <c r="AG325" s="139">
        <f t="shared" si="325"/>
        <v>405</v>
      </c>
      <c r="AH325" s="139">
        <f t="shared" si="325"/>
        <v>420</v>
      </c>
      <c r="AI325" s="139">
        <f t="shared" si="325"/>
        <v>435</v>
      </c>
      <c r="AJ325" s="139">
        <f t="shared" si="325"/>
        <v>450</v>
      </c>
      <c r="AK325" s="139">
        <f t="shared" si="325"/>
        <v>465</v>
      </c>
      <c r="AL325" s="139">
        <f t="shared" si="325"/>
        <v>480</v>
      </c>
      <c r="AM325" s="139">
        <f t="shared" si="325"/>
        <v>495</v>
      </c>
      <c r="AN325" s="139">
        <f t="shared" si="325"/>
        <v>510</v>
      </c>
      <c r="AO325" s="139">
        <f t="shared" si="325"/>
        <v>525</v>
      </c>
      <c r="AP325" s="139">
        <f t="shared" si="325"/>
        <v>540</v>
      </c>
      <c r="AQ325" s="139">
        <f t="shared" si="325"/>
        <v>555</v>
      </c>
      <c r="AR325" s="139">
        <f t="shared" si="325"/>
        <v>570</v>
      </c>
      <c r="AS325" s="139">
        <f t="shared" si="325"/>
        <v>585</v>
      </c>
      <c r="AT325" s="139">
        <f t="shared" si="325"/>
        <v>600</v>
      </c>
      <c r="AU325" s="139">
        <f t="shared" si="325"/>
        <v>615</v>
      </c>
      <c r="AV325" s="139">
        <f t="shared" si="325"/>
        <v>630</v>
      </c>
      <c r="AW325" s="139">
        <f t="shared" si="325"/>
        <v>645</v>
      </c>
      <c r="AX325" s="139">
        <f t="shared" si="325"/>
        <v>660</v>
      </c>
      <c r="AY325" s="139">
        <f t="shared" si="325"/>
        <v>675</v>
      </c>
      <c r="AZ325" s="139">
        <f t="shared" si="325"/>
        <v>690</v>
      </c>
      <c r="BA325" s="139">
        <f t="shared" si="325"/>
        <v>705</v>
      </c>
      <c r="BB325" s="139">
        <f t="shared" si="325"/>
        <v>720</v>
      </c>
      <c r="BC325" s="139">
        <f t="shared" si="325"/>
        <v>735</v>
      </c>
      <c r="BD325" s="139">
        <f t="shared" si="325"/>
        <v>750</v>
      </c>
      <c r="BE325" s="139">
        <f t="shared" si="325"/>
        <v>765</v>
      </c>
      <c r="BF325" s="139">
        <f t="shared" si="325"/>
        <v>780</v>
      </c>
      <c r="BG325" s="139">
        <f t="shared" si="325"/>
        <v>795</v>
      </c>
      <c r="BH325" s="139">
        <f t="shared" si="325"/>
        <v>810</v>
      </c>
      <c r="BI325" s="139">
        <f t="shared" si="325"/>
        <v>825</v>
      </c>
      <c r="BJ325" s="139">
        <f t="shared" si="325"/>
        <v>840</v>
      </c>
      <c r="BK325" s="139">
        <f t="shared" si="325"/>
        <v>855</v>
      </c>
      <c r="BL325" s="139">
        <f t="shared" si="325"/>
        <v>870</v>
      </c>
      <c r="BM325" s="139">
        <f t="shared" si="325"/>
        <v>885</v>
      </c>
      <c r="BN325" s="139">
        <f t="shared" si="325"/>
        <v>900</v>
      </c>
      <c r="BO325" s="139">
        <f t="shared" si="325"/>
        <v>915</v>
      </c>
      <c r="BP325" s="139">
        <f t="shared" si="325"/>
        <v>930</v>
      </c>
      <c r="BQ325" s="139">
        <f t="shared" si="325"/>
        <v>945</v>
      </c>
      <c r="BR325" s="139">
        <f t="shared" si="325"/>
        <v>960</v>
      </c>
      <c r="BS325" s="139">
        <f t="shared" si="325"/>
        <v>975</v>
      </c>
      <c r="BT325" s="139">
        <f t="shared" ref="BT325:CW325" si="326">15*BT324</f>
        <v>990</v>
      </c>
      <c r="BU325" s="139">
        <f t="shared" si="326"/>
        <v>1005</v>
      </c>
      <c r="BV325" s="139">
        <f t="shared" si="326"/>
        <v>1020</v>
      </c>
      <c r="BW325" s="139">
        <f t="shared" si="326"/>
        <v>1035</v>
      </c>
      <c r="BX325" s="139">
        <f t="shared" si="326"/>
        <v>1050</v>
      </c>
      <c r="BY325" s="139">
        <f t="shared" si="326"/>
        <v>1065</v>
      </c>
      <c r="BZ325" s="139">
        <f t="shared" si="326"/>
        <v>1080</v>
      </c>
      <c r="CA325" s="139">
        <f t="shared" si="326"/>
        <v>1095</v>
      </c>
      <c r="CB325" s="139">
        <f t="shared" si="326"/>
        <v>1110</v>
      </c>
      <c r="CC325" s="139">
        <f t="shared" si="326"/>
        <v>1125</v>
      </c>
      <c r="CD325" s="139">
        <f t="shared" si="326"/>
        <v>1140</v>
      </c>
      <c r="CE325" s="139">
        <f t="shared" si="326"/>
        <v>1155</v>
      </c>
      <c r="CF325" s="139">
        <f t="shared" si="326"/>
        <v>1170</v>
      </c>
      <c r="CG325" s="139">
        <f t="shared" si="326"/>
        <v>1185</v>
      </c>
      <c r="CH325" s="139">
        <f t="shared" si="326"/>
        <v>1200</v>
      </c>
      <c r="CI325" s="139">
        <f t="shared" si="326"/>
        <v>1215</v>
      </c>
      <c r="CJ325" s="139">
        <f t="shared" si="326"/>
        <v>1230</v>
      </c>
      <c r="CK325" s="139">
        <f t="shared" si="326"/>
        <v>1245</v>
      </c>
      <c r="CL325" s="139">
        <f t="shared" si="326"/>
        <v>1260</v>
      </c>
      <c r="CM325" s="139">
        <f t="shared" si="326"/>
        <v>1275</v>
      </c>
      <c r="CN325" s="139">
        <f t="shared" si="326"/>
        <v>1290</v>
      </c>
      <c r="CO325" s="139">
        <f t="shared" si="326"/>
        <v>1305</v>
      </c>
      <c r="CP325" s="139">
        <f t="shared" si="326"/>
        <v>1320</v>
      </c>
      <c r="CQ325" s="139">
        <f t="shared" si="326"/>
        <v>1335</v>
      </c>
      <c r="CR325" s="139">
        <f t="shared" si="326"/>
        <v>1350</v>
      </c>
      <c r="CS325" s="139">
        <f t="shared" si="326"/>
        <v>1365</v>
      </c>
      <c r="CT325" s="139">
        <f t="shared" si="326"/>
        <v>1380</v>
      </c>
      <c r="CU325" s="139">
        <f t="shared" si="326"/>
        <v>1395</v>
      </c>
      <c r="CV325" s="139">
        <f t="shared" si="326"/>
        <v>1410</v>
      </c>
      <c r="CW325" s="139">
        <f t="shared" si="326"/>
        <v>1425</v>
      </c>
    </row>
    <row r="326" spans="6:102" x14ac:dyDescent="0.4">
      <c r="F326" s="85" t="s">
        <v>154</v>
      </c>
      <c r="G326" s="85">
        <f>COUNTIFS('2023년 신조차 고장관리 세부현황'!$K:$K,"128R",'2023년 신조차 고장관리 세부현황'!$P:$P,"&gt;="&amp;G324,'2023년 신조차 고장관리 세부현황'!$P:$P,"&lt;"&amp;'트랜드 분석_15일'!G325,'2023년 신조차 고장관리 세부현황'!$BC:$BC,"완료",'2023년 신조차 고장관리 세부현황'!$CY:$CY,"방송장치")</f>
        <v>0</v>
      </c>
      <c r="H326" s="85">
        <f>COUNTIFS('2023년 신조차 고장관리 세부현황'!$K:$K,"128R",'2023년 신조차 고장관리 세부현황'!$P:$P,"&gt;="&amp;'트랜드 분석_15일'!G$18,'2023년 신조차 고장관리 세부현황'!$P:$P,"&lt;"&amp;'트랜드 분석_15일'!H$18,'2023년 신조차 고장관리 세부현황'!$BC:$BC,"완료",'2023년 신조차 고장관리 세부현황'!$CY:$CY,"방송장치")</f>
        <v>0</v>
      </c>
      <c r="I326" s="85">
        <f>COUNTIFS('2023년 신조차 고장관리 세부현황'!$K:$K,"128R",'2023년 신조차 고장관리 세부현황'!$P:$P,"&gt;="&amp;'트랜드 분석_15일'!H$18,'2023년 신조차 고장관리 세부현황'!$P:$P,"&lt;"&amp;'트랜드 분석_15일'!I$18,'2023년 신조차 고장관리 세부현황'!$BC:$BC,"완료",'2023년 신조차 고장관리 세부현황'!$CY:$CY,"방송장치")</f>
        <v>0</v>
      </c>
      <c r="J326" s="85">
        <f>COUNTIFS('2023년 신조차 고장관리 세부현황'!$K:$K,"128R",'2023년 신조차 고장관리 세부현황'!$P:$P,"&gt;="&amp;'트랜드 분석_15일'!I$18,'2023년 신조차 고장관리 세부현황'!$P:$P,"&lt;"&amp;'트랜드 분석_15일'!J$18,'2023년 신조차 고장관리 세부현황'!$BC:$BC,"완료",'2023년 신조차 고장관리 세부현황'!$CY:$CY,"방송장치")</f>
        <v>0</v>
      </c>
      <c r="K326" s="85">
        <f>COUNTIFS('2023년 신조차 고장관리 세부현황'!$K:$K,"128R",'2023년 신조차 고장관리 세부현황'!$P:$P,"&gt;="&amp;'트랜드 분석_15일'!J$18,'2023년 신조차 고장관리 세부현황'!$P:$P,"&lt;"&amp;'트랜드 분석_15일'!K$18,'2023년 신조차 고장관리 세부현황'!$BC:$BC,"완료",'2023년 신조차 고장관리 세부현황'!$CY:$CY,"방송장치")</f>
        <v>0</v>
      </c>
      <c r="L326" s="85">
        <f>COUNTIFS('2023년 신조차 고장관리 세부현황'!$K:$K,"128R",'2023년 신조차 고장관리 세부현황'!$P:$P,"&gt;="&amp;'트랜드 분석_15일'!K$18,'2023년 신조차 고장관리 세부현황'!$P:$P,"&lt;"&amp;'트랜드 분석_15일'!L$18,'2023년 신조차 고장관리 세부현황'!$BC:$BC,"완료",'2023년 신조차 고장관리 세부현황'!$CY:$CY,"방송장치")</f>
        <v>0</v>
      </c>
      <c r="M326" s="85">
        <f>COUNTIFS('2023년 신조차 고장관리 세부현황'!$K:$K,"128R",'2023년 신조차 고장관리 세부현황'!$P:$P,"&gt;="&amp;'트랜드 분석_15일'!L$18,'2023년 신조차 고장관리 세부현황'!$P:$P,"&lt;"&amp;'트랜드 분석_15일'!M$18,'2023년 신조차 고장관리 세부현황'!$BC:$BC,"완료",'2023년 신조차 고장관리 세부현황'!$CY:$CY,"방송장치")</f>
        <v>0</v>
      </c>
      <c r="N326" s="85">
        <f>COUNTIFS('2023년 신조차 고장관리 세부현황'!$K:$K,"128R",'2023년 신조차 고장관리 세부현황'!$P:$P,"&gt;="&amp;'트랜드 분석_15일'!M$18,'2023년 신조차 고장관리 세부현황'!$P:$P,"&lt;"&amp;'트랜드 분석_15일'!N$18,'2023년 신조차 고장관리 세부현황'!$BC:$BC,"완료",'2023년 신조차 고장관리 세부현황'!$CY:$CY,"방송장치")</f>
        <v>0</v>
      </c>
      <c r="O326" s="85">
        <f>COUNTIFS('2023년 신조차 고장관리 세부현황'!$K:$K,"128R",'2023년 신조차 고장관리 세부현황'!$P:$P,"&gt;="&amp;'트랜드 분석_15일'!N$18,'2023년 신조차 고장관리 세부현황'!$P:$P,"&lt;"&amp;'트랜드 분석_15일'!O$18,'2023년 신조차 고장관리 세부현황'!$BC:$BC,"완료",'2023년 신조차 고장관리 세부현황'!$CY:$CY,"방송장치")</f>
        <v>0</v>
      </c>
      <c r="P326" s="85">
        <f>COUNTIFS('2023년 신조차 고장관리 세부현황'!$K:$K,"128R",'2023년 신조차 고장관리 세부현황'!$P:$P,"&gt;="&amp;'트랜드 분석_15일'!O$18,'2023년 신조차 고장관리 세부현황'!$P:$P,"&lt;"&amp;'트랜드 분석_15일'!P$18,'2023년 신조차 고장관리 세부현황'!$BC:$BC,"완료",'2023년 신조차 고장관리 세부현황'!$CY:$CY,"방송장치")</f>
        <v>0</v>
      </c>
      <c r="Q326" s="85">
        <f>COUNTIFS('2023년 신조차 고장관리 세부현황'!$K:$K,"128R",'2023년 신조차 고장관리 세부현황'!$P:$P,"&gt;="&amp;'트랜드 분석_15일'!P$18,'2023년 신조차 고장관리 세부현황'!$P:$P,"&lt;"&amp;'트랜드 분석_15일'!Q$18,'2023년 신조차 고장관리 세부현황'!$BC:$BC,"완료",'2023년 신조차 고장관리 세부현황'!$CY:$CY,"방송장치")</f>
        <v>0</v>
      </c>
      <c r="R326" s="85">
        <f>COUNTIFS('2023년 신조차 고장관리 세부현황'!$K:$K,"128R",'2023년 신조차 고장관리 세부현황'!$P:$P,"&gt;="&amp;'트랜드 분석_15일'!Q$18,'2023년 신조차 고장관리 세부현황'!$P:$P,"&lt;"&amp;'트랜드 분석_15일'!R$18,'2023년 신조차 고장관리 세부현황'!$BC:$BC,"완료",'2023년 신조차 고장관리 세부현황'!$CY:$CY,"방송장치")</f>
        <v>0</v>
      </c>
      <c r="S326" s="85">
        <f>COUNTIFS('2023년 신조차 고장관리 세부현황'!$K:$K,"128R",'2023년 신조차 고장관리 세부현황'!$P:$P,"&gt;="&amp;'트랜드 분석_15일'!R$18,'2023년 신조차 고장관리 세부현황'!$P:$P,"&lt;"&amp;'트랜드 분석_15일'!S$18,'2023년 신조차 고장관리 세부현황'!$BC:$BC,"완료",'2023년 신조차 고장관리 세부현황'!$CY:$CY,"방송장치")</f>
        <v>0</v>
      </c>
      <c r="T326" s="85">
        <f>COUNTIFS('2023년 신조차 고장관리 세부현황'!$K:$K,"128R",'2023년 신조차 고장관리 세부현황'!$P:$P,"&gt;="&amp;'트랜드 분석_15일'!S$18,'2023년 신조차 고장관리 세부현황'!$P:$P,"&lt;"&amp;'트랜드 분석_15일'!T$18,'2023년 신조차 고장관리 세부현황'!$BC:$BC,"완료",'2023년 신조차 고장관리 세부현황'!$CY:$CY,"방송장치")</f>
        <v>0</v>
      </c>
      <c r="U326" s="85">
        <f>COUNTIFS('2023년 신조차 고장관리 세부현황'!$K:$K,"128R",'2023년 신조차 고장관리 세부현황'!$P:$P,"&gt;="&amp;'트랜드 분석_15일'!T$18,'2023년 신조차 고장관리 세부현황'!$P:$P,"&lt;"&amp;'트랜드 분석_15일'!U$18,'2023년 신조차 고장관리 세부현황'!$BC:$BC,"완료",'2023년 신조차 고장관리 세부현황'!$CY:$CY,"방송장치")</f>
        <v>0</v>
      </c>
      <c r="V326" s="85">
        <f>COUNTIFS('2023년 신조차 고장관리 세부현황'!$K:$K,"128R",'2023년 신조차 고장관리 세부현황'!$P:$P,"&gt;="&amp;'트랜드 분석_15일'!U$18,'2023년 신조차 고장관리 세부현황'!$P:$P,"&lt;"&amp;'트랜드 분석_15일'!V$18,'2023년 신조차 고장관리 세부현황'!$BC:$BC,"완료",'2023년 신조차 고장관리 세부현황'!$CY:$CY,"방송장치")</f>
        <v>0</v>
      </c>
      <c r="W326" s="85">
        <f>COUNTIFS('2023년 신조차 고장관리 세부현황'!$K:$K,"128R",'2023년 신조차 고장관리 세부현황'!$P:$P,"&gt;="&amp;'트랜드 분석_15일'!V$18,'2023년 신조차 고장관리 세부현황'!$P:$P,"&lt;"&amp;'트랜드 분석_15일'!W$18,'2023년 신조차 고장관리 세부현황'!$BC:$BC,"완료",'2023년 신조차 고장관리 세부현황'!$CY:$CY,"방송장치")</f>
        <v>0</v>
      </c>
      <c r="X326" s="85">
        <f>COUNTIFS('2023년 신조차 고장관리 세부현황'!$K:$K,"128R",'2023년 신조차 고장관리 세부현황'!$P:$P,"&gt;="&amp;'트랜드 분석_15일'!W$18,'2023년 신조차 고장관리 세부현황'!$P:$P,"&lt;"&amp;'트랜드 분석_15일'!X$18,'2023년 신조차 고장관리 세부현황'!$BC:$BC,"완료",'2023년 신조차 고장관리 세부현황'!$CY:$CY,"방송장치")</f>
        <v>0</v>
      </c>
      <c r="Y326" s="85">
        <f>COUNTIFS('2023년 신조차 고장관리 세부현황'!$K:$K,"128R",'2023년 신조차 고장관리 세부현황'!$P:$P,"&gt;="&amp;'트랜드 분석_15일'!X$18,'2023년 신조차 고장관리 세부현황'!$P:$P,"&lt;"&amp;'트랜드 분석_15일'!Y$18,'2023년 신조차 고장관리 세부현황'!$BC:$BC,"완료",'2023년 신조차 고장관리 세부현황'!$CY:$CY,"방송장치")</f>
        <v>0</v>
      </c>
      <c r="Z326" s="85">
        <f>COUNTIFS('2023년 신조차 고장관리 세부현황'!$K:$K,"128R",'2023년 신조차 고장관리 세부현황'!$P:$P,"&gt;="&amp;'트랜드 분석_15일'!Y$18,'2023년 신조차 고장관리 세부현황'!$P:$P,"&lt;"&amp;'트랜드 분석_15일'!Z$18,'2023년 신조차 고장관리 세부현황'!$BC:$BC,"완료",'2023년 신조차 고장관리 세부현황'!$CY:$CY,"방송장치")</f>
        <v>0</v>
      </c>
      <c r="AA326" s="85">
        <f>COUNTIFS('2023년 신조차 고장관리 세부현황'!$K:$K,"128R",'2023년 신조차 고장관리 세부현황'!$P:$P,"&gt;="&amp;'트랜드 분석_15일'!Z$18,'2023년 신조차 고장관리 세부현황'!$P:$P,"&lt;"&amp;'트랜드 분석_15일'!AA$18,'2023년 신조차 고장관리 세부현황'!$BC:$BC,"완료",'2023년 신조차 고장관리 세부현황'!$CY:$CY,"방송장치")</f>
        <v>0</v>
      </c>
      <c r="AB326" s="85">
        <f>COUNTIFS('2023년 신조차 고장관리 세부현황'!$K:$K,"128R",'2023년 신조차 고장관리 세부현황'!$P:$P,"&gt;="&amp;'트랜드 분석_15일'!AA$18,'2023년 신조차 고장관리 세부현황'!$P:$P,"&lt;"&amp;'트랜드 분석_15일'!AB$18,'2023년 신조차 고장관리 세부현황'!$BC:$BC,"완료",'2023년 신조차 고장관리 세부현황'!$CY:$CY,"방송장치")</f>
        <v>0</v>
      </c>
      <c r="AC326" s="85">
        <f>COUNTIFS('2023년 신조차 고장관리 세부현황'!$K:$K,"128R",'2023년 신조차 고장관리 세부현황'!$P:$P,"&gt;="&amp;'트랜드 분석_15일'!AB$18,'2023년 신조차 고장관리 세부현황'!$P:$P,"&lt;"&amp;'트랜드 분석_15일'!AC$18,'2023년 신조차 고장관리 세부현황'!$BC:$BC,"완료",'2023년 신조차 고장관리 세부현황'!$CY:$CY,"방송장치")</f>
        <v>0</v>
      </c>
      <c r="AD326" s="85">
        <f>COUNTIFS('2023년 신조차 고장관리 세부현황'!$K:$K,"128R",'2023년 신조차 고장관리 세부현황'!$P:$P,"&gt;="&amp;'트랜드 분석_15일'!AC$18,'2023년 신조차 고장관리 세부현황'!$P:$P,"&lt;"&amp;'트랜드 분석_15일'!AD$18,'2023년 신조차 고장관리 세부현황'!$BC:$BC,"완료",'2023년 신조차 고장관리 세부현황'!$CY:$CY,"방송장치")</f>
        <v>0</v>
      </c>
      <c r="AE326" s="85">
        <f>COUNTIFS('2023년 신조차 고장관리 세부현황'!$K:$K,"128R",'2023년 신조차 고장관리 세부현황'!$P:$P,"&gt;="&amp;'트랜드 분석_15일'!AD$18,'2023년 신조차 고장관리 세부현황'!$P:$P,"&lt;"&amp;'트랜드 분석_15일'!AE$18,'2023년 신조차 고장관리 세부현황'!$BC:$BC,"완료",'2023년 신조차 고장관리 세부현황'!$CY:$CY,"방송장치")</f>
        <v>0</v>
      </c>
      <c r="AF326" s="85">
        <f>COUNTIFS('2023년 신조차 고장관리 세부현황'!$K:$K,"128R",'2023년 신조차 고장관리 세부현황'!$P:$P,"&gt;="&amp;'트랜드 분석_15일'!AE$18,'2023년 신조차 고장관리 세부현황'!$P:$P,"&lt;"&amp;'트랜드 분석_15일'!AF$18,'2023년 신조차 고장관리 세부현황'!$BC:$BC,"완료",'2023년 신조차 고장관리 세부현황'!$CY:$CY,"방송장치")</f>
        <v>0</v>
      </c>
      <c r="AG326" s="85">
        <f>COUNTIFS('2023년 신조차 고장관리 세부현황'!$K:$K,"128R",'2023년 신조차 고장관리 세부현황'!$P:$P,"&gt;="&amp;'트랜드 분석_15일'!AF$18,'2023년 신조차 고장관리 세부현황'!$P:$P,"&lt;"&amp;'트랜드 분석_15일'!AG$18,'2023년 신조차 고장관리 세부현황'!$BC:$BC,"완료",'2023년 신조차 고장관리 세부현황'!$CY:$CY,"방송장치")</f>
        <v>0</v>
      </c>
      <c r="AH326" s="85">
        <f>COUNTIFS('2023년 신조차 고장관리 세부현황'!$K:$K,"128R",'2023년 신조차 고장관리 세부현황'!$P:$P,"&gt;="&amp;'트랜드 분석_15일'!AG$18,'2023년 신조차 고장관리 세부현황'!$P:$P,"&lt;"&amp;'트랜드 분석_15일'!AH$18,'2023년 신조차 고장관리 세부현황'!$BC:$BC,"완료",'2023년 신조차 고장관리 세부현황'!$CY:$CY,"방송장치")</f>
        <v>0</v>
      </c>
      <c r="AI326" s="85">
        <f>COUNTIFS('2023년 신조차 고장관리 세부현황'!$K:$K,"128R",'2023년 신조차 고장관리 세부현황'!$P:$P,"&gt;="&amp;'트랜드 분석_15일'!AH$18,'2023년 신조차 고장관리 세부현황'!$P:$P,"&lt;"&amp;'트랜드 분석_15일'!AI$18,'2023년 신조차 고장관리 세부현황'!$BC:$BC,"완료",'2023년 신조차 고장관리 세부현황'!$CY:$CY,"방송장치")</f>
        <v>0</v>
      </c>
      <c r="AJ326" s="85">
        <f>COUNTIFS('2023년 신조차 고장관리 세부현황'!$K:$K,"128R",'2023년 신조차 고장관리 세부현황'!$P:$P,"&gt;="&amp;'트랜드 분석_15일'!AI$18,'2023년 신조차 고장관리 세부현황'!$P:$P,"&lt;"&amp;'트랜드 분석_15일'!AJ$18,'2023년 신조차 고장관리 세부현황'!$BC:$BC,"완료",'2023년 신조차 고장관리 세부현황'!$CY:$CY,"방송장치")</f>
        <v>0</v>
      </c>
      <c r="AK326" s="85">
        <f>COUNTIFS('2023년 신조차 고장관리 세부현황'!$K:$K,"128R",'2023년 신조차 고장관리 세부현황'!$P:$P,"&gt;="&amp;'트랜드 분석_15일'!AJ$18,'2023년 신조차 고장관리 세부현황'!$P:$P,"&lt;"&amp;'트랜드 분석_15일'!AK$18,'2023년 신조차 고장관리 세부현황'!$BC:$BC,"완료",'2023년 신조차 고장관리 세부현황'!$CY:$CY,"방송장치")</f>
        <v>0</v>
      </c>
      <c r="AL326" s="85">
        <f>COUNTIFS('2023년 신조차 고장관리 세부현황'!$K:$K,"128R",'2023년 신조차 고장관리 세부현황'!$P:$P,"&gt;="&amp;'트랜드 분석_15일'!AK$18,'2023년 신조차 고장관리 세부현황'!$P:$P,"&lt;"&amp;'트랜드 분석_15일'!AL$18,'2023년 신조차 고장관리 세부현황'!$BC:$BC,"완료",'2023년 신조차 고장관리 세부현황'!$CY:$CY,"방송장치")</f>
        <v>0</v>
      </c>
      <c r="AM326" s="85">
        <f>COUNTIFS('2023년 신조차 고장관리 세부현황'!$K:$K,"128R",'2023년 신조차 고장관리 세부현황'!$P:$P,"&gt;="&amp;'트랜드 분석_15일'!AL$18,'2023년 신조차 고장관리 세부현황'!$P:$P,"&lt;"&amp;'트랜드 분석_15일'!AM$18,'2023년 신조차 고장관리 세부현황'!$BC:$BC,"완료",'2023년 신조차 고장관리 세부현황'!$CY:$CY,"방송장치")</f>
        <v>0</v>
      </c>
      <c r="AN326" s="85">
        <f>COUNTIFS('2023년 신조차 고장관리 세부현황'!$K:$K,"128R",'2023년 신조차 고장관리 세부현황'!$P:$P,"&gt;="&amp;'트랜드 분석_15일'!AM$18,'2023년 신조차 고장관리 세부현황'!$P:$P,"&lt;"&amp;'트랜드 분석_15일'!AN$18,'2023년 신조차 고장관리 세부현황'!$BC:$BC,"완료",'2023년 신조차 고장관리 세부현황'!$CY:$CY,"방송장치")</f>
        <v>0</v>
      </c>
      <c r="AO326" s="85">
        <f>COUNTIFS('2023년 신조차 고장관리 세부현황'!$K:$K,"128R",'2023년 신조차 고장관리 세부현황'!$P:$P,"&gt;="&amp;'트랜드 분석_15일'!AN$18,'2023년 신조차 고장관리 세부현황'!$P:$P,"&lt;"&amp;'트랜드 분석_15일'!AO$18,'2023년 신조차 고장관리 세부현황'!$BC:$BC,"완료",'2023년 신조차 고장관리 세부현황'!$CY:$CY,"방송장치")</f>
        <v>0</v>
      </c>
      <c r="AP326" s="85">
        <f>COUNTIFS('2023년 신조차 고장관리 세부현황'!$K:$K,"128R",'2023년 신조차 고장관리 세부현황'!$P:$P,"&gt;="&amp;'트랜드 분석_15일'!AO$18,'2023년 신조차 고장관리 세부현황'!$P:$P,"&lt;"&amp;'트랜드 분석_15일'!AP$18,'2023년 신조차 고장관리 세부현황'!$BC:$BC,"완료",'2023년 신조차 고장관리 세부현황'!$CY:$CY,"방송장치")</f>
        <v>0</v>
      </c>
      <c r="AQ326" s="85">
        <f>COUNTIFS('2023년 신조차 고장관리 세부현황'!$K:$K,"128R",'2023년 신조차 고장관리 세부현황'!$P:$P,"&gt;="&amp;'트랜드 분석_15일'!AP$18,'2023년 신조차 고장관리 세부현황'!$P:$P,"&lt;"&amp;'트랜드 분석_15일'!AQ$18,'2023년 신조차 고장관리 세부현황'!$BC:$BC,"완료",'2023년 신조차 고장관리 세부현황'!$CY:$CY,"방송장치")</f>
        <v>0</v>
      </c>
      <c r="AR326" s="85">
        <f>COUNTIFS('2023년 신조차 고장관리 세부현황'!$K:$K,"128R",'2023년 신조차 고장관리 세부현황'!$P:$P,"&gt;="&amp;'트랜드 분석_15일'!AQ$18,'2023년 신조차 고장관리 세부현황'!$P:$P,"&lt;"&amp;'트랜드 분석_15일'!AR$18,'2023년 신조차 고장관리 세부현황'!$BC:$BC,"완료",'2023년 신조차 고장관리 세부현황'!$CY:$CY,"방송장치")</f>
        <v>0</v>
      </c>
      <c r="AS326" s="85">
        <f>COUNTIFS('2023년 신조차 고장관리 세부현황'!$K:$K,"128R",'2023년 신조차 고장관리 세부현황'!$P:$P,"&gt;="&amp;'트랜드 분석_15일'!AR$18,'2023년 신조차 고장관리 세부현황'!$P:$P,"&lt;"&amp;'트랜드 분석_15일'!AS$18,'2023년 신조차 고장관리 세부현황'!$BC:$BC,"완료",'2023년 신조차 고장관리 세부현황'!$CY:$CY,"방송장치")</f>
        <v>0</v>
      </c>
      <c r="AT326" s="85">
        <f>COUNTIFS('2023년 신조차 고장관리 세부현황'!$K:$K,"128R",'2023년 신조차 고장관리 세부현황'!$P:$P,"&gt;="&amp;'트랜드 분석_15일'!AS$18,'2023년 신조차 고장관리 세부현황'!$P:$P,"&lt;"&amp;'트랜드 분석_15일'!AT$18,'2023년 신조차 고장관리 세부현황'!$BC:$BC,"완료",'2023년 신조차 고장관리 세부현황'!$CY:$CY,"방송장치")</f>
        <v>0</v>
      </c>
      <c r="AU326" s="85">
        <f>COUNTIFS('2023년 신조차 고장관리 세부현황'!$K:$K,"128R",'2023년 신조차 고장관리 세부현황'!$P:$P,"&gt;="&amp;'트랜드 분석_15일'!AT$18,'2023년 신조차 고장관리 세부현황'!$P:$P,"&lt;"&amp;'트랜드 분석_15일'!AU$18,'2023년 신조차 고장관리 세부현황'!$BC:$BC,"완료",'2023년 신조차 고장관리 세부현황'!$CY:$CY,"방송장치")</f>
        <v>0</v>
      </c>
      <c r="AV326" s="85">
        <f>COUNTIFS('2023년 신조차 고장관리 세부현황'!$K:$K,"128R",'2023년 신조차 고장관리 세부현황'!$P:$P,"&gt;="&amp;'트랜드 분석_15일'!AU$18,'2023년 신조차 고장관리 세부현황'!$P:$P,"&lt;"&amp;'트랜드 분석_15일'!AV$18,'2023년 신조차 고장관리 세부현황'!$BC:$BC,"완료",'2023년 신조차 고장관리 세부현황'!$CY:$CY,"방송장치")</f>
        <v>0</v>
      </c>
      <c r="AW326" s="85">
        <f>COUNTIFS('2023년 신조차 고장관리 세부현황'!$K:$K,"128R",'2023년 신조차 고장관리 세부현황'!$P:$P,"&gt;="&amp;'트랜드 분석_15일'!AV$18,'2023년 신조차 고장관리 세부현황'!$P:$P,"&lt;"&amp;'트랜드 분석_15일'!AW$18,'2023년 신조차 고장관리 세부현황'!$BC:$BC,"완료",'2023년 신조차 고장관리 세부현황'!$CY:$CY,"방송장치")</f>
        <v>0</v>
      </c>
      <c r="AX326" s="85">
        <f>COUNTIFS('2023년 신조차 고장관리 세부현황'!$K:$K,"128R",'2023년 신조차 고장관리 세부현황'!$P:$P,"&gt;="&amp;'트랜드 분석_15일'!AW$18,'2023년 신조차 고장관리 세부현황'!$P:$P,"&lt;"&amp;'트랜드 분석_15일'!AX$18,'2023년 신조차 고장관리 세부현황'!$BC:$BC,"완료",'2023년 신조차 고장관리 세부현황'!$CY:$CY,"방송장치")</f>
        <v>0</v>
      </c>
      <c r="AY326" s="85">
        <f>COUNTIFS('2023년 신조차 고장관리 세부현황'!$K:$K,"128R",'2023년 신조차 고장관리 세부현황'!$P:$P,"&gt;="&amp;'트랜드 분석_15일'!AX$18,'2023년 신조차 고장관리 세부현황'!$P:$P,"&lt;"&amp;'트랜드 분석_15일'!AY$18,'2023년 신조차 고장관리 세부현황'!$BC:$BC,"완료",'2023년 신조차 고장관리 세부현황'!$CY:$CY,"방송장치")</f>
        <v>0</v>
      </c>
      <c r="AZ326" s="85">
        <f>COUNTIFS('2023년 신조차 고장관리 세부현황'!$K:$K,"128R",'2023년 신조차 고장관리 세부현황'!$P:$P,"&gt;="&amp;'트랜드 분석_15일'!AY$18,'2023년 신조차 고장관리 세부현황'!$P:$P,"&lt;"&amp;'트랜드 분석_15일'!AZ$18,'2023년 신조차 고장관리 세부현황'!$BC:$BC,"완료",'2023년 신조차 고장관리 세부현황'!$CY:$CY,"방송장치")</f>
        <v>0</v>
      </c>
      <c r="BA326" s="85">
        <f>COUNTIFS('2023년 신조차 고장관리 세부현황'!$K:$K,"128R",'2023년 신조차 고장관리 세부현황'!$P:$P,"&gt;="&amp;'트랜드 분석_15일'!AZ$18,'2023년 신조차 고장관리 세부현황'!$P:$P,"&lt;"&amp;'트랜드 분석_15일'!BA$18,'2023년 신조차 고장관리 세부현황'!$BC:$BC,"완료",'2023년 신조차 고장관리 세부현황'!$CY:$CY,"방송장치")</f>
        <v>0</v>
      </c>
      <c r="BB326" s="85">
        <f>COUNTIFS('2023년 신조차 고장관리 세부현황'!$K:$K,"128R",'2023년 신조차 고장관리 세부현황'!$P:$P,"&gt;="&amp;'트랜드 분석_15일'!BA$18,'2023년 신조차 고장관리 세부현황'!$P:$P,"&lt;"&amp;'트랜드 분석_15일'!BB$18,'2023년 신조차 고장관리 세부현황'!$BC:$BC,"완료",'2023년 신조차 고장관리 세부현황'!$CY:$CY,"방송장치")</f>
        <v>0</v>
      </c>
      <c r="BC326" s="85">
        <f>COUNTIFS('2023년 신조차 고장관리 세부현황'!$K:$K,"128R",'2023년 신조차 고장관리 세부현황'!$P:$P,"&gt;="&amp;'트랜드 분석_15일'!BB$18,'2023년 신조차 고장관리 세부현황'!$P:$P,"&lt;"&amp;'트랜드 분석_15일'!BC$18,'2023년 신조차 고장관리 세부현황'!$BC:$BC,"완료",'2023년 신조차 고장관리 세부현황'!$CY:$CY,"방송장치")</f>
        <v>0</v>
      </c>
      <c r="BD326" s="85">
        <f>COUNTIFS('2023년 신조차 고장관리 세부현황'!$K:$K,"128R",'2023년 신조차 고장관리 세부현황'!$P:$P,"&gt;="&amp;'트랜드 분석_15일'!BC$18,'2023년 신조차 고장관리 세부현황'!$P:$P,"&lt;"&amp;'트랜드 분석_15일'!BD$18,'2023년 신조차 고장관리 세부현황'!$BC:$BC,"완료",'2023년 신조차 고장관리 세부현황'!$CY:$CY,"방송장치")</f>
        <v>0</v>
      </c>
      <c r="BE326" s="85">
        <f>COUNTIFS('2023년 신조차 고장관리 세부현황'!$K:$K,"128R",'2023년 신조차 고장관리 세부현황'!$P:$P,"&gt;="&amp;'트랜드 분석_15일'!BD$18,'2023년 신조차 고장관리 세부현황'!$P:$P,"&lt;"&amp;'트랜드 분석_15일'!BE$18,'2023년 신조차 고장관리 세부현황'!$BC:$BC,"완료",'2023년 신조차 고장관리 세부현황'!$CY:$CY,"방송장치")</f>
        <v>0</v>
      </c>
      <c r="BF326" s="85">
        <f>COUNTIFS('2023년 신조차 고장관리 세부현황'!$K:$K,"128R",'2023년 신조차 고장관리 세부현황'!$P:$P,"&gt;="&amp;'트랜드 분석_15일'!BE$18,'2023년 신조차 고장관리 세부현황'!$P:$P,"&lt;"&amp;'트랜드 분석_15일'!BF$18,'2023년 신조차 고장관리 세부현황'!$BC:$BC,"완료",'2023년 신조차 고장관리 세부현황'!$CY:$CY,"방송장치")</f>
        <v>0</v>
      </c>
      <c r="BG326" s="85">
        <f>COUNTIFS('2023년 신조차 고장관리 세부현황'!$K:$K,"128R",'2023년 신조차 고장관리 세부현황'!$P:$P,"&gt;="&amp;'트랜드 분석_15일'!BF$18,'2023년 신조차 고장관리 세부현황'!$P:$P,"&lt;"&amp;'트랜드 분석_15일'!BG$18,'2023년 신조차 고장관리 세부현황'!$BC:$BC,"완료",'2023년 신조차 고장관리 세부현황'!$CY:$CY,"방송장치")</f>
        <v>0</v>
      </c>
      <c r="BH326" s="85">
        <f>COUNTIFS('2023년 신조차 고장관리 세부현황'!$K:$K,"128R",'2023년 신조차 고장관리 세부현황'!$P:$P,"&gt;="&amp;'트랜드 분석_15일'!BG$18,'2023년 신조차 고장관리 세부현황'!$P:$P,"&lt;"&amp;'트랜드 분석_15일'!BH$18,'2023년 신조차 고장관리 세부현황'!$BC:$BC,"완료",'2023년 신조차 고장관리 세부현황'!$CY:$CY,"방송장치")</f>
        <v>0</v>
      </c>
      <c r="BI326" s="85">
        <f>COUNTIFS('2023년 신조차 고장관리 세부현황'!$K:$K,"128R",'2023년 신조차 고장관리 세부현황'!$P:$P,"&gt;="&amp;'트랜드 분석_15일'!BH$18,'2023년 신조차 고장관리 세부현황'!$P:$P,"&lt;"&amp;'트랜드 분석_15일'!BI$18,'2023년 신조차 고장관리 세부현황'!$BC:$BC,"완료",'2023년 신조차 고장관리 세부현황'!$CY:$CY,"방송장치")</f>
        <v>0</v>
      </c>
      <c r="BJ326" s="85">
        <f>COUNTIFS('2023년 신조차 고장관리 세부현황'!$K:$K,"128R",'2023년 신조차 고장관리 세부현황'!$P:$P,"&gt;="&amp;'트랜드 분석_15일'!BI$18,'2023년 신조차 고장관리 세부현황'!$P:$P,"&lt;"&amp;'트랜드 분석_15일'!BJ$18,'2023년 신조차 고장관리 세부현황'!$BC:$BC,"완료",'2023년 신조차 고장관리 세부현황'!$CY:$CY,"방송장치")</f>
        <v>0</v>
      </c>
      <c r="BK326" s="85">
        <f>COUNTIFS('2023년 신조차 고장관리 세부현황'!$K:$K,"128R",'2023년 신조차 고장관리 세부현황'!$P:$P,"&gt;="&amp;'트랜드 분석_15일'!BJ$18,'2023년 신조차 고장관리 세부현황'!$P:$P,"&lt;"&amp;'트랜드 분석_15일'!BK$18,'2023년 신조차 고장관리 세부현황'!$BC:$BC,"완료",'2023년 신조차 고장관리 세부현황'!$CY:$CY,"방송장치")</f>
        <v>0</v>
      </c>
      <c r="BL326" s="85">
        <f>COUNTIFS('2023년 신조차 고장관리 세부현황'!$K:$K,"128R",'2023년 신조차 고장관리 세부현황'!$P:$P,"&gt;="&amp;'트랜드 분석_15일'!BK$18,'2023년 신조차 고장관리 세부현황'!$P:$P,"&lt;"&amp;'트랜드 분석_15일'!BL$18,'2023년 신조차 고장관리 세부현황'!$BC:$BC,"완료",'2023년 신조차 고장관리 세부현황'!$CY:$CY,"방송장치")</f>
        <v>0</v>
      </c>
      <c r="BM326" s="85">
        <f>COUNTIFS('2023년 신조차 고장관리 세부현황'!$K:$K,"128R",'2023년 신조차 고장관리 세부현황'!$P:$P,"&gt;="&amp;'트랜드 분석_15일'!BL$18,'2023년 신조차 고장관리 세부현황'!$P:$P,"&lt;"&amp;'트랜드 분석_15일'!BM$18,'2023년 신조차 고장관리 세부현황'!$BC:$BC,"완료",'2023년 신조차 고장관리 세부현황'!$CY:$CY,"방송장치")</f>
        <v>0</v>
      </c>
      <c r="BN326" s="85">
        <f>COUNTIFS('2023년 신조차 고장관리 세부현황'!$K:$K,"128R",'2023년 신조차 고장관리 세부현황'!$P:$P,"&gt;="&amp;'트랜드 분석_15일'!BM$18,'2023년 신조차 고장관리 세부현황'!$P:$P,"&lt;"&amp;'트랜드 분석_15일'!BN$18,'2023년 신조차 고장관리 세부현황'!$BC:$BC,"완료",'2023년 신조차 고장관리 세부현황'!$CY:$CY,"방송장치")</f>
        <v>0</v>
      </c>
      <c r="BO326" s="85">
        <f>COUNTIFS('2023년 신조차 고장관리 세부현황'!$K:$K,"128R",'2023년 신조차 고장관리 세부현황'!$P:$P,"&gt;="&amp;'트랜드 분석_15일'!BN$18,'2023년 신조차 고장관리 세부현황'!$P:$P,"&lt;"&amp;'트랜드 분석_15일'!BO$18,'2023년 신조차 고장관리 세부현황'!$BC:$BC,"완료",'2023년 신조차 고장관리 세부현황'!$CY:$CY,"방송장치")</f>
        <v>0</v>
      </c>
      <c r="BP326" s="85">
        <f>COUNTIFS('2023년 신조차 고장관리 세부현황'!$K:$K,"128R",'2023년 신조차 고장관리 세부현황'!$P:$P,"&gt;="&amp;'트랜드 분석_15일'!BO$18,'2023년 신조차 고장관리 세부현황'!$P:$P,"&lt;"&amp;'트랜드 분석_15일'!BP$18,'2023년 신조차 고장관리 세부현황'!$BC:$BC,"완료",'2023년 신조차 고장관리 세부현황'!$CY:$CY,"방송장치")</f>
        <v>0</v>
      </c>
      <c r="BQ326" s="85">
        <f>COUNTIFS('2023년 신조차 고장관리 세부현황'!$K:$K,"128R",'2023년 신조차 고장관리 세부현황'!$P:$P,"&gt;="&amp;'트랜드 분석_15일'!BP$18,'2023년 신조차 고장관리 세부현황'!$P:$P,"&lt;"&amp;'트랜드 분석_15일'!BQ$18,'2023년 신조차 고장관리 세부현황'!$BC:$BC,"완료",'2023년 신조차 고장관리 세부현황'!$CY:$CY,"방송장치")</f>
        <v>0</v>
      </c>
      <c r="BR326" s="85">
        <f>COUNTIFS('2023년 신조차 고장관리 세부현황'!$K:$K,"128R",'2023년 신조차 고장관리 세부현황'!$P:$P,"&gt;="&amp;'트랜드 분석_15일'!BQ$18,'2023년 신조차 고장관리 세부현황'!$P:$P,"&lt;"&amp;'트랜드 분석_15일'!BR$18,'2023년 신조차 고장관리 세부현황'!$BC:$BC,"완료",'2023년 신조차 고장관리 세부현황'!$CY:$CY,"방송장치")</f>
        <v>0</v>
      </c>
      <c r="BS326" s="85">
        <f>COUNTIFS('2023년 신조차 고장관리 세부현황'!$K:$K,"128R",'2023년 신조차 고장관리 세부현황'!$P:$P,"&gt;="&amp;'트랜드 분석_15일'!BR$18,'2023년 신조차 고장관리 세부현황'!$P:$P,"&lt;"&amp;'트랜드 분석_15일'!BS$18,'2023년 신조차 고장관리 세부현황'!$BC:$BC,"완료",'2023년 신조차 고장관리 세부현황'!$CY:$CY,"방송장치")</f>
        <v>0</v>
      </c>
      <c r="BT326" s="85">
        <f>COUNTIFS('2023년 신조차 고장관리 세부현황'!$K:$K,"128R",'2023년 신조차 고장관리 세부현황'!$P:$P,"&gt;="&amp;'트랜드 분석_15일'!BS$18,'2023년 신조차 고장관리 세부현황'!$P:$P,"&lt;"&amp;'트랜드 분석_15일'!BT$18,'2023년 신조차 고장관리 세부현황'!$BC:$BC,"완료",'2023년 신조차 고장관리 세부현황'!$CY:$CY,"방송장치")</f>
        <v>0</v>
      </c>
      <c r="BU326" s="85">
        <f>COUNTIFS('2023년 신조차 고장관리 세부현황'!$K:$K,"128R",'2023년 신조차 고장관리 세부현황'!$P:$P,"&gt;="&amp;'트랜드 분석_15일'!BT$18,'2023년 신조차 고장관리 세부현황'!$P:$P,"&lt;"&amp;'트랜드 분석_15일'!BU$18,'2023년 신조차 고장관리 세부현황'!$BC:$BC,"완료",'2023년 신조차 고장관리 세부현황'!$CY:$CY,"방송장치")</f>
        <v>0</v>
      </c>
      <c r="BV326" s="85">
        <f>COUNTIFS('2023년 신조차 고장관리 세부현황'!$K:$K,"128R",'2023년 신조차 고장관리 세부현황'!$P:$P,"&gt;="&amp;'트랜드 분석_15일'!BU$18,'2023년 신조차 고장관리 세부현황'!$P:$P,"&lt;"&amp;'트랜드 분석_15일'!BV$18,'2023년 신조차 고장관리 세부현황'!$BC:$BC,"완료",'2023년 신조차 고장관리 세부현황'!$CY:$CY,"방송장치")</f>
        <v>0</v>
      </c>
      <c r="BW326" s="85">
        <f>COUNTIFS('2023년 신조차 고장관리 세부현황'!$K:$K,"128R",'2023년 신조차 고장관리 세부현황'!$P:$P,"&gt;="&amp;'트랜드 분석_15일'!BV$18,'2023년 신조차 고장관리 세부현황'!$P:$P,"&lt;"&amp;'트랜드 분석_15일'!BW$18,'2023년 신조차 고장관리 세부현황'!$BC:$BC,"완료",'2023년 신조차 고장관리 세부현황'!$CY:$CY,"방송장치")</f>
        <v>0</v>
      </c>
      <c r="BX326" s="85">
        <f>COUNTIFS('2023년 신조차 고장관리 세부현황'!$K:$K,"128R",'2023년 신조차 고장관리 세부현황'!$P:$P,"&gt;="&amp;'트랜드 분석_15일'!BW$18,'2023년 신조차 고장관리 세부현황'!$P:$P,"&lt;"&amp;'트랜드 분석_15일'!BX$18,'2023년 신조차 고장관리 세부현황'!$BC:$BC,"완료",'2023년 신조차 고장관리 세부현황'!$CY:$CY,"방송장치")</f>
        <v>0</v>
      </c>
      <c r="BY326" s="85">
        <f>COUNTIFS('2023년 신조차 고장관리 세부현황'!$K:$K,"128R",'2023년 신조차 고장관리 세부현황'!$P:$P,"&gt;="&amp;'트랜드 분석_15일'!BX$18,'2023년 신조차 고장관리 세부현황'!$P:$P,"&lt;"&amp;'트랜드 분석_15일'!BY$18,'2023년 신조차 고장관리 세부현황'!$BC:$BC,"완료",'2023년 신조차 고장관리 세부현황'!$CY:$CY,"방송장치")</f>
        <v>0</v>
      </c>
      <c r="BZ326" s="85">
        <f>COUNTIFS('2023년 신조차 고장관리 세부현황'!$K:$K,"128R",'2023년 신조차 고장관리 세부현황'!$P:$P,"&gt;="&amp;'트랜드 분석_15일'!BY$18,'2023년 신조차 고장관리 세부현황'!$P:$P,"&lt;"&amp;'트랜드 분석_15일'!BZ$18,'2023년 신조차 고장관리 세부현황'!$BC:$BC,"완료",'2023년 신조차 고장관리 세부현황'!$CY:$CY,"방송장치")</f>
        <v>0</v>
      </c>
      <c r="CA326" s="85">
        <f>COUNTIFS('2023년 신조차 고장관리 세부현황'!$K:$K,"128R",'2023년 신조차 고장관리 세부현황'!$P:$P,"&gt;="&amp;'트랜드 분석_15일'!BZ$18,'2023년 신조차 고장관리 세부현황'!$P:$P,"&lt;"&amp;'트랜드 분석_15일'!CA$18,'2023년 신조차 고장관리 세부현황'!$BC:$BC,"완료",'2023년 신조차 고장관리 세부현황'!$CY:$CY,"방송장치")</f>
        <v>0</v>
      </c>
      <c r="CB326" s="85">
        <f>COUNTIFS('2023년 신조차 고장관리 세부현황'!$K:$K,"128R",'2023년 신조차 고장관리 세부현황'!$P:$P,"&gt;="&amp;'트랜드 분석_15일'!CA$18,'2023년 신조차 고장관리 세부현황'!$P:$P,"&lt;"&amp;'트랜드 분석_15일'!CB$18,'2023년 신조차 고장관리 세부현황'!$BC:$BC,"완료",'2023년 신조차 고장관리 세부현황'!$CY:$CY,"방송장치")</f>
        <v>0</v>
      </c>
      <c r="CC326" s="85">
        <f>COUNTIFS('2023년 신조차 고장관리 세부현황'!$K:$K,"128R",'2023년 신조차 고장관리 세부현황'!$P:$P,"&gt;="&amp;'트랜드 분석_15일'!CB$18,'2023년 신조차 고장관리 세부현황'!$P:$P,"&lt;"&amp;'트랜드 분석_15일'!CC$18,'2023년 신조차 고장관리 세부현황'!$BC:$BC,"완료",'2023년 신조차 고장관리 세부현황'!$CY:$CY,"방송장치")</f>
        <v>0</v>
      </c>
      <c r="CD326" s="85">
        <f>COUNTIFS('2023년 신조차 고장관리 세부현황'!$K:$K,"128R",'2023년 신조차 고장관리 세부현황'!$P:$P,"&gt;="&amp;'트랜드 분석_15일'!CC$18,'2023년 신조차 고장관리 세부현황'!$P:$P,"&lt;"&amp;'트랜드 분석_15일'!CD$18,'2023년 신조차 고장관리 세부현황'!$BC:$BC,"완료",'2023년 신조차 고장관리 세부현황'!$CY:$CY,"방송장치")</f>
        <v>0</v>
      </c>
      <c r="CE326" s="85">
        <f>COUNTIFS('2023년 신조차 고장관리 세부현황'!$K:$K,"128R",'2023년 신조차 고장관리 세부현황'!$P:$P,"&gt;="&amp;'트랜드 분석_15일'!CD$18,'2023년 신조차 고장관리 세부현황'!$P:$P,"&lt;"&amp;'트랜드 분석_15일'!CE$18,'2023년 신조차 고장관리 세부현황'!$BC:$BC,"완료",'2023년 신조차 고장관리 세부현황'!$CY:$CY,"방송장치")</f>
        <v>0</v>
      </c>
      <c r="CF326" s="85">
        <f>COUNTIFS('2023년 신조차 고장관리 세부현황'!$K:$K,"128R",'2023년 신조차 고장관리 세부현황'!$P:$P,"&gt;="&amp;'트랜드 분석_15일'!CE$18,'2023년 신조차 고장관리 세부현황'!$P:$P,"&lt;"&amp;'트랜드 분석_15일'!CF$18,'2023년 신조차 고장관리 세부현황'!$BC:$BC,"완료",'2023년 신조차 고장관리 세부현황'!$CY:$CY,"방송장치")</f>
        <v>0</v>
      </c>
      <c r="CG326" s="85">
        <f>COUNTIFS('2023년 신조차 고장관리 세부현황'!$K:$K,"128R",'2023년 신조차 고장관리 세부현황'!$P:$P,"&gt;="&amp;'트랜드 분석_15일'!CF$18,'2023년 신조차 고장관리 세부현황'!$P:$P,"&lt;"&amp;'트랜드 분석_15일'!CG$18,'2023년 신조차 고장관리 세부현황'!$BC:$BC,"완료",'2023년 신조차 고장관리 세부현황'!$CY:$CY,"방송장치")</f>
        <v>0</v>
      </c>
      <c r="CH326" s="85">
        <f ca="1">COUNTIFS('2023년 신조차 고장관리 세부현황'!$K:$K,"128R",'2023년 신조차 고장관리 세부현황'!$P:$P,"&gt;="&amp;'트랜드 분석_15일'!CG$18,'2023년 신조차 고장관리 세부현황'!$P:$P,"&lt;"&amp;'트랜드 분석_15일'!CH$18,'2023년 신조차 고장관리 세부현황'!$BC:$BC,"완료",'2023년 신조차 고장관리 세부현황'!$CY:$CY,"방송장치")</f>
        <v>0</v>
      </c>
      <c r="CI326" s="85">
        <f>COUNTIFS('2023년 신조차 고장관리 세부현황'!$K:$K,"128R",'2023년 신조차 고장관리 세부현황'!$P:$P,"&gt;="&amp;'트랜드 분석_15일'!CH$18,'2023년 신조차 고장관리 세부현황'!$P:$P,"&lt;"&amp;'트랜드 분석_15일'!CI$18,'2023년 신조차 고장관리 세부현황'!$BC:$BC,"완료",'2023년 신조차 고장관리 세부현황'!$CY:$CY,"방송장치")</f>
        <v>0</v>
      </c>
      <c r="CJ326" s="85">
        <f ca="1">COUNTIFS('2023년 신조차 고장관리 세부현황'!$K:$K,"128R",'2023년 신조차 고장관리 세부현황'!$P:$P,"&gt;="&amp;'트랜드 분석_15일'!CI$18,'2023년 신조차 고장관리 세부현황'!$P:$P,"&lt;"&amp;'트랜드 분석_15일'!CJ$18,'2023년 신조차 고장관리 세부현황'!$BC:$BC,"완료",'2023년 신조차 고장관리 세부현황'!$CY:$CY,"방송장치")</f>
        <v>0</v>
      </c>
      <c r="CK326" s="85">
        <f>COUNTIFS('2023년 신조차 고장관리 세부현황'!$K:$K,"128R",'2023년 신조차 고장관리 세부현황'!$P:$P,"&gt;="&amp;'트랜드 분석_15일'!CJ$18,'2023년 신조차 고장관리 세부현황'!$P:$P,"&lt;"&amp;'트랜드 분석_15일'!CK$18,'2023년 신조차 고장관리 세부현황'!$BC:$BC,"완료",'2023년 신조차 고장관리 세부현황'!$CY:$CY,"방송장치")</f>
        <v>0</v>
      </c>
      <c r="CL326" s="85">
        <f>COUNTIFS('2023년 신조차 고장관리 세부현황'!$K:$K,"128R",'2023년 신조차 고장관리 세부현황'!$P:$P,"&gt;="&amp;'트랜드 분석_15일'!CK$18,'2023년 신조차 고장관리 세부현황'!$P:$P,"&lt;"&amp;'트랜드 분석_15일'!CL$18,'2023년 신조차 고장관리 세부현황'!$BC:$BC,"완료",'2023년 신조차 고장관리 세부현황'!$CY:$CY,"방송장치")</f>
        <v>0</v>
      </c>
      <c r="CM326" s="85">
        <f>COUNTIFS('2023년 신조차 고장관리 세부현황'!$K:$K,"128R",'2023년 신조차 고장관리 세부현황'!$P:$P,"&gt;="&amp;'트랜드 분석_15일'!CL$18,'2023년 신조차 고장관리 세부현황'!$P:$P,"&lt;"&amp;'트랜드 분석_15일'!CM$18,'2023년 신조차 고장관리 세부현황'!$BC:$BC,"완료",'2023년 신조차 고장관리 세부현황'!$CY:$CY,"방송장치")</f>
        <v>0</v>
      </c>
      <c r="CN326" s="85">
        <f>COUNTIFS('2023년 신조차 고장관리 세부현황'!$K:$K,"128R",'2023년 신조차 고장관리 세부현황'!$P:$P,"&gt;="&amp;'트랜드 분석_15일'!CM$18,'2023년 신조차 고장관리 세부현황'!$P:$P,"&lt;"&amp;'트랜드 분석_15일'!CN$18,'2023년 신조차 고장관리 세부현황'!$BC:$BC,"완료",'2023년 신조차 고장관리 세부현황'!$CY:$CY,"방송장치")</f>
        <v>0</v>
      </c>
      <c r="CO326" s="85">
        <f>COUNTIFS('2023년 신조차 고장관리 세부현황'!$K:$K,"128R",'2023년 신조차 고장관리 세부현황'!$P:$P,"&gt;="&amp;'트랜드 분석_15일'!CN$18,'2023년 신조차 고장관리 세부현황'!$P:$P,"&lt;"&amp;'트랜드 분석_15일'!CO$18,'2023년 신조차 고장관리 세부현황'!$BC:$BC,"완료",'2023년 신조차 고장관리 세부현황'!$CY:$CY,"방송장치")</f>
        <v>0</v>
      </c>
      <c r="CP326" s="85">
        <f>COUNTIFS('2023년 신조차 고장관리 세부현황'!$K:$K,"128R",'2023년 신조차 고장관리 세부현황'!$P:$P,"&gt;="&amp;'트랜드 분석_15일'!CO$18,'2023년 신조차 고장관리 세부현황'!$P:$P,"&lt;"&amp;'트랜드 분석_15일'!CP$18,'2023년 신조차 고장관리 세부현황'!$BC:$BC,"완료",'2023년 신조차 고장관리 세부현황'!$CY:$CY,"방송장치")</f>
        <v>0</v>
      </c>
      <c r="CQ326" s="85">
        <f>COUNTIFS('2023년 신조차 고장관리 세부현황'!$K:$K,"128R",'2023년 신조차 고장관리 세부현황'!$P:$P,"&gt;="&amp;'트랜드 분석_15일'!CP$18,'2023년 신조차 고장관리 세부현황'!$P:$P,"&lt;"&amp;'트랜드 분석_15일'!CQ$18,'2023년 신조차 고장관리 세부현황'!$BC:$BC,"완료",'2023년 신조차 고장관리 세부현황'!$CY:$CY,"방송장치")</f>
        <v>0</v>
      </c>
      <c r="CR326" s="85">
        <f>COUNTIFS('2023년 신조차 고장관리 세부현황'!$K:$K,"128R",'2023년 신조차 고장관리 세부현황'!$P:$P,"&gt;="&amp;'트랜드 분석_15일'!CQ$18,'2023년 신조차 고장관리 세부현황'!$P:$P,"&lt;"&amp;'트랜드 분석_15일'!CR$18,'2023년 신조차 고장관리 세부현황'!$BC:$BC,"완료",'2023년 신조차 고장관리 세부현황'!$CY:$CY,"방송장치")</f>
        <v>0</v>
      </c>
      <c r="CS326" s="85">
        <f>COUNTIFS('2023년 신조차 고장관리 세부현황'!$K:$K,"128R",'2023년 신조차 고장관리 세부현황'!$P:$P,"&gt;="&amp;'트랜드 분석_15일'!CR$18,'2023년 신조차 고장관리 세부현황'!$P:$P,"&lt;"&amp;'트랜드 분석_15일'!CS$18,'2023년 신조차 고장관리 세부현황'!$BC:$BC,"완료",'2023년 신조차 고장관리 세부현황'!$CY:$CY,"방송장치")</f>
        <v>0</v>
      </c>
      <c r="CT326" s="85">
        <f>COUNTIFS('2023년 신조차 고장관리 세부현황'!$K:$K,"128R",'2023년 신조차 고장관리 세부현황'!$P:$P,"&gt;="&amp;'트랜드 분석_15일'!CS$18,'2023년 신조차 고장관리 세부현황'!$P:$P,"&lt;"&amp;'트랜드 분석_15일'!CT$18,'2023년 신조차 고장관리 세부현황'!$BC:$BC,"완료",'2023년 신조차 고장관리 세부현황'!$CY:$CY,"방송장치")</f>
        <v>0</v>
      </c>
      <c r="CU326" s="85">
        <f>COUNTIFS('2023년 신조차 고장관리 세부현황'!$K:$K,"128R",'2023년 신조차 고장관리 세부현황'!$P:$P,"&gt;="&amp;'트랜드 분석_15일'!CT$18,'2023년 신조차 고장관리 세부현황'!$P:$P,"&lt;"&amp;'트랜드 분석_15일'!CU$18,'2023년 신조차 고장관리 세부현황'!$BC:$BC,"완료",'2023년 신조차 고장관리 세부현황'!$CY:$CY,"방송장치")</f>
        <v>0</v>
      </c>
      <c r="CV326" s="85">
        <f>COUNTIFS('2023년 신조차 고장관리 세부현황'!$K:$K,"128R",'2023년 신조차 고장관리 세부현황'!$P:$P,"&gt;="&amp;'트랜드 분석_15일'!CU$18,'2023년 신조차 고장관리 세부현황'!$P:$P,"&lt;"&amp;'트랜드 분석_15일'!CV$18,'2023년 신조차 고장관리 세부현황'!$BC:$BC,"완료",'2023년 신조차 고장관리 세부현황'!$CY:$CY,"방송장치")</f>
        <v>0</v>
      </c>
      <c r="CW326" s="85">
        <f>COUNTIFS('2023년 신조차 고장관리 세부현황'!$K:$K,"128R",'2023년 신조차 고장관리 세부현황'!$P:$P,"&gt;="&amp;'트랜드 분석_15일'!CV$18,'2023년 신조차 고장관리 세부현황'!$P:$P,"&lt;"&amp;'트랜드 분석_15일'!CW$18,'2023년 신조차 고장관리 세부현황'!$BC:$BC,"완료",'2023년 신조차 고장관리 세부현황'!$CY:$CY,"방송장치")</f>
        <v>0</v>
      </c>
      <c r="CX326">
        <f ca="1">SUM(G326:CW326)</f>
        <v>0</v>
      </c>
    </row>
    <row r="327" spans="6:102" x14ac:dyDescent="0.4">
      <c r="F327" s="85" t="s">
        <v>164</v>
      </c>
      <c r="G327" s="85">
        <f>COUNTIFS('2023년 신조차 고장관리 세부현황'!$K:$K,"128R",'2023년 신조차 고장관리 세부현황'!$P:$P,"&gt;="&amp;$G$17,'2023년 신조차 고장관리 세부현황'!$P:$P,"&lt;"&amp;'트랜드 분석_15일'!G$18,'2023년 신조차 고장관리 세부현황'!$S:$S,'트랜드 분석_15일'!$F327,'2023년 신조차 고장관리 세부현황'!$BC:$BC,"완료",'2023년 신조차 고장관리 세부현황'!$CY:$CY,"방송장치")</f>
        <v>0</v>
      </c>
      <c r="H327"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분석_15일'!$F327,'2023년 신조차 고장관리 세부현황'!$BC:$BC,"완료",'2023년 신조차 고장관리 세부현황'!$CY:$CY,"방송장치")</f>
        <v>0</v>
      </c>
      <c r="I327"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분석_15일'!$F327,'2023년 신조차 고장관리 세부현황'!$BC:$BC,"완료",'2023년 신조차 고장관리 세부현황'!$CY:$CY,"방송장치")</f>
        <v>0</v>
      </c>
      <c r="J327"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분석_15일'!$F327,'2023년 신조차 고장관리 세부현황'!$BC:$BC,"완료",'2023년 신조차 고장관리 세부현황'!$CY:$CY,"방송장치")</f>
        <v>0</v>
      </c>
      <c r="K327"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분석_15일'!$F327,'2023년 신조차 고장관리 세부현황'!$BC:$BC,"완료",'2023년 신조차 고장관리 세부현황'!$CY:$CY,"방송장치")</f>
        <v>0</v>
      </c>
      <c r="L327"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분석_15일'!$F327,'2023년 신조차 고장관리 세부현황'!$BC:$BC,"완료",'2023년 신조차 고장관리 세부현황'!$CY:$CY,"방송장치")</f>
        <v>0</v>
      </c>
      <c r="M327"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분석_15일'!$F327,'2023년 신조차 고장관리 세부현황'!$BC:$BC,"완료",'2023년 신조차 고장관리 세부현황'!$CY:$CY,"방송장치")</f>
        <v>0</v>
      </c>
      <c r="N327"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분석_15일'!$F327,'2023년 신조차 고장관리 세부현황'!$BC:$BC,"완료",'2023년 신조차 고장관리 세부현황'!$CY:$CY,"방송장치")</f>
        <v>0</v>
      </c>
      <c r="O327"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분석_15일'!$F327,'2023년 신조차 고장관리 세부현황'!$BC:$BC,"완료",'2023년 신조차 고장관리 세부현황'!$CY:$CY,"방송장치")</f>
        <v>0</v>
      </c>
      <c r="P327"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분석_15일'!$F327,'2023년 신조차 고장관리 세부현황'!$BC:$BC,"완료",'2023년 신조차 고장관리 세부현황'!$CY:$CY,"방송장치")</f>
        <v>0</v>
      </c>
      <c r="Q327"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분석_15일'!$F327,'2023년 신조차 고장관리 세부현황'!$BC:$BC,"완료",'2023년 신조차 고장관리 세부현황'!$CY:$CY,"방송장치")</f>
        <v>0</v>
      </c>
      <c r="R327"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분석_15일'!$F327,'2023년 신조차 고장관리 세부현황'!$BC:$BC,"완료",'2023년 신조차 고장관리 세부현황'!$CY:$CY,"방송장치")</f>
        <v>0</v>
      </c>
      <c r="S327"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분석_15일'!$F327,'2023년 신조차 고장관리 세부현황'!$BC:$BC,"완료",'2023년 신조차 고장관리 세부현황'!$CY:$CY,"방송장치")</f>
        <v>0</v>
      </c>
      <c r="T327"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분석_15일'!$F327,'2023년 신조차 고장관리 세부현황'!$BC:$BC,"완료",'2023년 신조차 고장관리 세부현황'!$CY:$CY,"방송장치")</f>
        <v>0</v>
      </c>
      <c r="U327"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분석_15일'!$F327,'2023년 신조차 고장관리 세부현황'!$BC:$BC,"완료",'2023년 신조차 고장관리 세부현황'!$CY:$CY,"방송장치")</f>
        <v>0</v>
      </c>
      <c r="V327"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분석_15일'!$F327,'2023년 신조차 고장관리 세부현황'!$BC:$BC,"완료",'2023년 신조차 고장관리 세부현황'!$CY:$CY,"방송장치")</f>
        <v>0</v>
      </c>
      <c r="W327"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분석_15일'!$F327,'2023년 신조차 고장관리 세부현황'!$BC:$BC,"완료",'2023년 신조차 고장관리 세부현황'!$CY:$CY,"방송장치")</f>
        <v>0</v>
      </c>
      <c r="X327"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분석_15일'!$F327,'2023년 신조차 고장관리 세부현황'!$BC:$BC,"완료",'2023년 신조차 고장관리 세부현황'!$CY:$CY,"방송장치")</f>
        <v>0</v>
      </c>
      <c r="Y327"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분석_15일'!$F327,'2023년 신조차 고장관리 세부현황'!$BC:$BC,"완료",'2023년 신조차 고장관리 세부현황'!$CY:$CY,"방송장치")</f>
        <v>0</v>
      </c>
      <c r="Z327"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분석_15일'!$F327,'2023년 신조차 고장관리 세부현황'!$BC:$BC,"완료",'2023년 신조차 고장관리 세부현황'!$CY:$CY,"방송장치")</f>
        <v>0</v>
      </c>
      <c r="AA327"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분석_15일'!$F327,'2023년 신조차 고장관리 세부현황'!$BC:$BC,"완료",'2023년 신조차 고장관리 세부현황'!$CY:$CY,"방송장치")</f>
        <v>0</v>
      </c>
      <c r="AB327"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분석_15일'!$F327,'2023년 신조차 고장관리 세부현황'!$BC:$BC,"완료",'2023년 신조차 고장관리 세부현황'!$CY:$CY,"방송장치")</f>
        <v>0</v>
      </c>
      <c r="AC327"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분석_15일'!$F327,'2023년 신조차 고장관리 세부현황'!$BC:$BC,"완료",'2023년 신조차 고장관리 세부현황'!$CY:$CY,"방송장치")</f>
        <v>0</v>
      </c>
      <c r="AD327"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분석_15일'!$F327,'2023년 신조차 고장관리 세부현황'!$BC:$BC,"완료",'2023년 신조차 고장관리 세부현황'!$CY:$CY,"방송장치")</f>
        <v>0</v>
      </c>
      <c r="AE327"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분석_15일'!$F327,'2023년 신조차 고장관리 세부현황'!$BC:$BC,"완료",'2023년 신조차 고장관리 세부현황'!$CY:$CY,"방송장치")</f>
        <v>0</v>
      </c>
      <c r="AF327"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분석_15일'!$F327,'2023년 신조차 고장관리 세부현황'!$BC:$BC,"완료",'2023년 신조차 고장관리 세부현황'!$CY:$CY,"방송장치")</f>
        <v>0</v>
      </c>
      <c r="AG327"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분석_15일'!$F327,'2023년 신조차 고장관리 세부현황'!$BC:$BC,"완료",'2023년 신조차 고장관리 세부현황'!$CY:$CY,"방송장치")</f>
        <v>0</v>
      </c>
      <c r="AH327"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분석_15일'!$F327,'2023년 신조차 고장관리 세부현황'!$BC:$BC,"완료",'2023년 신조차 고장관리 세부현황'!$CY:$CY,"방송장치")</f>
        <v>0</v>
      </c>
      <c r="AI327"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분석_15일'!$F327,'2023년 신조차 고장관리 세부현황'!$BC:$BC,"완료",'2023년 신조차 고장관리 세부현황'!$CY:$CY,"방송장치")</f>
        <v>0</v>
      </c>
      <c r="AJ327"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분석_15일'!$F327,'2023년 신조차 고장관리 세부현황'!$BC:$BC,"완료",'2023년 신조차 고장관리 세부현황'!$CY:$CY,"방송장치")</f>
        <v>0</v>
      </c>
      <c r="AK327"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분석_15일'!$F327,'2023년 신조차 고장관리 세부현황'!$BC:$BC,"완료",'2023년 신조차 고장관리 세부현황'!$CY:$CY,"방송장치")</f>
        <v>0</v>
      </c>
      <c r="AL327"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분석_15일'!$F327,'2023년 신조차 고장관리 세부현황'!$BC:$BC,"완료",'2023년 신조차 고장관리 세부현황'!$CY:$CY,"방송장치")</f>
        <v>0</v>
      </c>
      <c r="AM327"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분석_15일'!$F327,'2023년 신조차 고장관리 세부현황'!$BC:$BC,"완료",'2023년 신조차 고장관리 세부현황'!$CY:$CY,"방송장치")</f>
        <v>0</v>
      </c>
      <c r="AN327"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분석_15일'!$F327,'2023년 신조차 고장관리 세부현황'!$BC:$BC,"완료",'2023년 신조차 고장관리 세부현황'!$CY:$CY,"방송장치")</f>
        <v>0</v>
      </c>
      <c r="AO327"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분석_15일'!$F327,'2023년 신조차 고장관리 세부현황'!$BC:$BC,"완료",'2023년 신조차 고장관리 세부현황'!$CY:$CY,"방송장치")</f>
        <v>0</v>
      </c>
      <c r="AP327"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분석_15일'!$F327,'2023년 신조차 고장관리 세부현황'!$BC:$BC,"완료",'2023년 신조차 고장관리 세부현황'!$CY:$CY,"방송장치")</f>
        <v>0</v>
      </c>
      <c r="AQ327"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분석_15일'!$F327,'2023년 신조차 고장관리 세부현황'!$BC:$BC,"완료",'2023년 신조차 고장관리 세부현황'!$CY:$CY,"방송장치")</f>
        <v>0</v>
      </c>
      <c r="AR327"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분석_15일'!$F327,'2023년 신조차 고장관리 세부현황'!$BC:$BC,"완료",'2023년 신조차 고장관리 세부현황'!$CY:$CY,"방송장치")</f>
        <v>0</v>
      </c>
      <c r="AS327"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분석_15일'!$F327,'2023년 신조차 고장관리 세부현황'!$BC:$BC,"완료",'2023년 신조차 고장관리 세부현황'!$CY:$CY,"방송장치")</f>
        <v>0</v>
      </c>
      <c r="AT327"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분석_15일'!$F327,'2023년 신조차 고장관리 세부현황'!$BC:$BC,"완료",'2023년 신조차 고장관리 세부현황'!$CY:$CY,"방송장치")</f>
        <v>0</v>
      </c>
      <c r="AU327"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분석_15일'!$F327,'2023년 신조차 고장관리 세부현황'!$BC:$BC,"완료",'2023년 신조차 고장관리 세부현황'!$CY:$CY,"방송장치")</f>
        <v>0</v>
      </c>
      <c r="AV327"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분석_15일'!$F327,'2023년 신조차 고장관리 세부현황'!$BC:$BC,"완료",'2023년 신조차 고장관리 세부현황'!$CY:$CY,"방송장치")</f>
        <v>0</v>
      </c>
      <c r="AW327"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분석_15일'!$F327,'2023년 신조차 고장관리 세부현황'!$BC:$BC,"완료",'2023년 신조차 고장관리 세부현황'!$CY:$CY,"방송장치")</f>
        <v>0</v>
      </c>
      <c r="AX327"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분석_15일'!$F327,'2023년 신조차 고장관리 세부현황'!$BC:$BC,"완료",'2023년 신조차 고장관리 세부현황'!$CY:$CY,"방송장치")</f>
        <v>0</v>
      </c>
      <c r="AY327"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분석_15일'!$F327,'2023년 신조차 고장관리 세부현황'!$BC:$BC,"완료",'2023년 신조차 고장관리 세부현황'!$CY:$CY,"방송장치")</f>
        <v>0</v>
      </c>
      <c r="AZ327"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분석_15일'!$F327,'2023년 신조차 고장관리 세부현황'!$BC:$BC,"완료",'2023년 신조차 고장관리 세부현황'!$CY:$CY,"방송장치")</f>
        <v>0</v>
      </c>
      <c r="BA327"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분석_15일'!$F327,'2023년 신조차 고장관리 세부현황'!$BC:$BC,"완료",'2023년 신조차 고장관리 세부현황'!$CY:$CY,"방송장치")</f>
        <v>0</v>
      </c>
      <c r="BB327"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분석_15일'!$F327,'2023년 신조차 고장관리 세부현황'!$BC:$BC,"완료",'2023년 신조차 고장관리 세부현황'!$CY:$CY,"방송장치")</f>
        <v>0</v>
      </c>
      <c r="BC327"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분석_15일'!$F327,'2023년 신조차 고장관리 세부현황'!$BC:$BC,"완료",'2023년 신조차 고장관리 세부현황'!$CY:$CY,"방송장치")</f>
        <v>0</v>
      </c>
      <c r="BD327"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분석_15일'!$F327,'2023년 신조차 고장관리 세부현황'!$BC:$BC,"완료",'2023년 신조차 고장관리 세부현황'!$CY:$CY,"방송장치")</f>
        <v>0</v>
      </c>
      <c r="BE327"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분석_15일'!$F327,'2023년 신조차 고장관리 세부현황'!$BC:$BC,"완료",'2023년 신조차 고장관리 세부현황'!$CY:$CY,"방송장치")</f>
        <v>0</v>
      </c>
      <c r="BF327"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분석_15일'!$F327,'2023년 신조차 고장관리 세부현황'!$BC:$BC,"완료",'2023년 신조차 고장관리 세부현황'!$CY:$CY,"방송장치")</f>
        <v>0</v>
      </c>
      <c r="BG327"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분석_15일'!$F327,'2023년 신조차 고장관리 세부현황'!$BC:$BC,"완료",'2023년 신조차 고장관리 세부현황'!$CY:$CY,"방송장치")</f>
        <v>0</v>
      </c>
      <c r="BH327"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분석_15일'!$F327,'2023년 신조차 고장관리 세부현황'!$BC:$BC,"완료",'2023년 신조차 고장관리 세부현황'!$CY:$CY,"방송장치")</f>
        <v>0</v>
      </c>
      <c r="BI327"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분석_15일'!$F327,'2023년 신조차 고장관리 세부현황'!$BC:$BC,"완료",'2023년 신조차 고장관리 세부현황'!$CY:$CY,"방송장치")</f>
        <v>0</v>
      </c>
      <c r="BJ327"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분석_15일'!$F327,'2023년 신조차 고장관리 세부현황'!$BC:$BC,"완료",'2023년 신조차 고장관리 세부현황'!$CY:$CY,"방송장치")</f>
        <v>0</v>
      </c>
      <c r="BK327"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분석_15일'!$F327,'2023년 신조차 고장관리 세부현황'!$BC:$BC,"완료",'2023년 신조차 고장관리 세부현황'!$CY:$CY,"방송장치")</f>
        <v>0</v>
      </c>
      <c r="BL327"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분석_15일'!$F327,'2023년 신조차 고장관리 세부현황'!$BC:$BC,"완료",'2023년 신조차 고장관리 세부현황'!$CY:$CY,"방송장치")</f>
        <v>0</v>
      </c>
      <c r="BM327"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분석_15일'!$F327,'2023년 신조차 고장관리 세부현황'!$BC:$BC,"완료",'2023년 신조차 고장관리 세부현황'!$CY:$CY,"방송장치")</f>
        <v>0</v>
      </c>
      <c r="BN327"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분석_15일'!$F327,'2023년 신조차 고장관리 세부현황'!$BC:$BC,"완료",'2023년 신조차 고장관리 세부현황'!$CY:$CY,"방송장치")</f>
        <v>0</v>
      </c>
      <c r="BO327"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분석_15일'!$F327,'2023년 신조차 고장관리 세부현황'!$BC:$BC,"완료",'2023년 신조차 고장관리 세부현황'!$CY:$CY,"방송장치")</f>
        <v>0</v>
      </c>
      <c r="BP327"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분석_15일'!$F327,'2023년 신조차 고장관리 세부현황'!$BC:$BC,"완료",'2023년 신조차 고장관리 세부현황'!$CY:$CY,"방송장치")</f>
        <v>0</v>
      </c>
      <c r="BQ327"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분석_15일'!$F327,'2023년 신조차 고장관리 세부현황'!$BC:$BC,"완료",'2023년 신조차 고장관리 세부현황'!$CY:$CY,"방송장치")</f>
        <v>0</v>
      </c>
      <c r="BR327"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분석_15일'!$F327,'2023년 신조차 고장관리 세부현황'!$BC:$BC,"완료",'2023년 신조차 고장관리 세부현황'!$CY:$CY,"방송장치")</f>
        <v>0</v>
      </c>
      <c r="BS327"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분석_15일'!$F327,'2023년 신조차 고장관리 세부현황'!$BC:$BC,"완료",'2023년 신조차 고장관리 세부현황'!$CY:$CY,"방송장치")</f>
        <v>0</v>
      </c>
      <c r="BT327"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분석_15일'!$F327,'2023년 신조차 고장관리 세부현황'!$BC:$BC,"완료",'2023년 신조차 고장관리 세부현황'!$CY:$CY,"방송장치")</f>
        <v>0</v>
      </c>
      <c r="BU327"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분석_15일'!$F327,'2023년 신조차 고장관리 세부현황'!$BC:$BC,"완료",'2023년 신조차 고장관리 세부현황'!$CY:$CY,"방송장치")</f>
        <v>0</v>
      </c>
      <c r="BV327"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분석_15일'!$F327,'2023년 신조차 고장관리 세부현황'!$BC:$BC,"완료",'2023년 신조차 고장관리 세부현황'!$CY:$CY,"방송장치")</f>
        <v>0</v>
      </c>
      <c r="BW327"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분석_15일'!$F327,'2023년 신조차 고장관리 세부현황'!$BC:$BC,"완료",'2023년 신조차 고장관리 세부현황'!$CY:$CY,"방송장치")</f>
        <v>0</v>
      </c>
      <c r="BX327"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분석_15일'!$F327,'2023년 신조차 고장관리 세부현황'!$BC:$BC,"완료",'2023년 신조차 고장관리 세부현황'!$CY:$CY,"방송장치")</f>
        <v>0</v>
      </c>
      <c r="BY327"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분석_15일'!$F327,'2023년 신조차 고장관리 세부현황'!$BC:$BC,"완료",'2023년 신조차 고장관리 세부현황'!$CY:$CY,"방송장치")</f>
        <v>0</v>
      </c>
      <c r="BZ327"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분석_15일'!$F327,'2023년 신조차 고장관리 세부현황'!$BC:$BC,"완료",'2023년 신조차 고장관리 세부현황'!$CY:$CY,"방송장치")</f>
        <v>0</v>
      </c>
      <c r="CA327"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분석_15일'!$F327,'2023년 신조차 고장관리 세부현황'!$BC:$BC,"완료",'2023년 신조차 고장관리 세부현황'!$CY:$CY,"방송장치")</f>
        <v>0</v>
      </c>
      <c r="CB327"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분석_15일'!$F327,'2023년 신조차 고장관리 세부현황'!$BC:$BC,"완료",'2023년 신조차 고장관리 세부현황'!$CY:$CY,"방송장치")</f>
        <v>0</v>
      </c>
      <c r="CC327"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분석_15일'!$F327,'2023년 신조차 고장관리 세부현황'!$BC:$BC,"완료",'2023년 신조차 고장관리 세부현황'!$CY:$CY,"방송장치")</f>
        <v>0</v>
      </c>
      <c r="CD327"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분석_15일'!$F327,'2023년 신조차 고장관리 세부현황'!$BC:$BC,"완료",'2023년 신조차 고장관리 세부현황'!$CY:$CY,"방송장치")</f>
        <v>0</v>
      </c>
      <c r="CE327"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분석_15일'!$F327,'2023년 신조차 고장관리 세부현황'!$BC:$BC,"완료",'2023년 신조차 고장관리 세부현황'!$CY:$CY,"방송장치")</f>
        <v>0</v>
      </c>
      <c r="CF327"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분석_15일'!$F327,'2023년 신조차 고장관리 세부현황'!$BC:$BC,"완료",'2023년 신조차 고장관리 세부현황'!$CY:$CY,"방송장치")</f>
        <v>0</v>
      </c>
      <c r="CG327"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분석_15일'!$F327,'2023년 신조차 고장관리 세부현황'!$BC:$BC,"완료",'2023년 신조차 고장관리 세부현황'!$CY:$CY,"방송장치")</f>
        <v>0</v>
      </c>
      <c r="CH327"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분석_15일'!$F327,'2023년 신조차 고장관리 세부현황'!$BC:$BC,"완료",'2023년 신조차 고장관리 세부현황'!$CY:$CY,"방송장치")</f>
        <v>0</v>
      </c>
      <c r="CI327"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분석_15일'!$F327,'2023년 신조차 고장관리 세부현황'!$BC:$BC,"완료",'2023년 신조차 고장관리 세부현황'!$CY:$CY,"방송장치")</f>
        <v>0</v>
      </c>
      <c r="CJ327"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분석_15일'!$F327,'2023년 신조차 고장관리 세부현황'!$BC:$BC,"완료",'2023년 신조차 고장관리 세부현황'!$CY:$CY,"방송장치")</f>
        <v>0</v>
      </c>
      <c r="CK327"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분석_15일'!$F327,'2023년 신조차 고장관리 세부현황'!$BC:$BC,"완료",'2023년 신조차 고장관리 세부현황'!$CY:$CY,"방송장치")</f>
        <v>0</v>
      </c>
      <c r="CL327"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분석_15일'!$F327,'2023년 신조차 고장관리 세부현황'!$BC:$BC,"완료",'2023년 신조차 고장관리 세부현황'!$CY:$CY,"방송장치")</f>
        <v>0</v>
      </c>
      <c r="CM327"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분석_15일'!$F327,'2023년 신조차 고장관리 세부현황'!$BC:$BC,"완료",'2023년 신조차 고장관리 세부현황'!$CY:$CY,"방송장치")</f>
        <v>0</v>
      </c>
      <c r="CN327"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분석_15일'!$F327,'2023년 신조차 고장관리 세부현황'!$BC:$BC,"완료",'2023년 신조차 고장관리 세부현황'!$CY:$CY,"방송장치")</f>
        <v>0</v>
      </c>
      <c r="CO327"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분석_15일'!$F327,'2023년 신조차 고장관리 세부현황'!$BC:$BC,"완료",'2023년 신조차 고장관리 세부현황'!$CY:$CY,"방송장치")</f>
        <v>0</v>
      </c>
      <c r="CP327"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분석_15일'!$F327,'2023년 신조차 고장관리 세부현황'!$BC:$BC,"완료",'2023년 신조차 고장관리 세부현황'!$CY:$CY,"방송장치")</f>
        <v>0</v>
      </c>
      <c r="CQ327"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분석_15일'!$F327,'2023년 신조차 고장관리 세부현황'!$BC:$BC,"완료",'2023년 신조차 고장관리 세부현황'!$CY:$CY,"방송장치")</f>
        <v>0</v>
      </c>
      <c r="CR327"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분석_15일'!$F327,'2023년 신조차 고장관리 세부현황'!$BC:$BC,"완료",'2023년 신조차 고장관리 세부현황'!$CY:$CY,"방송장치")</f>
        <v>0</v>
      </c>
      <c r="CS327"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분석_15일'!$F327,'2023년 신조차 고장관리 세부현황'!$BC:$BC,"완료",'2023년 신조차 고장관리 세부현황'!$CY:$CY,"방송장치")</f>
        <v>0</v>
      </c>
      <c r="CT327"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분석_15일'!$F327,'2023년 신조차 고장관리 세부현황'!$BC:$BC,"완료",'2023년 신조차 고장관리 세부현황'!$CY:$CY,"방송장치")</f>
        <v>0</v>
      </c>
      <c r="CU327"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분석_15일'!$F327,'2023년 신조차 고장관리 세부현황'!$BC:$BC,"완료",'2023년 신조차 고장관리 세부현황'!$CY:$CY,"방송장치")</f>
        <v>0</v>
      </c>
      <c r="CV327"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분석_15일'!$F327,'2023년 신조차 고장관리 세부현황'!$BC:$BC,"완료",'2023년 신조차 고장관리 세부현황'!$CY:$CY,"방송장치")</f>
        <v>0</v>
      </c>
      <c r="CW327"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분석_15일'!$F327,'2023년 신조차 고장관리 세부현황'!$BC:$BC,"완료",'2023년 신조차 고장관리 세부현황'!$CY:$CY,"방송장치")</f>
        <v>0</v>
      </c>
      <c r="CX327">
        <f>SUM(G327:CW327)</f>
        <v>0</v>
      </c>
    </row>
    <row r="328" spans="6:102" x14ac:dyDescent="0.4">
      <c r="F328" s="85" t="s">
        <v>223</v>
      </c>
      <c r="G328" s="85">
        <f>COUNTIFS('2023년 신조차 고장관리 세부현황'!$K:$K,"128R",'2023년 신조차 고장관리 세부현황'!$P:$P,"&gt;="&amp;$G$17,'2023년 신조차 고장관리 세부현황'!$P:$P,"&lt;"&amp;'트랜드 분석_15일'!G$18,'2023년 신조차 고장관리 세부현황'!$S:$S,'트랜드 분석_15일'!$F328,'2023년 신조차 고장관리 세부현황'!$BC:$BC,"완료",'2023년 신조차 고장관리 세부현황'!$CY:$CY,"방송장치")</f>
        <v>0</v>
      </c>
      <c r="H328"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분석_15일'!$F328,'2023년 신조차 고장관리 세부현황'!$BC:$BC,"완료",'2023년 신조차 고장관리 세부현황'!$CY:$CY,"방송장치")</f>
        <v>0</v>
      </c>
      <c r="I328"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분석_15일'!$F328,'2023년 신조차 고장관리 세부현황'!$BC:$BC,"완료",'2023년 신조차 고장관리 세부현황'!$CY:$CY,"방송장치")</f>
        <v>0</v>
      </c>
      <c r="J328"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분석_15일'!$F328,'2023년 신조차 고장관리 세부현황'!$BC:$BC,"완료",'2023년 신조차 고장관리 세부현황'!$CY:$CY,"방송장치")</f>
        <v>0</v>
      </c>
      <c r="K328"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분석_15일'!$F328,'2023년 신조차 고장관리 세부현황'!$BC:$BC,"완료",'2023년 신조차 고장관리 세부현황'!$CY:$CY,"방송장치")</f>
        <v>0</v>
      </c>
      <c r="L328"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분석_15일'!$F328,'2023년 신조차 고장관리 세부현황'!$BC:$BC,"완료",'2023년 신조차 고장관리 세부현황'!$CY:$CY,"방송장치")</f>
        <v>0</v>
      </c>
      <c r="M328"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분석_15일'!$F328,'2023년 신조차 고장관리 세부현황'!$BC:$BC,"완료",'2023년 신조차 고장관리 세부현황'!$CY:$CY,"방송장치")</f>
        <v>0</v>
      </c>
      <c r="N328"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분석_15일'!$F328,'2023년 신조차 고장관리 세부현황'!$BC:$BC,"완료",'2023년 신조차 고장관리 세부현황'!$CY:$CY,"방송장치")</f>
        <v>0</v>
      </c>
      <c r="O328"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분석_15일'!$F328,'2023년 신조차 고장관리 세부현황'!$BC:$BC,"완료",'2023년 신조차 고장관리 세부현황'!$CY:$CY,"방송장치")</f>
        <v>0</v>
      </c>
      <c r="P328"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분석_15일'!$F328,'2023년 신조차 고장관리 세부현황'!$BC:$BC,"완료",'2023년 신조차 고장관리 세부현황'!$CY:$CY,"방송장치")</f>
        <v>0</v>
      </c>
      <c r="Q328"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분석_15일'!$F328,'2023년 신조차 고장관리 세부현황'!$BC:$BC,"완료",'2023년 신조차 고장관리 세부현황'!$CY:$CY,"방송장치")</f>
        <v>0</v>
      </c>
      <c r="R328"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분석_15일'!$F328,'2023년 신조차 고장관리 세부현황'!$BC:$BC,"완료",'2023년 신조차 고장관리 세부현황'!$CY:$CY,"방송장치")</f>
        <v>0</v>
      </c>
      <c r="S328"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분석_15일'!$F328,'2023년 신조차 고장관리 세부현황'!$BC:$BC,"완료",'2023년 신조차 고장관리 세부현황'!$CY:$CY,"방송장치")</f>
        <v>0</v>
      </c>
      <c r="T328"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분석_15일'!$F328,'2023년 신조차 고장관리 세부현황'!$BC:$BC,"완료",'2023년 신조차 고장관리 세부현황'!$CY:$CY,"방송장치")</f>
        <v>0</v>
      </c>
      <c r="U328"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분석_15일'!$F328,'2023년 신조차 고장관리 세부현황'!$BC:$BC,"완료",'2023년 신조차 고장관리 세부현황'!$CY:$CY,"방송장치")</f>
        <v>0</v>
      </c>
      <c r="V328"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분석_15일'!$F328,'2023년 신조차 고장관리 세부현황'!$BC:$BC,"완료",'2023년 신조차 고장관리 세부현황'!$CY:$CY,"방송장치")</f>
        <v>0</v>
      </c>
      <c r="W328"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분석_15일'!$F328,'2023년 신조차 고장관리 세부현황'!$BC:$BC,"완료",'2023년 신조차 고장관리 세부현황'!$CY:$CY,"방송장치")</f>
        <v>0</v>
      </c>
      <c r="X328"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분석_15일'!$F328,'2023년 신조차 고장관리 세부현황'!$BC:$BC,"완료",'2023년 신조차 고장관리 세부현황'!$CY:$CY,"방송장치")</f>
        <v>0</v>
      </c>
      <c r="Y328"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분석_15일'!$F328,'2023년 신조차 고장관리 세부현황'!$BC:$BC,"완료",'2023년 신조차 고장관리 세부현황'!$CY:$CY,"방송장치")</f>
        <v>0</v>
      </c>
      <c r="Z328"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분석_15일'!$F328,'2023년 신조차 고장관리 세부현황'!$BC:$BC,"완료",'2023년 신조차 고장관리 세부현황'!$CY:$CY,"방송장치")</f>
        <v>0</v>
      </c>
      <c r="AA328"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분석_15일'!$F328,'2023년 신조차 고장관리 세부현황'!$BC:$BC,"완료",'2023년 신조차 고장관리 세부현황'!$CY:$CY,"방송장치")</f>
        <v>0</v>
      </c>
      <c r="AB328"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분석_15일'!$F328,'2023년 신조차 고장관리 세부현황'!$BC:$BC,"완료",'2023년 신조차 고장관리 세부현황'!$CY:$CY,"방송장치")</f>
        <v>0</v>
      </c>
      <c r="AC328"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분석_15일'!$F328,'2023년 신조차 고장관리 세부현황'!$BC:$BC,"완료",'2023년 신조차 고장관리 세부현황'!$CY:$CY,"방송장치")</f>
        <v>0</v>
      </c>
      <c r="AD328"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분석_15일'!$F328,'2023년 신조차 고장관리 세부현황'!$BC:$BC,"완료",'2023년 신조차 고장관리 세부현황'!$CY:$CY,"방송장치")</f>
        <v>0</v>
      </c>
      <c r="AE328"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분석_15일'!$F328,'2023년 신조차 고장관리 세부현황'!$BC:$BC,"완료",'2023년 신조차 고장관리 세부현황'!$CY:$CY,"방송장치")</f>
        <v>0</v>
      </c>
      <c r="AF328"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분석_15일'!$F328,'2023년 신조차 고장관리 세부현황'!$BC:$BC,"완료",'2023년 신조차 고장관리 세부현황'!$CY:$CY,"방송장치")</f>
        <v>0</v>
      </c>
      <c r="AG328"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분석_15일'!$F328,'2023년 신조차 고장관리 세부현황'!$BC:$BC,"완료",'2023년 신조차 고장관리 세부현황'!$CY:$CY,"방송장치")</f>
        <v>0</v>
      </c>
      <c r="AH328"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분석_15일'!$F328,'2023년 신조차 고장관리 세부현황'!$BC:$BC,"완료",'2023년 신조차 고장관리 세부현황'!$CY:$CY,"방송장치")</f>
        <v>0</v>
      </c>
      <c r="AI328"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분석_15일'!$F328,'2023년 신조차 고장관리 세부현황'!$BC:$BC,"완료",'2023년 신조차 고장관리 세부현황'!$CY:$CY,"방송장치")</f>
        <v>0</v>
      </c>
      <c r="AJ328"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분석_15일'!$F328,'2023년 신조차 고장관리 세부현황'!$BC:$BC,"완료",'2023년 신조차 고장관리 세부현황'!$CY:$CY,"방송장치")</f>
        <v>0</v>
      </c>
      <c r="AK328"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분석_15일'!$F328,'2023년 신조차 고장관리 세부현황'!$BC:$BC,"완료",'2023년 신조차 고장관리 세부현황'!$CY:$CY,"방송장치")</f>
        <v>0</v>
      </c>
      <c r="AL328"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분석_15일'!$F328,'2023년 신조차 고장관리 세부현황'!$BC:$BC,"완료",'2023년 신조차 고장관리 세부현황'!$CY:$CY,"방송장치")</f>
        <v>0</v>
      </c>
      <c r="AM328"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분석_15일'!$F328,'2023년 신조차 고장관리 세부현황'!$BC:$BC,"완료",'2023년 신조차 고장관리 세부현황'!$CY:$CY,"방송장치")</f>
        <v>0</v>
      </c>
      <c r="AN328"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분석_15일'!$F328,'2023년 신조차 고장관리 세부현황'!$BC:$BC,"완료",'2023년 신조차 고장관리 세부현황'!$CY:$CY,"방송장치")</f>
        <v>0</v>
      </c>
      <c r="AO328"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분석_15일'!$F328,'2023년 신조차 고장관리 세부현황'!$BC:$BC,"완료",'2023년 신조차 고장관리 세부현황'!$CY:$CY,"방송장치")</f>
        <v>0</v>
      </c>
      <c r="AP328"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분석_15일'!$F328,'2023년 신조차 고장관리 세부현황'!$BC:$BC,"완료",'2023년 신조차 고장관리 세부현황'!$CY:$CY,"방송장치")</f>
        <v>0</v>
      </c>
      <c r="AQ328"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분석_15일'!$F328,'2023년 신조차 고장관리 세부현황'!$BC:$BC,"완료",'2023년 신조차 고장관리 세부현황'!$CY:$CY,"방송장치")</f>
        <v>0</v>
      </c>
      <c r="AR328"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분석_15일'!$F328,'2023년 신조차 고장관리 세부현황'!$BC:$BC,"완료",'2023년 신조차 고장관리 세부현황'!$CY:$CY,"방송장치")</f>
        <v>0</v>
      </c>
      <c r="AS328"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분석_15일'!$F328,'2023년 신조차 고장관리 세부현황'!$BC:$BC,"완료",'2023년 신조차 고장관리 세부현황'!$CY:$CY,"방송장치")</f>
        <v>0</v>
      </c>
      <c r="AT328"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분석_15일'!$F328,'2023년 신조차 고장관리 세부현황'!$BC:$BC,"완료",'2023년 신조차 고장관리 세부현황'!$CY:$CY,"방송장치")</f>
        <v>0</v>
      </c>
      <c r="AU328"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분석_15일'!$F328,'2023년 신조차 고장관리 세부현황'!$BC:$BC,"완료",'2023년 신조차 고장관리 세부현황'!$CY:$CY,"방송장치")</f>
        <v>0</v>
      </c>
      <c r="AV328"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분석_15일'!$F328,'2023년 신조차 고장관리 세부현황'!$BC:$BC,"완료",'2023년 신조차 고장관리 세부현황'!$CY:$CY,"방송장치")</f>
        <v>0</v>
      </c>
      <c r="AW328"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분석_15일'!$F328,'2023년 신조차 고장관리 세부현황'!$BC:$BC,"완료",'2023년 신조차 고장관리 세부현황'!$CY:$CY,"방송장치")</f>
        <v>0</v>
      </c>
      <c r="AX328"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분석_15일'!$F328,'2023년 신조차 고장관리 세부현황'!$BC:$BC,"완료",'2023년 신조차 고장관리 세부현황'!$CY:$CY,"방송장치")</f>
        <v>0</v>
      </c>
      <c r="AY328"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분석_15일'!$F328,'2023년 신조차 고장관리 세부현황'!$BC:$BC,"완료",'2023년 신조차 고장관리 세부현황'!$CY:$CY,"방송장치")</f>
        <v>0</v>
      </c>
      <c r="AZ328"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분석_15일'!$F328,'2023년 신조차 고장관리 세부현황'!$BC:$BC,"완료",'2023년 신조차 고장관리 세부현황'!$CY:$CY,"방송장치")</f>
        <v>0</v>
      </c>
      <c r="BA328"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분석_15일'!$F328,'2023년 신조차 고장관리 세부현황'!$BC:$BC,"완료",'2023년 신조차 고장관리 세부현황'!$CY:$CY,"방송장치")</f>
        <v>0</v>
      </c>
      <c r="BB328"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분석_15일'!$F328,'2023년 신조차 고장관리 세부현황'!$BC:$BC,"완료",'2023년 신조차 고장관리 세부현황'!$CY:$CY,"방송장치")</f>
        <v>0</v>
      </c>
      <c r="BC328"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분석_15일'!$F328,'2023년 신조차 고장관리 세부현황'!$BC:$BC,"완료",'2023년 신조차 고장관리 세부현황'!$CY:$CY,"방송장치")</f>
        <v>0</v>
      </c>
      <c r="BD328"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분석_15일'!$F328,'2023년 신조차 고장관리 세부현황'!$BC:$BC,"완료",'2023년 신조차 고장관리 세부현황'!$CY:$CY,"방송장치")</f>
        <v>0</v>
      </c>
      <c r="BE328"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분석_15일'!$F328,'2023년 신조차 고장관리 세부현황'!$BC:$BC,"완료",'2023년 신조차 고장관리 세부현황'!$CY:$CY,"방송장치")</f>
        <v>0</v>
      </c>
      <c r="BF328"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분석_15일'!$F328,'2023년 신조차 고장관리 세부현황'!$BC:$BC,"완료",'2023년 신조차 고장관리 세부현황'!$CY:$CY,"방송장치")</f>
        <v>0</v>
      </c>
      <c r="BG328"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분석_15일'!$F328,'2023년 신조차 고장관리 세부현황'!$BC:$BC,"완료",'2023년 신조차 고장관리 세부현황'!$CY:$CY,"방송장치")</f>
        <v>0</v>
      </c>
      <c r="BH328"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분석_15일'!$F328,'2023년 신조차 고장관리 세부현황'!$BC:$BC,"완료",'2023년 신조차 고장관리 세부현황'!$CY:$CY,"방송장치")</f>
        <v>0</v>
      </c>
      <c r="BI328"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분석_15일'!$F328,'2023년 신조차 고장관리 세부현황'!$BC:$BC,"완료",'2023년 신조차 고장관리 세부현황'!$CY:$CY,"방송장치")</f>
        <v>0</v>
      </c>
      <c r="BJ328"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분석_15일'!$F328,'2023년 신조차 고장관리 세부현황'!$BC:$BC,"완료",'2023년 신조차 고장관리 세부현황'!$CY:$CY,"방송장치")</f>
        <v>0</v>
      </c>
      <c r="BK328"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분석_15일'!$F328,'2023년 신조차 고장관리 세부현황'!$BC:$BC,"완료",'2023년 신조차 고장관리 세부현황'!$CY:$CY,"방송장치")</f>
        <v>0</v>
      </c>
      <c r="BL328"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분석_15일'!$F328,'2023년 신조차 고장관리 세부현황'!$BC:$BC,"완료",'2023년 신조차 고장관리 세부현황'!$CY:$CY,"방송장치")</f>
        <v>0</v>
      </c>
      <c r="BM328"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분석_15일'!$F328,'2023년 신조차 고장관리 세부현황'!$BC:$BC,"완료",'2023년 신조차 고장관리 세부현황'!$CY:$CY,"방송장치")</f>
        <v>0</v>
      </c>
      <c r="BN328"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분석_15일'!$F328,'2023년 신조차 고장관리 세부현황'!$BC:$BC,"완료",'2023년 신조차 고장관리 세부현황'!$CY:$CY,"방송장치")</f>
        <v>0</v>
      </c>
      <c r="BO328"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분석_15일'!$F328,'2023년 신조차 고장관리 세부현황'!$BC:$BC,"완료",'2023년 신조차 고장관리 세부현황'!$CY:$CY,"방송장치")</f>
        <v>0</v>
      </c>
      <c r="BP328"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분석_15일'!$F328,'2023년 신조차 고장관리 세부현황'!$BC:$BC,"완료",'2023년 신조차 고장관리 세부현황'!$CY:$CY,"방송장치")</f>
        <v>0</v>
      </c>
      <c r="BQ328"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분석_15일'!$F328,'2023년 신조차 고장관리 세부현황'!$BC:$BC,"완료",'2023년 신조차 고장관리 세부현황'!$CY:$CY,"방송장치")</f>
        <v>0</v>
      </c>
      <c r="BR328"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분석_15일'!$F328,'2023년 신조차 고장관리 세부현황'!$BC:$BC,"완료",'2023년 신조차 고장관리 세부현황'!$CY:$CY,"방송장치")</f>
        <v>0</v>
      </c>
      <c r="BS328"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분석_15일'!$F328,'2023년 신조차 고장관리 세부현황'!$BC:$BC,"완료",'2023년 신조차 고장관리 세부현황'!$CY:$CY,"방송장치")</f>
        <v>0</v>
      </c>
      <c r="BT328"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분석_15일'!$F328,'2023년 신조차 고장관리 세부현황'!$BC:$BC,"완료",'2023년 신조차 고장관리 세부현황'!$CY:$CY,"방송장치")</f>
        <v>0</v>
      </c>
      <c r="BU328"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분석_15일'!$F328,'2023년 신조차 고장관리 세부현황'!$BC:$BC,"완료",'2023년 신조차 고장관리 세부현황'!$CY:$CY,"방송장치")</f>
        <v>0</v>
      </c>
      <c r="BV328"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분석_15일'!$F328,'2023년 신조차 고장관리 세부현황'!$BC:$BC,"완료",'2023년 신조차 고장관리 세부현황'!$CY:$CY,"방송장치")</f>
        <v>0</v>
      </c>
      <c r="BW328"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분석_15일'!$F328,'2023년 신조차 고장관리 세부현황'!$BC:$BC,"완료",'2023년 신조차 고장관리 세부현황'!$CY:$CY,"방송장치")</f>
        <v>0</v>
      </c>
      <c r="BX328"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분석_15일'!$F328,'2023년 신조차 고장관리 세부현황'!$BC:$BC,"완료",'2023년 신조차 고장관리 세부현황'!$CY:$CY,"방송장치")</f>
        <v>0</v>
      </c>
      <c r="BY328"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분석_15일'!$F328,'2023년 신조차 고장관리 세부현황'!$BC:$BC,"완료",'2023년 신조차 고장관리 세부현황'!$CY:$CY,"방송장치")</f>
        <v>0</v>
      </c>
      <c r="BZ328"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분석_15일'!$F328,'2023년 신조차 고장관리 세부현황'!$BC:$BC,"완료",'2023년 신조차 고장관리 세부현황'!$CY:$CY,"방송장치")</f>
        <v>0</v>
      </c>
      <c r="CA328"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분석_15일'!$F328,'2023년 신조차 고장관리 세부현황'!$BC:$BC,"완료",'2023년 신조차 고장관리 세부현황'!$CY:$CY,"방송장치")</f>
        <v>0</v>
      </c>
      <c r="CB328"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분석_15일'!$F328,'2023년 신조차 고장관리 세부현황'!$BC:$BC,"완료",'2023년 신조차 고장관리 세부현황'!$CY:$CY,"방송장치")</f>
        <v>0</v>
      </c>
      <c r="CC328"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분석_15일'!$F328,'2023년 신조차 고장관리 세부현황'!$BC:$BC,"완료",'2023년 신조차 고장관리 세부현황'!$CY:$CY,"방송장치")</f>
        <v>0</v>
      </c>
      <c r="CD328"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분석_15일'!$F328,'2023년 신조차 고장관리 세부현황'!$BC:$BC,"완료",'2023년 신조차 고장관리 세부현황'!$CY:$CY,"방송장치")</f>
        <v>0</v>
      </c>
      <c r="CE328"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분석_15일'!$F328,'2023년 신조차 고장관리 세부현황'!$BC:$BC,"완료",'2023년 신조차 고장관리 세부현황'!$CY:$CY,"방송장치")</f>
        <v>0</v>
      </c>
      <c r="CF328"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분석_15일'!$F328,'2023년 신조차 고장관리 세부현황'!$BC:$BC,"완료",'2023년 신조차 고장관리 세부현황'!$CY:$CY,"방송장치")</f>
        <v>0</v>
      </c>
      <c r="CG328"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분석_15일'!$F328,'2023년 신조차 고장관리 세부현황'!$BC:$BC,"완료",'2023년 신조차 고장관리 세부현황'!$CY:$CY,"방송장치")</f>
        <v>0</v>
      </c>
      <c r="CH328"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분석_15일'!$F328,'2023년 신조차 고장관리 세부현황'!$BC:$BC,"완료",'2023년 신조차 고장관리 세부현황'!$CY:$CY,"방송장치")</f>
        <v>0</v>
      </c>
      <c r="CI328"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분석_15일'!$F328,'2023년 신조차 고장관리 세부현황'!$BC:$BC,"완료",'2023년 신조차 고장관리 세부현황'!$CY:$CY,"방송장치")</f>
        <v>0</v>
      </c>
      <c r="CJ328"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분석_15일'!$F328,'2023년 신조차 고장관리 세부현황'!$BC:$BC,"완료",'2023년 신조차 고장관리 세부현황'!$CY:$CY,"방송장치")</f>
        <v>0</v>
      </c>
      <c r="CK328"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분석_15일'!$F328,'2023년 신조차 고장관리 세부현황'!$BC:$BC,"완료",'2023년 신조차 고장관리 세부현황'!$CY:$CY,"방송장치")</f>
        <v>0</v>
      </c>
      <c r="CL328"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분석_15일'!$F328,'2023년 신조차 고장관리 세부현황'!$BC:$BC,"완료",'2023년 신조차 고장관리 세부현황'!$CY:$CY,"방송장치")</f>
        <v>0</v>
      </c>
      <c r="CM328"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분석_15일'!$F328,'2023년 신조차 고장관리 세부현황'!$BC:$BC,"완료",'2023년 신조차 고장관리 세부현황'!$CY:$CY,"방송장치")</f>
        <v>0</v>
      </c>
      <c r="CN328"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분석_15일'!$F328,'2023년 신조차 고장관리 세부현황'!$BC:$BC,"완료",'2023년 신조차 고장관리 세부현황'!$CY:$CY,"방송장치")</f>
        <v>0</v>
      </c>
      <c r="CO328"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분석_15일'!$F328,'2023년 신조차 고장관리 세부현황'!$BC:$BC,"완료",'2023년 신조차 고장관리 세부현황'!$CY:$CY,"방송장치")</f>
        <v>0</v>
      </c>
      <c r="CP328"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분석_15일'!$F328,'2023년 신조차 고장관리 세부현황'!$BC:$BC,"완료",'2023년 신조차 고장관리 세부현황'!$CY:$CY,"방송장치")</f>
        <v>0</v>
      </c>
      <c r="CQ328"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분석_15일'!$F328,'2023년 신조차 고장관리 세부현황'!$BC:$BC,"완료",'2023년 신조차 고장관리 세부현황'!$CY:$CY,"방송장치")</f>
        <v>0</v>
      </c>
      <c r="CR328"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분석_15일'!$F328,'2023년 신조차 고장관리 세부현황'!$BC:$BC,"완료",'2023년 신조차 고장관리 세부현황'!$CY:$CY,"방송장치")</f>
        <v>0</v>
      </c>
      <c r="CS328"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분석_15일'!$F328,'2023년 신조차 고장관리 세부현황'!$BC:$BC,"완료",'2023년 신조차 고장관리 세부현황'!$CY:$CY,"방송장치")</f>
        <v>0</v>
      </c>
      <c r="CT328"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분석_15일'!$F328,'2023년 신조차 고장관리 세부현황'!$BC:$BC,"완료",'2023년 신조차 고장관리 세부현황'!$CY:$CY,"방송장치")</f>
        <v>0</v>
      </c>
      <c r="CU328"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분석_15일'!$F328,'2023년 신조차 고장관리 세부현황'!$BC:$BC,"완료",'2023년 신조차 고장관리 세부현황'!$CY:$CY,"방송장치")</f>
        <v>0</v>
      </c>
      <c r="CV328"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분석_15일'!$F328,'2023년 신조차 고장관리 세부현황'!$BC:$BC,"완료",'2023년 신조차 고장관리 세부현황'!$CY:$CY,"방송장치")</f>
        <v>0</v>
      </c>
      <c r="CW328"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분석_15일'!$F328,'2023년 신조차 고장관리 세부현황'!$BC:$BC,"완료",'2023년 신조차 고장관리 세부현황'!$CY:$CY,"방송장치")</f>
        <v>0</v>
      </c>
      <c r="CX328">
        <f>SUM(G328:CW328)</f>
        <v>0</v>
      </c>
    </row>
    <row r="329" spans="6:102" x14ac:dyDescent="0.4">
      <c r="F329" s="85" t="s">
        <v>243</v>
      </c>
      <c r="G329" s="85">
        <f>G327+G328</f>
        <v>0</v>
      </c>
      <c r="H329" s="85">
        <f t="shared" ref="H329" si="327">H327+H328</f>
        <v>0</v>
      </c>
      <c r="I329" s="85">
        <f t="shared" ref="I329:BT329" si="328">I327+I328</f>
        <v>0</v>
      </c>
      <c r="J329" s="85">
        <f t="shared" si="328"/>
        <v>0</v>
      </c>
      <c r="K329" s="85">
        <f t="shared" si="328"/>
        <v>0</v>
      </c>
      <c r="L329" s="85">
        <f t="shared" si="328"/>
        <v>0</v>
      </c>
      <c r="M329" s="85">
        <f t="shared" si="328"/>
        <v>0</v>
      </c>
      <c r="N329" s="85">
        <f t="shared" si="328"/>
        <v>0</v>
      </c>
      <c r="O329" s="85">
        <f t="shared" si="328"/>
        <v>0</v>
      </c>
      <c r="P329" s="85">
        <f t="shared" si="328"/>
        <v>0</v>
      </c>
      <c r="Q329" s="85">
        <f t="shared" si="328"/>
        <v>0</v>
      </c>
      <c r="R329" s="85">
        <f t="shared" si="328"/>
        <v>0</v>
      </c>
      <c r="S329" s="85">
        <f t="shared" si="328"/>
        <v>0</v>
      </c>
      <c r="T329" s="85">
        <f t="shared" si="328"/>
        <v>0</v>
      </c>
      <c r="U329" s="85">
        <f t="shared" si="328"/>
        <v>0</v>
      </c>
      <c r="V329" s="85">
        <f t="shared" si="328"/>
        <v>0</v>
      </c>
      <c r="W329" s="85">
        <f t="shared" si="328"/>
        <v>0</v>
      </c>
      <c r="X329" s="85">
        <f t="shared" si="328"/>
        <v>0</v>
      </c>
      <c r="Y329" s="85">
        <f t="shared" si="328"/>
        <v>0</v>
      </c>
      <c r="Z329" s="85">
        <f t="shared" si="328"/>
        <v>0</v>
      </c>
      <c r="AA329" s="85">
        <f t="shared" si="328"/>
        <v>0</v>
      </c>
      <c r="AB329" s="85">
        <f t="shared" si="328"/>
        <v>0</v>
      </c>
      <c r="AC329" s="85">
        <f t="shared" si="328"/>
        <v>0</v>
      </c>
      <c r="AD329" s="85">
        <f t="shared" si="328"/>
        <v>0</v>
      </c>
      <c r="AE329" s="85">
        <f t="shared" si="328"/>
        <v>0</v>
      </c>
      <c r="AF329" s="85">
        <f t="shared" si="328"/>
        <v>0</v>
      </c>
      <c r="AG329" s="85">
        <f t="shared" si="328"/>
        <v>0</v>
      </c>
      <c r="AH329" s="85">
        <f t="shared" si="328"/>
        <v>0</v>
      </c>
      <c r="AI329" s="85">
        <f t="shared" si="328"/>
        <v>0</v>
      </c>
      <c r="AJ329" s="85">
        <f t="shared" si="328"/>
        <v>0</v>
      </c>
      <c r="AK329" s="85">
        <f t="shared" si="328"/>
        <v>0</v>
      </c>
      <c r="AL329" s="85">
        <f t="shared" si="328"/>
        <v>0</v>
      </c>
      <c r="AM329" s="85">
        <f t="shared" si="328"/>
        <v>0</v>
      </c>
      <c r="AN329" s="85">
        <f t="shared" si="328"/>
        <v>0</v>
      </c>
      <c r="AO329" s="85">
        <f t="shared" si="328"/>
        <v>0</v>
      </c>
      <c r="AP329" s="85">
        <f t="shared" si="328"/>
        <v>0</v>
      </c>
      <c r="AQ329" s="85">
        <f t="shared" si="328"/>
        <v>0</v>
      </c>
      <c r="AR329" s="85">
        <f t="shared" si="328"/>
        <v>0</v>
      </c>
      <c r="AS329" s="85">
        <f t="shared" si="328"/>
        <v>0</v>
      </c>
      <c r="AT329" s="85">
        <f t="shared" si="328"/>
        <v>0</v>
      </c>
      <c r="AU329" s="85">
        <f t="shared" si="328"/>
        <v>0</v>
      </c>
      <c r="AV329" s="85">
        <f t="shared" si="328"/>
        <v>0</v>
      </c>
      <c r="AW329" s="85">
        <f t="shared" si="328"/>
        <v>0</v>
      </c>
      <c r="AX329" s="85">
        <f t="shared" si="328"/>
        <v>0</v>
      </c>
      <c r="AY329" s="85">
        <f t="shared" si="328"/>
        <v>0</v>
      </c>
      <c r="AZ329" s="85">
        <f t="shared" si="328"/>
        <v>0</v>
      </c>
      <c r="BA329" s="85">
        <f t="shared" si="328"/>
        <v>0</v>
      </c>
      <c r="BB329" s="85">
        <f t="shared" si="328"/>
        <v>0</v>
      </c>
      <c r="BC329" s="85">
        <f t="shared" si="328"/>
        <v>0</v>
      </c>
      <c r="BD329" s="85">
        <f t="shared" si="328"/>
        <v>0</v>
      </c>
      <c r="BE329" s="85">
        <f t="shared" si="328"/>
        <v>0</v>
      </c>
      <c r="BF329" s="85">
        <f t="shared" si="328"/>
        <v>0</v>
      </c>
      <c r="BG329" s="85">
        <f t="shared" si="328"/>
        <v>0</v>
      </c>
      <c r="BH329" s="85">
        <f t="shared" si="328"/>
        <v>0</v>
      </c>
      <c r="BI329" s="85">
        <f t="shared" si="328"/>
        <v>0</v>
      </c>
      <c r="BJ329" s="85">
        <f t="shared" si="328"/>
        <v>0</v>
      </c>
      <c r="BK329" s="85">
        <f t="shared" si="328"/>
        <v>0</v>
      </c>
      <c r="BL329" s="85">
        <f t="shared" si="328"/>
        <v>0</v>
      </c>
      <c r="BM329" s="85">
        <f t="shared" si="328"/>
        <v>0</v>
      </c>
      <c r="BN329" s="85">
        <f t="shared" si="328"/>
        <v>0</v>
      </c>
      <c r="BO329" s="85">
        <f t="shared" si="328"/>
        <v>0</v>
      </c>
      <c r="BP329" s="85">
        <f t="shared" si="328"/>
        <v>0</v>
      </c>
      <c r="BQ329" s="85">
        <f t="shared" si="328"/>
        <v>0</v>
      </c>
      <c r="BR329" s="85">
        <f t="shared" si="328"/>
        <v>0</v>
      </c>
      <c r="BS329" s="85">
        <f t="shared" si="328"/>
        <v>0</v>
      </c>
      <c r="BT329" s="85">
        <f t="shared" si="328"/>
        <v>0</v>
      </c>
      <c r="BU329" s="85">
        <f t="shared" ref="BU329:CW329" si="329">BU327+BU328</f>
        <v>0</v>
      </c>
      <c r="BV329" s="85">
        <f t="shared" si="329"/>
        <v>0</v>
      </c>
      <c r="BW329" s="85">
        <f t="shared" si="329"/>
        <v>0</v>
      </c>
      <c r="BX329" s="85">
        <f t="shared" si="329"/>
        <v>0</v>
      </c>
      <c r="BY329" s="85">
        <f t="shared" si="329"/>
        <v>0</v>
      </c>
      <c r="BZ329" s="85">
        <f t="shared" si="329"/>
        <v>0</v>
      </c>
      <c r="CA329" s="85">
        <f t="shared" si="329"/>
        <v>0</v>
      </c>
      <c r="CB329" s="85">
        <f t="shared" si="329"/>
        <v>0</v>
      </c>
      <c r="CC329" s="85">
        <f t="shared" si="329"/>
        <v>0</v>
      </c>
      <c r="CD329" s="85">
        <f t="shared" si="329"/>
        <v>0</v>
      </c>
      <c r="CE329" s="85">
        <f t="shared" si="329"/>
        <v>0</v>
      </c>
      <c r="CF329" s="85">
        <f t="shared" si="329"/>
        <v>0</v>
      </c>
      <c r="CG329" s="85">
        <f t="shared" si="329"/>
        <v>0</v>
      </c>
      <c r="CH329" s="85">
        <f t="shared" si="329"/>
        <v>0</v>
      </c>
      <c r="CI329" s="85">
        <f t="shared" si="329"/>
        <v>0</v>
      </c>
      <c r="CJ329" s="85">
        <f t="shared" si="329"/>
        <v>0</v>
      </c>
      <c r="CK329" s="85">
        <f t="shared" si="329"/>
        <v>0</v>
      </c>
      <c r="CL329" s="85">
        <f t="shared" si="329"/>
        <v>0</v>
      </c>
      <c r="CM329" s="85">
        <f t="shared" si="329"/>
        <v>0</v>
      </c>
      <c r="CN329" s="85">
        <f t="shared" si="329"/>
        <v>0</v>
      </c>
      <c r="CO329" s="85">
        <f t="shared" si="329"/>
        <v>0</v>
      </c>
      <c r="CP329" s="85">
        <f t="shared" si="329"/>
        <v>0</v>
      </c>
      <c r="CQ329" s="85">
        <f t="shared" si="329"/>
        <v>0</v>
      </c>
      <c r="CR329" s="85">
        <f t="shared" si="329"/>
        <v>0</v>
      </c>
      <c r="CS329" s="85">
        <f t="shared" si="329"/>
        <v>0</v>
      </c>
      <c r="CT329" s="85">
        <f t="shared" si="329"/>
        <v>0</v>
      </c>
      <c r="CU329" s="85">
        <f t="shared" si="329"/>
        <v>0</v>
      </c>
      <c r="CV329" s="85">
        <f t="shared" si="329"/>
        <v>0</v>
      </c>
      <c r="CW329" s="85">
        <f t="shared" si="329"/>
        <v>0</v>
      </c>
      <c r="CX329">
        <f>SUM(G329:CW329)</f>
        <v>0</v>
      </c>
    </row>
    <row r="330" spans="6:102" x14ac:dyDescent="0.4">
      <c r="F330" s="86" t="s">
        <v>222</v>
      </c>
      <c r="G330" s="85">
        <f>COUNTIFS('2023년 신조차 고장관리 세부현황'!$K:$K,"128R",'2023년 신조차 고장관리 세부현황'!$P:$P,"&gt;="&amp;$G$17,'2023년 신조차 고장관리 세부현황'!$P:$P,"&lt;"&amp;'트랜드 분석_15일'!G$18,'2023년 신조차 고장관리 세부현황'!$S:$S,'트랜드 분석_15일'!$F330,'2023년 신조차 고장관리 세부현황'!$BC:$BC,"완료",'2023년 신조차 고장관리 세부현황'!$CY:$CY,"방송장치")</f>
        <v>0</v>
      </c>
      <c r="H330"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분석_15일'!$F330,'2023년 신조차 고장관리 세부현황'!$BC:$BC,"완료",'2023년 신조차 고장관리 세부현황'!$CY:$CY,"방송장치")</f>
        <v>0</v>
      </c>
      <c r="I330"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분석_15일'!$F330,'2023년 신조차 고장관리 세부현황'!$BC:$BC,"완료",'2023년 신조차 고장관리 세부현황'!$CY:$CY,"방송장치")</f>
        <v>0</v>
      </c>
      <c r="J330"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분석_15일'!$F330,'2023년 신조차 고장관리 세부현황'!$BC:$BC,"완료",'2023년 신조차 고장관리 세부현황'!$CY:$CY,"방송장치")</f>
        <v>0</v>
      </c>
      <c r="K330"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분석_15일'!$F330,'2023년 신조차 고장관리 세부현황'!$BC:$BC,"완료",'2023년 신조차 고장관리 세부현황'!$CY:$CY,"방송장치")</f>
        <v>0</v>
      </c>
      <c r="L330"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분석_15일'!$F330,'2023년 신조차 고장관리 세부현황'!$BC:$BC,"완료",'2023년 신조차 고장관리 세부현황'!$CY:$CY,"방송장치")</f>
        <v>0</v>
      </c>
      <c r="M330"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분석_15일'!$F330,'2023년 신조차 고장관리 세부현황'!$BC:$BC,"완료",'2023년 신조차 고장관리 세부현황'!$CY:$CY,"방송장치")</f>
        <v>0</v>
      </c>
      <c r="N330"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분석_15일'!$F330,'2023년 신조차 고장관리 세부현황'!$BC:$BC,"완료",'2023년 신조차 고장관리 세부현황'!$CY:$CY,"방송장치")</f>
        <v>0</v>
      </c>
      <c r="O330"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분석_15일'!$F330,'2023년 신조차 고장관리 세부현황'!$BC:$BC,"완료",'2023년 신조차 고장관리 세부현황'!$CY:$CY,"방송장치")</f>
        <v>0</v>
      </c>
      <c r="P330"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분석_15일'!$F330,'2023년 신조차 고장관리 세부현황'!$BC:$BC,"완료",'2023년 신조차 고장관리 세부현황'!$CY:$CY,"방송장치")</f>
        <v>0</v>
      </c>
      <c r="Q330"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분석_15일'!$F330,'2023년 신조차 고장관리 세부현황'!$BC:$BC,"완료",'2023년 신조차 고장관리 세부현황'!$CY:$CY,"방송장치")</f>
        <v>0</v>
      </c>
      <c r="R330"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분석_15일'!$F330,'2023년 신조차 고장관리 세부현황'!$BC:$BC,"완료",'2023년 신조차 고장관리 세부현황'!$CY:$CY,"방송장치")</f>
        <v>0</v>
      </c>
      <c r="S330"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분석_15일'!$F330,'2023년 신조차 고장관리 세부현황'!$BC:$BC,"완료",'2023년 신조차 고장관리 세부현황'!$CY:$CY,"방송장치")</f>
        <v>0</v>
      </c>
      <c r="T330"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분석_15일'!$F330,'2023년 신조차 고장관리 세부현황'!$BC:$BC,"완료",'2023년 신조차 고장관리 세부현황'!$CY:$CY,"방송장치")</f>
        <v>0</v>
      </c>
      <c r="U330"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분석_15일'!$F330,'2023년 신조차 고장관리 세부현황'!$BC:$BC,"완료",'2023년 신조차 고장관리 세부현황'!$CY:$CY,"방송장치")</f>
        <v>0</v>
      </c>
      <c r="V330"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분석_15일'!$F330,'2023년 신조차 고장관리 세부현황'!$BC:$BC,"완료",'2023년 신조차 고장관리 세부현황'!$CY:$CY,"방송장치")</f>
        <v>0</v>
      </c>
      <c r="W330"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분석_15일'!$F330,'2023년 신조차 고장관리 세부현황'!$BC:$BC,"완료",'2023년 신조차 고장관리 세부현황'!$CY:$CY,"방송장치")</f>
        <v>0</v>
      </c>
      <c r="X330"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분석_15일'!$F330,'2023년 신조차 고장관리 세부현황'!$BC:$BC,"완료",'2023년 신조차 고장관리 세부현황'!$CY:$CY,"방송장치")</f>
        <v>0</v>
      </c>
      <c r="Y330"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분석_15일'!$F330,'2023년 신조차 고장관리 세부현황'!$BC:$BC,"완료",'2023년 신조차 고장관리 세부현황'!$CY:$CY,"방송장치")</f>
        <v>0</v>
      </c>
      <c r="Z330"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분석_15일'!$F330,'2023년 신조차 고장관리 세부현황'!$BC:$BC,"완료",'2023년 신조차 고장관리 세부현황'!$CY:$CY,"방송장치")</f>
        <v>0</v>
      </c>
      <c r="AA330"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분석_15일'!$F330,'2023년 신조차 고장관리 세부현황'!$BC:$BC,"완료",'2023년 신조차 고장관리 세부현황'!$CY:$CY,"방송장치")</f>
        <v>0</v>
      </c>
      <c r="AB330"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분석_15일'!$F330,'2023년 신조차 고장관리 세부현황'!$BC:$BC,"완료",'2023년 신조차 고장관리 세부현황'!$CY:$CY,"방송장치")</f>
        <v>0</v>
      </c>
      <c r="AC330"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분석_15일'!$F330,'2023년 신조차 고장관리 세부현황'!$BC:$BC,"완료",'2023년 신조차 고장관리 세부현황'!$CY:$CY,"방송장치")</f>
        <v>0</v>
      </c>
      <c r="AD330"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분석_15일'!$F330,'2023년 신조차 고장관리 세부현황'!$BC:$BC,"완료",'2023년 신조차 고장관리 세부현황'!$CY:$CY,"방송장치")</f>
        <v>0</v>
      </c>
      <c r="AE330"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분석_15일'!$F330,'2023년 신조차 고장관리 세부현황'!$BC:$BC,"완료",'2023년 신조차 고장관리 세부현황'!$CY:$CY,"방송장치")</f>
        <v>0</v>
      </c>
      <c r="AF330"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분석_15일'!$F330,'2023년 신조차 고장관리 세부현황'!$BC:$BC,"완료",'2023년 신조차 고장관리 세부현황'!$CY:$CY,"방송장치")</f>
        <v>0</v>
      </c>
      <c r="AG330"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분석_15일'!$F330,'2023년 신조차 고장관리 세부현황'!$BC:$BC,"완료",'2023년 신조차 고장관리 세부현황'!$CY:$CY,"방송장치")</f>
        <v>0</v>
      </c>
      <c r="AH330"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분석_15일'!$F330,'2023년 신조차 고장관리 세부현황'!$BC:$BC,"완료",'2023년 신조차 고장관리 세부현황'!$CY:$CY,"방송장치")</f>
        <v>0</v>
      </c>
      <c r="AI330"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분석_15일'!$F330,'2023년 신조차 고장관리 세부현황'!$BC:$BC,"완료",'2023년 신조차 고장관리 세부현황'!$CY:$CY,"방송장치")</f>
        <v>0</v>
      </c>
      <c r="AJ330"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분석_15일'!$F330,'2023년 신조차 고장관리 세부현황'!$BC:$BC,"완료",'2023년 신조차 고장관리 세부현황'!$CY:$CY,"방송장치")</f>
        <v>0</v>
      </c>
      <c r="AK330"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분석_15일'!$F330,'2023년 신조차 고장관리 세부현황'!$BC:$BC,"완료",'2023년 신조차 고장관리 세부현황'!$CY:$CY,"방송장치")</f>
        <v>0</v>
      </c>
      <c r="AL330"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분석_15일'!$F330,'2023년 신조차 고장관리 세부현황'!$BC:$BC,"완료",'2023년 신조차 고장관리 세부현황'!$CY:$CY,"방송장치")</f>
        <v>0</v>
      </c>
      <c r="AM330"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분석_15일'!$F330,'2023년 신조차 고장관리 세부현황'!$BC:$BC,"완료",'2023년 신조차 고장관리 세부현황'!$CY:$CY,"방송장치")</f>
        <v>0</v>
      </c>
      <c r="AN330"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분석_15일'!$F330,'2023년 신조차 고장관리 세부현황'!$BC:$BC,"완료",'2023년 신조차 고장관리 세부현황'!$CY:$CY,"방송장치")</f>
        <v>0</v>
      </c>
      <c r="AO330"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분석_15일'!$F330,'2023년 신조차 고장관리 세부현황'!$BC:$BC,"완료",'2023년 신조차 고장관리 세부현황'!$CY:$CY,"방송장치")</f>
        <v>0</v>
      </c>
      <c r="AP330"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분석_15일'!$F330,'2023년 신조차 고장관리 세부현황'!$BC:$BC,"완료",'2023년 신조차 고장관리 세부현황'!$CY:$CY,"방송장치")</f>
        <v>0</v>
      </c>
      <c r="AQ330"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분석_15일'!$F330,'2023년 신조차 고장관리 세부현황'!$BC:$BC,"완료",'2023년 신조차 고장관리 세부현황'!$CY:$CY,"방송장치")</f>
        <v>0</v>
      </c>
      <c r="AR330"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분석_15일'!$F330,'2023년 신조차 고장관리 세부현황'!$BC:$BC,"완료",'2023년 신조차 고장관리 세부현황'!$CY:$CY,"방송장치")</f>
        <v>0</v>
      </c>
      <c r="AS330"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분석_15일'!$F330,'2023년 신조차 고장관리 세부현황'!$BC:$BC,"완료",'2023년 신조차 고장관리 세부현황'!$CY:$CY,"방송장치")</f>
        <v>0</v>
      </c>
      <c r="AT330"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분석_15일'!$F330,'2023년 신조차 고장관리 세부현황'!$BC:$BC,"완료",'2023년 신조차 고장관리 세부현황'!$CY:$CY,"방송장치")</f>
        <v>0</v>
      </c>
      <c r="AU330"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분석_15일'!$F330,'2023년 신조차 고장관리 세부현황'!$BC:$BC,"완료",'2023년 신조차 고장관리 세부현황'!$CY:$CY,"방송장치")</f>
        <v>0</v>
      </c>
      <c r="AV330"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분석_15일'!$F330,'2023년 신조차 고장관리 세부현황'!$BC:$BC,"완료",'2023년 신조차 고장관리 세부현황'!$CY:$CY,"방송장치")</f>
        <v>0</v>
      </c>
      <c r="AW330"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분석_15일'!$F330,'2023년 신조차 고장관리 세부현황'!$BC:$BC,"완료",'2023년 신조차 고장관리 세부현황'!$CY:$CY,"방송장치")</f>
        <v>0</v>
      </c>
      <c r="AX330"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분석_15일'!$F330,'2023년 신조차 고장관리 세부현황'!$BC:$BC,"완료",'2023년 신조차 고장관리 세부현황'!$CY:$CY,"방송장치")</f>
        <v>0</v>
      </c>
      <c r="AY330"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분석_15일'!$F330,'2023년 신조차 고장관리 세부현황'!$BC:$BC,"완료",'2023년 신조차 고장관리 세부현황'!$CY:$CY,"방송장치")</f>
        <v>0</v>
      </c>
      <c r="AZ330"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분석_15일'!$F330,'2023년 신조차 고장관리 세부현황'!$BC:$BC,"완료",'2023년 신조차 고장관리 세부현황'!$CY:$CY,"방송장치")</f>
        <v>0</v>
      </c>
      <c r="BA330"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분석_15일'!$F330,'2023년 신조차 고장관리 세부현황'!$BC:$BC,"완료",'2023년 신조차 고장관리 세부현황'!$CY:$CY,"방송장치")</f>
        <v>0</v>
      </c>
      <c r="BB330"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분석_15일'!$F330,'2023년 신조차 고장관리 세부현황'!$BC:$BC,"완료",'2023년 신조차 고장관리 세부현황'!$CY:$CY,"방송장치")</f>
        <v>0</v>
      </c>
      <c r="BC330"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분석_15일'!$F330,'2023년 신조차 고장관리 세부현황'!$BC:$BC,"완료",'2023년 신조차 고장관리 세부현황'!$CY:$CY,"방송장치")</f>
        <v>0</v>
      </c>
      <c r="BD330"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분석_15일'!$F330,'2023년 신조차 고장관리 세부현황'!$BC:$BC,"완료",'2023년 신조차 고장관리 세부현황'!$CY:$CY,"방송장치")</f>
        <v>0</v>
      </c>
      <c r="BE330"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분석_15일'!$F330,'2023년 신조차 고장관리 세부현황'!$BC:$BC,"완료",'2023년 신조차 고장관리 세부현황'!$CY:$CY,"방송장치")</f>
        <v>0</v>
      </c>
      <c r="BF330"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분석_15일'!$F330,'2023년 신조차 고장관리 세부현황'!$BC:$BC,"완료",'2023년 신조차 고장관리 세부현황'!$CY:$CY,"방송장치")</f>
        <v>0</v>
      </c>
      <c r="BG330"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분석_15일'!$F330,'2023년 신조차 고장관리 세부현황'!$BC:$BC,"완료",'2023년 신조차 고장관리 세부현황'!$CY:$CY,"방송장치")</f>
        <v>0</v>
      </c>
      <c r="BH330"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분석_15일'!$F330,'2023년 신조차 고장관리 세부현황'!$BC:$BC,"완료",'2023년 신조차 고장관리 세부현황'!$CY:$CY,"방송장치")</f>
        <v>0</v>
      </c>
      <c r="BI330"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분석_15일'!$F330,'2023년 신조차 고장관리 세부현황'!$BC:$BC,"완료",'2023년 신조차 고장관리 세부현황'!$CY:$CY,"방송장치")</f>
        <v>0</v>
      </c>
      <c r="BJ330"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분석_15일'!$F330,'2023년 신조차 고장관리 세부현황'!$BC:$BC,"완료",'2023년 신조차 고장관리 세부현황'!$CY:$CY,"방송장치")</f>
        <v>0</v>
      </c>
      <c r="BK330"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분석_15일'!$F330,'2023년 신조차 고장관리 세부현황'!$BC:$BC,"완료",'2023년 신조차 고장관리 세부현황'!$CY:$CY,"방송장치")</f>
        <v>0</v>
      </c>
      <c r="BL330"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분석_15일'!$F330,'2023년 신조차 고장관리 세부현황'!$BC:$BC,"완료",'2023년 신조차 고장관리 세부현황'!$CY:$CY,"방송장치")</f>
        <v>0</v>
      </c>
      <c r="BM330"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분석_15일'!$F330,'2023년 신조차 고장관리 세부현황'!$BC:$BC,"완료",'2023년 신조차 고장관리 세부현황'!$CY:$CY,"방송장치")</f>
        <v>0</v>
      </c>
      <c r="BN330"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분석_15일'!$F330,'2023년 신조차 고장관리 세부현황'!$BC:$BC,"완료",'2023년 신조차 고장관리 세부현황'!$CY:$CY,"방송장치")</f>
        <v>0</v>
      </c>
      <c r="BO330"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분석_15일'!$F330,'2023년 신조차 고장관리 세부현황'!$BC:$BC,"완료",'2023년 신조차 고장관리 세부현황'!$CY:$CY,"방송장치")</f>
        <v>0</v>
      </c>
      <c r="BP330"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분석_15일'!$F330,'2023년 신조차 고장관리 세부현황'!$BC:$BC,"완료",'2023년 신조차 고장관리 세부현황'!$CY:$CY,"방송장치")</f>
        <v>0</v>
      </c>
      <c r="BQ330"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분석_15일'!$F330,'2023년 신조차 고장관리 세부현황'!$BC:$BC,"완료",'2023년 신조차 고장관리 세부현황'!$CY:$CY,"방송장치")</f>
        <v>0</v>
      </c>
      <c r="BR330"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분석_15일'!$F330,'2023년 신조차 고장관리 세부현황'!$BC:$BC,"완료",'2023년 신조차 고장관리 세부현황'!$CY:$CY,"방송장치")</f>
        <v>0</v>
      </c>
      <c r="BS330"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분석_15일'!$F330,'2023년 신조차 고장관리 세부현황'!$BC:$BC,"완료",'2023년 신조차 고장관리 세부현황'!$CY:$CY,"방송장치")</f>
        <v>0</v>
      </c>
      <c r="BT330"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분석_15일'!$F330,'2023년 신조차 고장관리 세부현황'!$BC:$BC,"완료",'2023년 신조차 고장관리 세부현황'!$CY:$CY,"방송장치")</f>
        <v>0</v>
      </c>
      <c r="BU330"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분석_15일'!$F330,'2023년 신조차 고장관리 세부현황'!$BC:$BC,"완료",'2023년 신조차 고장관리 세부현황'!$CY:$CY,"방송장치")</f>
        <v>0</v>
      </c>
      <c r="BV330"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분석_15일'!$F330,'2023년 신조차 고장관리 세부현황'!$BC:$BC,"완료",'2023년 신조차 고장관리 세부현황'!$CY:$CY,"방송장치")</f>
        <v>0</v>
      </c>
      <c r="BW330"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분석_15일'!$F330,'2023년 신조차 고장관리 세부현황'!$BC:$BC,"완료",'2023년 신조차 고장관리 세부현황'!$CY:$CY,"방송장치")</f>
        <v>0</v>
      </c>
      <c r="BX330"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분석_15일'!$F330,'2023년 신조차 고장관리 세부현황'!$BC:$BC,"완료",'2023년 신조차 고장관리 세부현황'!$CY:$CY,"방송장치")</f>
        <v>0</v>
      </c>
      <c r="BY330"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분석_15일'!$F330,'2023년 신조차 고장관리 세부현황'!$BC:$BC,"완료",'2023년 신조차 고장관리 세부현황'!$CY:$CY,"방송장치")</f>
        <v>0</v>
      </c>
      <c r="BZ330"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분석_15일'!$F330,'2023년 신조차 고장관리 세부현황'!$BC:$BC,"완료",'2023년 신조차 고장관리 세부현황'!$CY:$CY,"방송장치")</f>
        <v>0</v>
      </c>
      <c r="CA330"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분석_15일'!$F330,'2023년 신조차 고장관리 세부현황'!$BC:$BC,"완료",'2023년 신조차 고장관리 세부현황'!$CY:$CY,"방송장치")</f>
        <v>0</v>
      </c>
      <c r="CB330"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분석_15일'!$F330,'2023년 신조차 고장관리 세부현황'!$BC:$BC,"완료",'2023년 신조차 고장관리 세부현황'!$CY:$CY,"방송장치")</f>
        <v>0</v>
      </c>
      <c r="CC330"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분석_15일'!$F330,'2023년 신조차 고장관리 세부현황'!$BC:$BC,"완료",'2023년 신조차 고장관리 세부현황'!$CY:$CY,"방송장치")</f>
        <v>0</v>
      </c>
      <c r="CD330"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분석_15일'!$F330,'2023년 신조차 고장관리 세부현황'!$BC:$BC,"완료",'2023년 신조차 고장관리 세부현황'!$CY:$CY,"방송장치")</f>
        <v>0</v>
      </c>
      <c r="CE330"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분석_15일'!$F330,'2023년 신조차 고장관리 세부현황'!$BC:$BC,"완료",'2023년 신조차 고장관리 세부현황'!$CY:$CY,"방송장치")</f>
        <v>0</v>
      </c>
      <c r="CF330"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분석_15일'!$F330,'2023년 신조차 고장관리 세부현황'!$BC:$BC,"완료",'2023년 신조차 고장관리 세부현황'!$CY:$CY,"방송장치")</f>
        <v>0</v>
      </c>
      <c r="CG330"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분석_15일'!$F330,'2023년 신조차 고장관리 세부현황'!$BC:$BC,"완료",'2023년 신조차 고장관리 세부현황'!$CY:$CY,"방송장치")</f>
        <v>0</v>
      </c>
      <c r="CH330"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분석_15일'!$F330,'2023년 신조차 고장관리 세부현황'!$BC:$BC,"완료",'2023년 신조차 고장관리 세부현황'!$CY:$CY,"방송장치")</f>
        <v>0</v>
      </c>
      <c r="CI330"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분석_15일'!$F330,'2023년 신조차 고장관리 세부현황'!$BC:$BC,"완료",'2023년 신조차 고장관리 세부현황'!$CY:$CY,"방송장치")</f>
        <v>0</v>
      </c>
      <c r="CJ330"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분석_15일'!$F330,'2023년 신조차 고장관리 세부현황'!$BC:$BC,"완료",'2023년 신조차 고장관리 세부현황'!$CY:$CY,"방송장치")</f>
        <v>0</v>
      </c>
      <c r="CK330"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분석_15일'!$F330,'2023년 신조차 고장관리 세부현황'!$BC:$BC,"완료",'2023년 신조차 고장관리 세부현황'!$CY:$CY,"방송장치")</f>
        <v>0</v>
      </c>
      <c r="CL330"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분석_15일'!$F330,'2023년 신조차 고장관리 세부현황'!$BC:$BC,"완료",'2023년 신조차 고장관리 세부현황'!$CY:$CY,"방송장치")</f>
        <v>0</v>
      </c>
      <c r="CM330"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분석_15일'!$F330,'2023년 신조차 고장관리 세부현황'!$BC:$BC,"완료",'2023년 신조차 고장관리 세부현황'!$CY:$CY,"방송장치")</f>
        <v>0</v>
      </c>
      <c r="CN330"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분석_15일'!$F330,'2023년 신조차 고장관리 세부현황'!$BC:$BC,"완료",'2023년 신조차 고장관리 세부현황'!$CY:$CY,"방송장치")</f>
        <v>0</v>
      </c>
      <c r="CO330"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분석_15일'!$F330,'2023년 신조차 고장관리 세부현황'!$BC:$BC,"완료",'2023년 신조차 고장관리 세부현황'!$CY:$CY,"방송장치")</f>
        <v>0</v>
      </c>
      <c r="CP330"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분석_15일'!$F330,'2023년 신조차 고장관리 세부현황'!$BC:$BC,"완료",'2023년 신조차 고장관리 세부현황'!$CY:$CY,"방송장치")</f>
        <v>0</v>
      </c>
      <c r="CQ330"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분석_15일'!$F330,'2023년 신조차 고장관리 세부현황'!$BC:$BC,"완료",'2023년 신조차 고장관리 세부현황'!$CY:$CY,"방송장치")</f>
        <v>0</v>
      </c>
      <c r="CR330"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분석_15일'!$F330,'2023년 신조차 고장관리 세부현황'!$BC:$BC,"완료",'2023년 신조차 고장관리 세부현황'!$CY:$CY,"방송장치")</f>
        <v>0</v>
      </c>
      <c r="CS330"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분석_15일'!$F330,'2023년 신조차 고장관리 세부현황'!$BC:$BC,"완료",'2023년 신조차 고장관리 세부현황'!$CY:$CY,"방송장치")</f>
        <v>0</v>
      </c>
      <c r="CT330"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분석_15일'!$F330,'2023년 신조차 고장관리 세부현황'!$BC:$BC,"완료",'2023년 신조차 고장관리 세부현황'!$CY:$CY,"방송장치")</f>
        <v>0</v>
      </c>
      <c r="CU330"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분석_15일'!$F330,'2023년 신조차 고장관리 세부현황'!$BC:$BC,"완료",'2023년 신조차 고장관리 세부현황'!$CY:$CY,"방송장치")</f>
        <v>0</v>
      </c>
      <c r="CV330"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분석_15일'!$F330,'2023년 신조차 고장관리 세부현황'!$BC:$BC,"완료",'2023년 신조차 고장관리 세부현황'!$CY:$CY,"방송장치")</f>
        <v>0</v>
      </c>
      <c r="CW330"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분석_15일'!$F330,'2023년 신조차 고장관리 세부현황'!$BC:$BC,"완료",'2023년 신조차 고장관리 세부현황'!$CY:$CY,"방송장치")</f>
        <v>0</v>
      </c>
      <c r="CX330">
        <f>SUM(G330:CW330)</f>
        <v>0</v>
      </c>
    </row>
    <row r="331" spans="6:102" x14ac:dyDescent="0.4">
      <c r="F331" s="200" t="s">
        <v>352</v>
      </c>
    </row>
    <row r="332" spans="6:102" x14ac:dyDescent="0.4">
      <c r="F332" t="s">
        <v>347</v>
      </c>
      <c r="CS332" t="s">
        <v>397</v>
      </c>
    </row>
    <row r="333" spans="6:102" x14ac:dyDescent="0.4">
      <c r="F333" s="85" t="s">
        <v>242</v>
      </c>
      <c r="G333" s="85">
        <v>1</v>
      </c>
      <c r="H333" s="85">
        <v>2</v>
      </c>
      <c r="I333" s="85">
        <v>3</v>
      </c>
      <c r="J333" s="85">
        <v>4</v>
      </c>
      <c r="K333" s="85">
        <v>5</v>
      </c>
      <c r="L333" s="85">
        <v>6</v>
      </c>
      <c r="M333" s="85">
        <v>7</v>
      </c>
      <c r="N333" s="85">
        <v>8</v>
      </c>
      <c r="O333" s="85">
        <v>9</v>
      </c>
      <c r="P333" s="85">
        <v>10</v>
      </c>
      <c r="Q333" s="85">
        <v>11</v>
      </c>
      <c r="R333" s="85">
        <v>12</v>
      </c>
      <c r="S333" s="85">
        <v>13</v>
      </c>
      <c r="T333" s="85">
        <v>14</v>
      </c>
      <c r="U333" s="85">
        <v>15</v>
      </c>
      <c r="V333" s="85">
        <v>16</v>
      </c>
      <c r="W333" s="85">
        <v>17</v>
      </c>
      <c r="X333" s="85">
        <v>18</v>
      </c>
      <c r="Y333" s="85">
        <v>19</v>
      </c>
      <c r="Z333" s="85">
        <v>20</v>
      </c>
      <c r="AA333" s="85">
        <v>21</v>
      </c>
      <c r="AB333" s="85">
        <v>22</v>
      </c>
      <c r="AC333" s="85">
        <v>23</v>
      </c>
      <c r="AD333" s="85">
        <v>24</v>
      </c>
      <c r="AE333" s="85">
        <v>25</v>
      </c>
      <c r="AF333" s="85">
        <v>26</v>
      </c>
      <c r="AG333" s="85">
        <v>27</v>
      </c>
      <c r="AH333" s="85">
        <v>28</v>
      </c>
      <c r="AI333" s="85">
        <v>29</v>
      </c>
      <c r="AJ333" s="85">
        <v>30</v>
      </c>
      <c r="AK333" s="85">
        <v>31</v>
      </c>
      <c r="AL333" s="85">
        <v>32</v>
      </c>
      <c r="AM333" s="85">
        <v>33</v>
      </c>
      <c r="AN333" s="85">
        <v>34</v>
      </c>
      <c r="AO333" s="85">
        <v>35</v>
      </c>
      <c r="AP333" s="85">
        <v>36</v>
      </c>
      <c r="AQ333" s="85">
        <v>37</v>
      </c>
      <c r="AR333" s="85">
        <v>38</v>
      </c>
      <c r="AS333" s="85">
        <v>39</v>
      </c>
      <c r="AT333" s="85">
        <v>40</v>
      </c>
      <c r="AU333" s="85">
        <v>41</v>
      </c>
      <c r="AV333" s="85">
        <v>42</v>
      </c>
      <c r="AW333" s="85">
        <v>43</v>
      </c>
      <c r="AX333" s="85">
        <v>44</v>
      </c>
      <c r="AY333" s="85">
        <v>45</v>
      </c>
      <c r="AZ333" s="85">
        <v>46</v>
      </c>
      <c r="BA333" s="85">
        <v>47</v>
      </c>
      <c r="BB333" s="85">
        <v>48</v>
      </c>
      <c r="BC333" s="85">
        <v>49</v>
      </c>
      <c r="BD333" s="85">
        <v>50</v>
      </c>
      <c r="BE333" s="85">
        <v>51</v>
      </c>
      <c r="BF333" s="85">
        <v>52</v>
      </c>
      <c r="BG333" s="85">
        <v>53</v>
      </c>
      <c r="BH333" s="85">
        <v>54</v>
      </c>
      <c r="BI333" s="85">
        <v>55</v>
      </c>
      <c r="BJ333" s="85">
        <v>56</v>
      </c>
      <c r="BK333" s="85">
        <v>57</v>
      </c>
      <c r="BL333" s="85">
        <v>58</v>
      </c>
      <c r="BM333" s="85">
        <v>59</v>
      </c>
      <c r="BN333" s="85">
        <v>60</v>
      </c>
      <c r="BO333" s="85">
        <v>61</v>
      </c>
      <c r="BP333" s="85">
        <v>62</v>
      </c>
      <c r="BQ333" s="85">
        <v>63</v>
      </c>
      <c r="BR333" s="85">
        <v>64</v>
      </c>
      <c r="BS333" s="85">
        <v>65</v>
      </c>
      <c r="BT333" s="85">
        <v>66</v>
      </c>
      <c r="BU333" s="85">
        <v>67</v>
      </c>
      <c r="BV333" s="85">
        <v>68</v>
      </c>
      <c r="BW333" s="85">
        <v>69</v>
      </c>
      <c r="BX333" s="85">
        <v>70</v>
      </c>
      <c r="BY333" s="85">
        <v>71</v>
      </c>
      <c r="BZ333" s="85">
        <v>72</v>
      </c>
      <c r="CA333" s="85">
        <v>73</v>
      </c>
      <c r="CB333" s="85">
        <v>74</v>
      </c>
      <c r="CC333" s="85">
        <v>75</v>
      </c>
      <c r="CD333" s="85">
        <v>76</v>
      </c>
      <c r="CE333" s="85">
        <v>77</v>
      </c>
      <c r="CF333" s="85">
        <v>78</v>
      </c>
      <c r="CG333" s="85">
        <v>79</v>
      </c>
      <c r="CH333" s="85">
        <v>80</v>
      </c>
      <c r="CI333" s="85">
        <v>81</v>
      </c>
      <c r="CJ333" s="85">
        <v>82</v>
      </c>
      <c r="CK333" s="85">
        <v>83</v>
      </c>
      <c r="CL333" s="85">
        <v>84</v>
      </c>
      <c r="CM333" s="85">
        <v>85</v>
      </c>
      <c r="CN333" s="85">
        <v>86</v>
      </c>
      <c r="CO333" s="85">
        <v>87</v>
      </c>
      <c r="CP333" s="85">
        <v>88</v>
      </c>
      <c r="CQ333" s="85">
        <v>89</v>
      </c>
      <c r="CR333" s="85">
        <v>90</v>
      </c>
      <c r="CS333" s="85">
        <v>91</v>
      </c>
      <c r="CT333" s="85">
        <v>92</v>
      </c>
      <c r="CU333" s="85">
        <v>93</v>
      </c>
      <c r="CV333" s="85">
        <v>94</v>
      </c>
      <c r="CW333" s="85">
        <v>95</v>
      </c>
    </row>
    <row r="334" spans="6:102" x14ac:dyDescent="0.4">
      <c r="F334" s="85" t="s">
        <v>239</v>
      </c>
      <c r="G334" s="139">
        <f>15*G333</f>
        <v>15</v>
      </c>
      <c r="H334" s="139">
        <f t="shared" ref="H334:BS334" si="330">15*H333</f>
        <v>30</v>
      </c>
      <c r="I334" s="139">
        <f t="shared" si="330"/>
        <v>45</v>
      </c>
      <c r="J334" s="139">
        <f t="shared" si="330"/>
        <v>60</v>
      </c>
      <c r="K334" s="139">
        <f t="shared" si="330"/>
        <v>75</v>
      </c>
      <c r="L334" s="139">
        <f t="shared" si="330"/>
        <v>90</v>
      </c>
      <c r="M334" s="139">
        <f t="shared" si="330"/>
        <v>105</v>
      </c>
      <c r="N334" s="139">
        <f t="shared" si="330"/>
        <v>120</v>
      </c>
      <c r="O334" s="139">
        <f t="shared" si="330"/>
        <v>135</v>
      </c>
      <c r="P334" s="139">
        <f t="shared" si="330"/>
        <v>150</v>
      </c>
      <c r="Q334" s="139">
        <f t="shared" si="330"/>
        <v>165</v>
      </c>
      <c r="R334" s="139">
        <f t="shared" si="330"/>
        <v>180</v>
      </c>
      <c r="S334" s="139">
        <f t="shared" si="330"/>
        <v>195</v>
      </c>
      <c r="T334" s="139">
        <f t="shared" si="330"/>
        <v>210</v>
      </c>
      <c r="U334" s="139">
        <f t="shared" si="330"/>
        <v>225</v>
      </c>
      <c r="V334" s="139">
        <f t="shared" si="330"/>
        <v>240</v>
      </c>
      <c r="W334" s="139">
        <f t="shared" si="330"/>
        <v>255</v>
      </c>
      <c r="X334" s="139">
        <f t="shared" si="330"/>
        <v>270</v>
      </c>
      <c r="Y334" s="139">
        <f t="shared" si="330"/>
        <v>285</v>
      </c>
      <c r="Z334" s="139">
        <f t="shared" si="330"/>
        <v>300</v>
      </c>
      <c r="AA334" s="139">
        <f t="shared" si="330"/>
        <v>315</v>
      </c>
      <c r="AB334" s="139">
        <f t="shared" si="330"/>
        <v>330</v>
      </c>
      <c r="AC334" s="139">
        <f t="shared" si="330"/>
        <v>345</v>
      </c>
      <c r="AD334" s="139">
        <f t="shared" si="330"/>
        <v>360</v>
      </c>
      <c r="AE334" s="139">
        <f t="shared" si="330"/>
        <v>375</v>
      </c>
      <c r="AF334" s="139">
        <f t="shared" si="330"/>
        <v>390</v>
      </c>
      <c r="AG334" s="139">
        <f t="shared" si="330"/>
        <v>405</v>
      </c>
      <c r="AH334" s="139">
        <f t="shared" si="330"/>
        <v>420</v>
      </c>
      <c r="AI334" s="139">
        <f t="shared" si="330"/>
        <v>435</v>
      </c>
      <c r="AJ334" s="139">
        <f t="shared" si="330"/>
        <v>450</v>
      </c>
      <c r="AK334" s="139">
        <f t="shared" si="330"/>
        <v>465</v>
      </c>
      <c r="AL334" s="139">
        <f t="shared" si="330"/>
        <v>480</v>
      </c>
      <c r="AM334" s="139">
        <f t="shared" si="330"/>
        <v>495</v>
      </c>
      <c r="AN334" s="139">
        <f t="shared" si="330"/>
        <v>510</v>
      </c>
      <c r="AO334" s="139">
        <f t="shared" si="330"/>
        <v>525</v>
      </c>
      <c r="AP334" s="139">
        <f t="shared" si="330"/>
        <v>540</v>
      </c>
      <c r="AQ334" s="139">
        <f t="shared" si="330"/>
        <v>555</v>
      </c>
      <c r="AR334" s="139">
        <f t="shared" si="330"/>
        <v>570</v>
      </c>
      <c r="AS334" s="139">
        <f t="shared" si="330"/>
        <v>585</v>
      </c>
      <c r="AT334" s="139">
        <f t="shared" si="330"/>
        <v>600</v>
      </c>
      <c r="AU334" s="139">
        <f t="shared" si="330"/>
        <v>615</v>
      </c>
      <c r="AV334" s="139">
        <f t="shared" si="330"/>
        <v>630</v>
      </c>
      <c r="AW334" s="139">
        <f t="shared" si="330"/>
        <v>645</v>
      </c>
      <c r="AX334" s="139">
        <f t="shared" si="330"/>
        <v>660</v>
      </c>
      <c r="AY334" s="139">
        <f t="shared" si="330"/>
        <v>675</v>
      </c>
      <c r="AZ334" s="139">
        <f t="shared" si="330"/>
        <v>690</v>
      </c>
      <c r="BA334" s="139">
        <f t="shared" si="330"/>
        <v>705</v>
      </c>
      <c r="BB334" s="139">
        <f t="shared" si="330"/>
        <v>720</v>
      </c>
      <c r="BC334" s="139">
        <f t="shared" si="330"/>
        <v>735</v>
      </c>
      <c r="BD334" s="139">
        <f t="shared" si="330"/>
        <v>750</v>
      </c>
      <c r="BE334" s="139">
        <f t="shared" si="330"/>
        <v>765</v>
      </c>
      <c r="BF334" s="139">
        <f t="shared" si="330"/>
        <v>780</v>
      </c>
      <c r="BG334" s="139">
        <f t="shared" si="330"/>
        <v>795</v>
      </c>
      <c r="BH334" s="139">
        <f t="shared" si="330"/>
        <v>810</v>
      </c>
      <c r="BI334" s="139">
        <f t="shared" si="330"/>
        <v>825</v>
      </c>
      <c r="BJ334" s="139">
        <f t="shared" si="330"/>
        <v>840</v>
      </c>
      <c r="BK334" s="139">
        <f t="shared" si="330"/>
        <v>855</v>
      </c>
      <c r="BL334" s="139">
        <f t="shared" si="330"/>
        <v>870</v>
      </c>
      <c r="BM334" s="139">
        <f t="shared" si="330"/>
        <v>885</v>
      </c>
      <c r="BN334" s="139">
        <f t="shared" si="330"/>
        <v>900</v>
      </c>
      <c r="BO334" s="139">
        <f t="shared" si="330"/>
        <v>915</v>
      </c>
      <c r="BP334" s="139">
        <f t="shared" si="330"/>
        <v>930</v>
      </c>
      <c r="BQ334" s="139">
        <f t="shared" si="330"/>
        <v>945</v>
      </c>
      <c r="BR334" s="139">
        <f t="shared" si="330"/>
        <v>960</v>
      </c>
      <c r="BS334" s="139">
        <f t="shared" si="330"/>
        <v>975</v>
      </c>
      <c r="BT334" s="139">
        <f t="shared" ref="BT334:CW334" si="331">15*BT333</f>
        <v>990</v>
      </c>
      <c r="BU334" s="139">
        <f t="shared" si="331"/>
        <v>1005</v>
      </c>
      <c r="BV334" s="139">
        <f t="shared" si="331"/>
        <v>1020</v>
      </c>
      <c r="BW334" s="139">
        <f t="shared" si="331"/>
        <v>1035</v>
      </c>
      <c r="BX334" s="139">
        <f t="shared" si="331"/>
        <v>1050</v>
      </c>
      <c r="BY334" s="139">
        <f t="shared" si="331"/>
        <v>1065</v>
      </c>
      <c r="BZ334" s="139">
        <f t="shared" si="331"/>
        <v>1080</v>
      </c>
      <c r="CA334" s="139">
        <f t="shared" si="331"/>
        <v>1095</v>
      </c>
      <c r="CB334" s="139">
        <f t="shared" si="331"/>
        <v>1110</v>
      </c>
      <c r="CC334" s="139">
        <f t="shared" si="331"/>
        <v>1125</v>
      </c>
      <c r="CD334" s="139">
        <f t="shared" si="331"/>
        <v>1140</v>
      </c>
      <c r="CE334" s="139">
        <f t="shared" si="331"/>
        <v>1155</v>
      </c>
      <c r="CF334" s="139">
        <f t="shared" si="331"/>
        <v>1170</v>
      </c>
      <c r="CG334" s="139">
        <f t="shared" si="331"/>
        <v>1185</v>
      </c>
      <c r="CH334" s="139">
        <f t="shared" si="331"/>
        <v>1200</v>
      </c>
      <c r="CI334" s="139">
        <f t="shared" si="331"/>
        <v>1215</v>
      </c>
      <c r="CJ334" s="139">
        <f t="shared" si="331"/>
        <v>1230</v>
      </c>
      <c r="CK334" s="139">
        <f t="shared" si="331"/>
        <v>1245</v>
      </c>
      <c r="CL334" s="139">
        <f t="shared" si="331"/>
        <v>1260</v>
      </c>
      <c r="CM334" s="139">
        <f t="shared" si="331"/>
        <v>1275</v>
      </c>
      <c r="CN334" s="139">
        <f t="shared" si="331"/>
        <v>1290</v>
      </c>
      <c r="CO334" s="139">
        <f t="shared" si="331"/>
        <v>1305</v>
      </c>
      <c r="CP334" s="139">
        <f t="shared" si="331"/>
        <v>1320</v>
      </c>
      <c r="CQ334" s="139">
        <f t="shared" si="331"/>
        <v>1335</v>
      </c>
      <c r="CR334" s="139">
        <f t="shared" si="331"/>
        <v>1350</v>
      </c>
      <c r="CS334" s="139">
        <f t="shared" si="331"/>
        <v>1365</v>
      </c>
      <c r="CT334" s="139">
        <f t="shared" si="331"/>
        <v>1380</v>
      </c>
      <c r="CU334" s="139">
        <f t="shared" si="331"/>
        <v>1395</v>
      </c>
      <c r="CV334" s="139">
        <f t="shared" si="331"/>
        <v>1410</v>
      </c>
      <c r="CW334" s="139">
        <f t="shared" si="331"/>
        <v>1425</v>
      </c>
    </row>
    <row r="335" spans="6:102" x14ac:dyDescent="0.4">
      <c r="F335" s="85" t="s">
        <v>154</v>
      </c>
      <c r="G335" s="85">
        <f>COUNTIFS('2023년 신조차 고장관리 세부현황'!$K:$K,"448R",'2023년 신조차 고장관리 세부현황'!$P:$P,"&gt;="&amp;G333,'2023년 신조차 고장관리 세부현황'!$P:$P,"&lt;"&amp;'트랜드 분석_15일'!G334,'2023년 신조차 고장관리 세부현황'!$BC:$BC,"완료",'2023년 신조차 고장관리 세부현황'!$CY:$CY,"방송장치")</f>
        <v>0</v>
      </c>
      <c r="H335" s="85">
        <f>COUNTIFS('2023년 신조차 고장관리 세부현황'!$K:$K,"448R",'2023년 신조차 고장관리 세부현황'!$P:$P,"&gt;="&amp;'트랜드 분석_15일'!G$27,'2023년 신조차 고장관리 세부현황'!$P:$P,"&lt;"&amp;'트랜드 분석_15일'!H$27,'2023년 신조차 고장관리 세부현황'!$BC:$BC,"완료",'2023년 신조차 고장관리 세부현황'!$CY:$CY,"방송장치")</f>
        <v>0</v>
      </c>
      <c r="I335" s="85">
        <f>COUNTIFS('2023년 신조차 고장관리 세부현황'!$K:$K,"448R",'2023년 신조차 고장관리 세부현황'!$P:$P,"&gt;="&amp;'트랜드 분석_15일'!H$27,'2023년 신조차 고장관리 세부현황'!$P:$P,"&lt;"&amp;'트랜드 분석_15일'!I$27,'2023년 신조차 고장관리 세부현황'!$BC:$BC,"완료",'2023년 신조차 고장관리 세부현황'!$CY:$CY,"방송장치")</f>
        <v>0</v>
      </c>
      <c r="J335" s="85">
        <f>COUNTIFS('2023년 신조차 고장관리 세부현황'!$K:$K,"448R",'2023년 신조차 고장관리 세부현황'!$P:$P,"&gt;="&amp;'트랜드 분석_15일'!I$27,'2023년 신조차 고장관리 세부현황'!$P:$P,"&lt;"&amp;'트랜드 분석_15일'!J$27,'2023년 신조차 고장관리 세부현황'!$BC:$BC,"완료",'2023년 신조차 고장관리 세부현황'!$CY:$CY,"방송장치")</f>
        <v>0</v>
      </c>
      <c r="K335" s="85">
        <f>COUNTIFS('2023년 신조차 고장관리 세부현황'!$K:$K,"448R",'2023년 신조차 고장관리 세부현황'!$P:$P,"&gt;="&amp;'트랜드 분석_15일'!J$27,'2023년 신조차 고장관리 세부현황'!$P:$P,"&lt;"&amp;'트랜드 분석_15일'!K$27,'2023년 신조차 고장관리 세부현황'!$BC:$BC,"완료",'2023년 신조차 고장관리 세부현황'!$CY:$CY,"방송장치")</f>
        <v>0</v>
      </c>
      <c r="L335" s="85">
        <f>COUNTIFS('2023년 신조차 고장관리 세부현황'!$K:$K,"448R",'2023년 신조차 고장관리 세부현황'!$P:$P,"&gt;="&amp;'트랜드 분석_15일'!K$27,'2023년 신조차 고장관리 세부현황'!$P:$P,"&lt;"&amp;'트랜드 분석_15일'!L$27,'2023년 신조차 고장관리 세부현황'!$BC:$BC,"완료",'2023년 신조차 고장관리 세부현황'!$CY:$CY,"방송장치")</f>
        <v>0</v>
      </c>
      <c r="M335" s="85">
        <f>COUNTIFS('2023년 신조차 고장관리 세부현황'!$K:$K,"448R",'2023년 신조차 고장관리 세부현황'!$P:$P,"&gt;="&amp;'트랜드 분석_15일'!L$27,'2023년 신조차 고장관리 세부현황'!$P:$P,"&lt;"&amp;'트랜드 분석_15일'!M$27,'2023년 신조차 고장관리 세부현황'!$BC:$BC,"완료",'2023년 신조차 고장관리 세부현황'!$CY:$CY,"방송장치")</f>
        <v>0</v>
      </c>
      <c r="N335" s="85">
        <f>COUNTIFS('2023년 신조차 고장관리 세부현황'!$K:$K,"448R",'2023년 신조차 고장관리 세부현황'!$P:$P,"&gt;="&amp;'트랜드 분석_15일'!M$27,'2023년 신조차 고장관리 세부현황'!$P:$P,"&lt;"&amp;'트랜드 분석_15일'!N$27,'2023년 신조차 고장관리 세부현황'!$BC:$BC,"완료",'2023년 신조차 고장관리 세부현황'!$CY:$CY,"방송장치")</f>
        <v>0</v>
      </c>
      <c r="O335" s="85">
        <f>COUNTIFS('2023년 신조차 고장관리 세부현황'!$K:$K,"448R",'2023년 신조차 고장관리 세부현황'!$P:$P,"&gt;="&amp;'트랜드 분석_15일'!N$27,'2023년 신조차 고장관리 세부현황'!$P:$P,"&lt;"&amp;'트랜드 분석_15일'!O$27,'2023년 신조차 고장관리 세부현황'!$BC:$BC,"완료",'2023년 신조차 고장관리 세부현황'!$CY:$CY,"방송장치")</f>
        <v>0</v>
      </c>
      <c r="P335" s="85">
        <f ca="1">COUNTIFS('2023년 신조차 고장관리 세부현황'!$K:$K,"448R",'2023년 신조차 고장관리 세부현황'!$P:$P,"&gt;="&amp;'트랜드 분석_15일'!O$27,'2023년 신조차 고장관리 세부현황'!$P:$P,"&lt;"&amp;'트랜드 분석_15일'!P$27,'2023년 신조차 고장관리 세부현황'!$BC:$BC,"완료",'2023년 신조차 고장관리 세부현황'!$CY:$CY,"방송장치")</f>
        <v>0</v>
      </c>
      <c r="Q335" s="85">
        <f ca="1">COUNTIFS('2023년 신조차 고장관리 세부현황'!$K:$K,"448R",'2023년 신조차 고장관리 세부현황'!$P:$P,"&gt;="&amp;'트랜드 분석_15일'!P$27,'2023년 신조차 고장관리 세부현황'!$P:$P,"&lt;"&amp;'트랜드 분석_15일'!Q$27,'2023년 신조차 고장관리 세부현황'!$BC:$BC,"완료",'2023년 신조차 고장관리 세부현황'!$CY:$CY,"방송장치")</f>
        <v>0</v>
      </c>
      <c r="R335" s="85">
        <f ca="1">COUNTIFS('2023년 신조차 고장관리 세부현황'!$K:$K,"448R",'2023년 신조차 고장관리 세부현황'!$P:$P,"&gt;="&amp;'트랜드 분석_15일'!Q$27,'2023년 신조차 고장관리 세부현황'!$P:$P,"&lt;"&amp;'트랜드 분석_15일'!R$27,'2023년 신조차 고장관리 세부현황'!$BC:$BC,"완료",'2023년 신조차 고장관리 세부현황'!$CY:$CY,"방송장치")</f>
        <v>0</v>
      </c>
      <c r="S335" s="85">
        <f ca="1">COUNTIFS('2023년 신조차 고장관리 세부현황'!$K:$K,"448R",'2023년 신조차 고장관리 세부현황'!$P:$P,"&gt;="&amp;'트랜드 분석_15일'!R$27,'2023년 신조차 고장관리 세부현황'!$P:$P,"&lt;"&amp;'트랜드 분석_15일'!S$27,'2023년 신조차 고장관리 세부현황'!$BC:$BC,"완료",'2023년 신조차 고장관리 세부현황'!$CY:$CY,"방송장치")</f>
        <v>0</v>
      </c>
      <c r="T335" s="85">
        <f ca="1">COUNTIFS('2023년 신조차 고장관리 세부현황'!$K:$K,"448R",'2023년 신조차 고장관리 세부현황'!$P:$P,"&gt;="&amp;'트랜드 분석_15일'!S$27,'2023년 신조차 고장관리 세부현황'!$P:$P,"&lt;"&amp;'트랜드 분석_15일'!T$27,'2023년 신조차 고장관리 세부현황'!$BC:$BC,"완료",'2023년 신조차 고장관리 세부현황'!$CY:$CY,"방송장치")</f>
        <v>0</v>
      </c>
      <c r="U335" s="85">
        <f>COUNTIFS('2023년 신조차 고장관리 세부현황'!$K:$K,"448R",'2023년 신조차 고장관리 세부현황'!$P:$P,"&gt;="&amp;'트랜드 분석_15일'!T$27,'2023년 신조차 고장관리 세부현황'!$P:$P,"&lt;"&amp;'트랜드 분석_15일'!U$27,'2023년 신조차 고장관리 세부현황'!$BC:$BC,"완료",'2023년 신조차 고장관리 세부현황'!$CY:$CY,"방송장치")</f>
        <v>0</v>
      </c>
      <c r="V335" s="85">
        <f>COUNTIFS('2023년 신조차 고장관리 세부현황'!$K:$K,"448R",'2023년 신조차 고장관리 세부현황'!$P:$P,"&gt;="&amp;'트랜드 분석_15일'!U$27,'2023년 신조차 고장관리 세부현황'!$P:$P,"&lt;"&amp;'트랜드 분석_15일'!V$27,'2023년 신조차 고장관리 세부현황'!$BC:$BC,"완료",'2023년 신조차 고장관리 세부현황'!$CY:$CY,"방송장치")</f>
        <v>0</v>
      </c>
      <c r="W335" s="85">
        <f ca="1">COUNTIFS('2023년 신조차 고장관리 세부현황'!$K:$K,"448R",'2023년 신조차 고장관리 세부현황'!$P:$P,"&gt;="&amp;'트랜드 분석_15일'!V$27,'2023년 신조차 고장관리 세부현황'!$P:$P,"&lt;"&amp;'트랜드 분석_15일'!W$27,'2023년 신조차 고장관리 세부현황'!$BC:$BC,"완료",'2023년 신조차 고장관리 세부현황'!$CY:$CY,"방송장치")</f>
        <v>0</v>
      </c>
      <c r="X335" s="85">
        <f ca="1">COUNTIFS('2023년 신조차 고장관리 세부현황'!$K:$K,"448R",'2023년 신조차 고장관리 세부현황'!$P:$P,"&gt;="&amp;'트랜드 분석_15일'!W$27,'2023년 신조차 고장관리 세부현황'!$P:$P,"&lt;"&amp;'트랜드 분석_15일'!X$27,'2023년 신조차 고장관리 세부현황'!$BC:$BC,"완료",'2023년 신조차 고장관리 세부현황'!$CY:$CY,"방송장치")</f>
        <v>0</v>
      </c>
      <c r="Y335" s="85">
        <f ca="1">COUNTIFS('2023년 신조차 고장관리 세부현황'!$K:$K,"448R",'2023년 신조차 고장관리 세부현황'!$P:$P,"&gt;="&amp;'트랜드 분석_15일'!X$27,'2023년 신조차 고장관리 세부현황'!$P:$P,"&lt;"&amp;'트랜드 분석_15일'!Y$27,'2023년 신조차 고장관리 세부현황'!$BC:$BC,"완료",'2023년 신조차 고장관리 세부현황'!$CY:$CY,"방송장치")</f>
        <v>0</v>
      </c>
      <c r="Z335" s="85">
        <f ca="1">COUNTIFS('2023년 신조차 고장관리 세부현황'!$K:$K,"448R",'2023년 신조차 고장관리 세부현황'!$P:$P,"&gt;="&amp;'트랜드 분석_15일'!Y$27,'2023년 신조차 고장관리 세부현황'!$P:$P,"&lt;"&amp;'트랜드 분석_15일'!Z$27,'2023년 신조차 고장관리 세부현황'!$BC:$BC,"완료",'2023년 신조차 고장관리 세부현황'!$CY:$CY,"방송장치")</f>
        <v>0</v>
      </c>
      <c r="AA335" s="85">
        <f ca="1">COUNTIFS('2023년 신조차 고장관리 세부현황'!$K:$K,"448R",'2023년 신조차 고장관리 세부현황'!$P:$P,"&gt;="&amp;'트랜드 분석_15일'!Z$27,'2023년 신조차 고장관리 세부현황'!$P:$P,"&lt;"&amp;'트랜드 분석_15일'!AA$27,'2023년 신조차 고장관리 세부현황'!$BC:$BC,"완료",'2023년 신조차 고장관리 세부현황'!$CY:$CY,"방송장치")</f>
        <v>0</v>
      </c>
      <c r="AB335" s="85">
        <f ca="1">COUNTIFS('2023년 신조차 고장관리 세부현황'!$K:$K,"448R",'2023년 신조차 고장관리 세부현황'!$P:$P,"&gt;="&amp;'트랜드 분석_15일'!AA$27,'2023년 신조차 고장관리 세부현황'!$P:$P,"&lt;"&amp;'트랜드 분석_15일'!AB$27,'2023년 신조차 고장관리 세부현황'!$BC:$BC,"완료",'2023년 신조차 고장관리 세부현황'!$CY:$CY,"방송장치")</f>
        <v>0</v>
      </c>
      <c r="AC335" s="85">
        <f ca="1">COUNTIFS('2023년 신조차 고장관리 세부현황'!$K:$K,"448R",'2023년 신조차 고장관리 세부현황'!$P:$P,"&gt;="&amp;'트랜드 분석_15일'!AB$27,'2023년 신조차 고장관리 세부현황'!$P:$P,"&lt;"&amp;'트랜드 분석_15일'!AC$27,'2023년 신조차 고장관리 세부현황'!$BC:$BC,"완료",'2023년 신조차 고장관리 세부현황'!$CY:$CY,"방송장치")</f>
        <v>0</v>
      </c>
      <c r="AD335" s="85">
        <f ca="1">COUNTIFS('2023년 신조차 고장관리 세부현황'!$K:$K,"448R",'2023년 신조차 고장관리 세부현황'!$P:$P,"&gt;="&amp;'트랜드 분석_15일'!AC$27,'2023년 신조차 고장관리 세부현황'!$P:$P,"&lt;"&amp;'트랜드 분석_15일'!AD$27,'2023년 신조차 고장관리 세부현황'!$BC:$BC,"완료",'2023년 신조차 고장관리 세부현황'!$CY:$CY,"방송장치")</f>
        <v>0</v>
      </c>
      <c r="AE335" s="85">
        <f ca="1">COUNTIFS('2023년 신조차 고장관리 세부현황'!$K:$K,"448R",'2023년 신조차 고장관리 세부현황'!$P:$P,"&gt;="&amp;'트랜드 분석_15일'!AD$27,'2023년 신조차 고장관리 세부현황'!$P:$P,"&lt;"&amp;'트랜드 분석_15일'!AE$27,'2023년 신조차 고장관리 세부현황'!$BC:$BC,"완료",'2023년 신조차 고장관리 세부현황'!$CY:$CY,"방송장치")</f>
        <v>0</v>
      </c>
      <c r="AF335" s="85">
        <f ca="1">COUNTIFS('2023년 신조차 고장관리 세부현황'!$K:$K,"448R",'2023년 신조차 고장관리 세부현황'!$P:$P,"&gt;="&amp;'트랜드 분석_15일'!AE$27,'2023년 신조차 고장관리 세부현황'!$P:$P,"&lt;"&amp;'트랜드 분석_15일'!AF$27,'2023년 신조차 고장관리 세부현황'!$BC:$BC,"완료",'2023년 신조차 고장관리 세부현황'!$CY:$CY,"방송장치")</f>
        <v>0</v>
      </c>
      <c r="AG335" s="85">
        <f ca="1">COUNTIFS('2023년 신조차 고장관리 세부현황'!$K:$K,"448R",'2023년 신조차 고장관리 세부현황'!$P:$P,"&gt;="&amp;'트랜드 분석_15일'!AF$27,'2023년 신조차 고장관리 세부현황'!$P:$P,"&lt;"&amp;'트랜드 분석_15일'!AG$27,'2023년 신조차 고장관리 세부현황'!$BC:$BC,"완료",'2023년 신조차 고장관리 세부현황'!$CY:$CY,"방송장치")</f>
        <v>0</v>
      </c>
      <c r="AH335" s="85">
        <f>COUNTIFS('2023년 신조차 고장관리 세부현황'!$K:$K,"448R",'2023년 신조차 고장관리 세부현황'!$P:$P,"&gt;="&amp;'트랜드 분석_15일'!AG$27,'2023년 신조차 고장관리 세부현황'!$P:$P,"&lt;"&amp;'트랜드 분석_15일'!AH$27,'2023년 신조차 고장관리 세부현황'!$BC:$BC,"완료",'2023년 신조차 고장관리 세부현황'!$CY:$CY,"방송장치")</f>
        <v>0</v>
      </c>
      <c r="AI335" s="85">
        <f>COUNTIFS('2023년 신조차 고장관리 세부현황'!$K:$K,"448R",'2023년 신조차 고장관리 세부현황'!$P:$P,"&gt;="&amp;'트랜드 분석_15일'!AH$27,'2023년 신조차 고장관리 세부현황'!$P:$P,"&lt;"&amp;'트랜드 분석_15일'!AI$27,'2023년 신조차 고장관리 세부현황'!$BC:$BC,"완료",'2023년 신조차 고장관리 세부현황'!$CY:$CY,"방송장치")</f>
        <v>0</v>
      </c>
      <c r="AJ335" s="85">
        <f>COUNTIFS('2023년 신조차 고장관리 세부현황'!$K:$K,"448R",'2023년 신조차 고장관리 세부현황'!$P:$P,"&gt;="&amp;'트랜드 분석_15일'!AI$27,'2023년 신조차 고장관리 세부현황'!$P:$P,"&lt;"&amp;'트랜드 분석_15일'!AJ$27,'2023년 신조차 고장관리 세부현황'!$BC:$BC,"완료",'2023년 신조차 고장관리 세부현황'!$CY:$CY,"방송장치")</f>
        <v>0</v>
      </c>
      <c r="AK335" s="85">
        <f ca="1">COUNTIFS('2023년 신조차 고장관리 세부현황'!$K:$K,"448R",'2023년 신조차 고장관리 세부현황'!$P:$P,"&gt;="&amp;'트랜드 분석_15일'!AJ$27,'2023년 신조차 고장관리 세부현황'!$P:$P,"&lt;"&amp;'트랜드 분석_15일'!AK$27,'2023년 신조차 고장관리 세부현황'!$BC:$BC,"완료",'2023년 신조차 고장관리 세부현황'!$CY:$CY,"방송장치")</f>
        <v>0</v>
      </c>
      <c r="AL335" s="85">
        <f ca="1">COUNTIFS('2023년 신조차 고장관리 세부현황'!$K:$K,"448R",'2023년 신조차 고장관리 세부현황'!$P:$P,"&gt;="&amp;'트랜드 분석_15일'!AK$27,'2023년 신조차 고장관리 세부현황'!$P:$P,"&lt;"&amp;'트랜드 분석_15일'!AL$27,'2023년 신조차 고장관리 세부현황'!$BC:$BC,"완료",'2023년 신조차 고장관리 세부현황'!$CY:$CY,"방송장치")</f>
        <v>0</v>
      </c>
      <c r="AM335" s="85">
        <f>COUNTIFS('2023년 신조차 고장관리 세부현황'!$K:$K,"448R",'2023년 신조차 고장관리 세부현황'!$P:$P,"&gt;="&amp;'트랜드 분석_15일'!AL$27,'2023년 신조차 고장관리 세부현황'!$P:$P,"&lt;"&amp;'트랜드 분석_15일'!AM$27,'2023년 신조차 고장관리 세부현황'!$BC:$BC,"완료",'2023년 신조차 고장관리 세부현황'!$CY:$CY,"방송장치")</f>
        <v>0</v>
      </c>
      <c r="AN335" s="85">
        <f>COUNTIFS('2023년 신조차 고장관리 세부현황'!$K:$K,"448R",'2023년 신조차 고장관리 세부현황'!$P:$P,"&gt;="&amp;'트랜드 분석_15일'!AM$27,'2023년 신조차 고장관리 세부현황'!$P:$P,"&lt;"&amp;'트랜드 분석_15일'!AN$27,'2023년 신조차 고장관리 세부현황'!$BC:$BC,"완료",'2023년 신조차 고장관리 세부현황'!$CY:$CY,"방송장치")</f>
        <v>0</v>
      </c>
      <c r="AO335" s="85">
        <f ca="1">COUNTIFS('2023년 신조차 고장관리 세부현황'!$K:$K,"448R",'2023년 신조차 고장관리 세부현황'!$P:$P,"&gt;="&amp;'트랜드 분석_15일'!AN$27,'2023년 신조차 고장관리 세부현황'!$P:$P,"&lt;"&amp;'트랜드 분석_15일'!AO$27,'2023년 신조차 고장관리 세부현황'!$BC:$BC,"완료",'2023년 신조차 고장관리 세부현황'!$CY:$CY,"방송장치")</f>
        <v>0</v>
      </c>
      <c r="AP335" s="85">
        <f>COUNTIFS('2023년 신조차 고장관리 세부현황'!$K:$K,"448R",'2023년 신조차 고장관리 세부현황'!$P:$P,"&gt;="&amp;'트랜드 분석_15일'!AO$27,'2023년 신조차 고장관리 세부현황'!$P:$P,"&lt;"&amp;'트랜드 분석_15일'!AP$27,'2023년 신조차 고장관리 세부현황'!$BC:$BC,"완료",'2023년 신조차 고장관리 세부현황'!$CY:$CY,"방송장치")</f>
        <v>0</v>
      </c>
      <c r="AQ335" s="85">
        <f ca="1">COUNTIFS('2023년 신조차 고장관리 세부현황'!$K:$K,"448R",'2023년 신조차 고장관리 세부현황'!$P:$P,"&gt;="&amp;'트랜드 분석_15일'!AP$27,'2023년 신조차 고장관리 세부현황'!$P:$P,"&lt;"&amp;'트랜드 분석_15일'!AQ$27,'2023년 신조차 고장관리 세부현황'!$BC:$BC,"완료",'2023년 신조차 고장관리 세부현황'!$CY:$CY,"방송장치")</f>
        <v>0</v>
      </c>
      <c r="AR335" s="85">
        <f>COUNTIFS('2023년 신조차 고장관리 세부현황'!$K:$K,"448R",'2023년 신조차 고장관리 세부현황'!$P:$P,"&gt;="&amp;'트랜드 분석_15일'!AQ$27,'2023년 신조차 고장관리 세부현황'!$P:$P,"&lt;"&amp;'트랜드 분석_15일'!AR$27,'2023년 신조차 고장관리 세부현황'!$BC:$BC,"완료",'2023년 신조차 고장관리 세부현황'!$CY:$CY,"방송장치")</f>
        <v>0</v>
      </c>
      <c r="AS335" s="85">
        <f>COUNTIFS('2023년 신조차 고장관리 세부현황'!$K:$K,"448R",'2023년 신조차 고장관리 세부현황'!$P:$P,"&gt;="&amp;'트랜드 분석_15일'!AR$27,'2023년 신조차 고장관리 세부현황'!$P:$P,"&lt;"&amp;'트랜드 분석_15일'!AS$27,'2023년 신조차 고장관리 세부현황'!$BC:$BC,"완료",'2023년 신조차 고장관리 세부현황'!$CY:$CY,"방송장치")</f>
        <v>0</v>
      </c>
      <c r="AT335" s="85">
        <f>COUNTIFS('2023년 신조차 고장관리 세부현황'!$K:$K,"448R",'2023년 신조차 고장관리 세부현황'!$P:$P,"&gt;="&amp;'트랜드 분석_15일'!AS$27,'2023년 신조차 고장관리 세부현황'!$P:$P,"&lt;"&amp;'트랜드 분석_15일'!AT$27,'2023년 신조차 고장관리 세부현황'!$BC:$BC,"완료",'2023년 신조차 고장관리 세부현황'!$CY:$CY,"방송장치")</f>
        <v>0</v>
      </c>
      <c r="AU335" s="85">
        <f>COUNTIFS('2023년 신조차 고장관리 세부현황'!$K:$K,"448R",'2023년 신조차 고장관리 세부현황'!$P:$P,"&gt;="&amp;'트랜드 분석_15일'!AT$27,'2023년 신조차 고장관리 세부현황'!$P:$P,"&lt;"&amp;'트랜드 분석_15일'!AU$27,'2023년 신조차 고장관리 세부현황'!$BC:$BC,"완료",'2023년 신조차 고장관리 세부현황'!$CY:$CY,"방송장치")</f>
        <v>0</v>
      </c>
      <c r="AV335" s="85">
        <f>COUNTIFS('2023년 신조차 고장관리 세부현황'!$K:$K,"448R",'2023년 신조차 고장관리 세부현황'!$P:$P,"&gt;="&amp;'트랜드 분석_15일'!AU$27,'2023년 신조차 고장관리 세부현황'!$P:$P,"&lt;"&amp;'트랜드 분석_15일'!AV$27,'2023년 신조차 고장관리 세부현황'!$BC:$BC,"완료",'2023년 신조차 고장관리 세부현황'!$CY:$CY,"방송장치")</f>
        <v>0</v>
      </c>
      <c r="AW335" s="85">
        <f>COUNTIFS('2023년 신조차 고장관리 세부현황'!$K:$K,"448R",'2023년 신조차 고장관리 세부현황'!$P:$P,"&gt;="&amp;'트랜드 분석_15일'!AV$27,'2023년 신조차 고장관리 세부현황'!$P:$P,"&lt;"&amp;'트랜드 분석_15일'!AW$27,'2023년 신조차 고장관리 세부현황'!$BC:$BC,"완료",'2023년 신조차 고장관리 세부현황'!$CY:$CY,"방송장치")</f>
        <v>0</v>
      </c>
      <c r="AX335" s="85">
        <f>COUNTIFS('2023년 신조차 고장관리 세부현황'!$K:$K,"448R",'2023년 신조차 고장관리 세부현황'!$P:$P,"&gt;="&amp;'트랜드 분석_15일'!AW$27,'2023년 신조차 고장관리 세부현황'!$P:$P,"&lt;"&amp;'트랜드 분석_15일'!AX$27,'2023년 신조차 고장관리 세부현황'!$BC:$BC,"완료",'2023년 신조차 고장관리 세부현황'!$CY:$CY,"방송장치")</f>
        <v>0</v>
      </c>
      <c r="AY335" s="85">
        <f>COUNTIFS('2023년 신조차 고장관리 세부현황'!$K:$K,"448R",'2023년 신조차 고장관리 세부현황'!$P:$P,"&gt;="&amp;'트랜드 분석_15일'!AX$27,'2023년 신조차 고장관리 세부현황'!$P:$P,"&lt;"&amp;'트랜드 분석_15일'!AY$27,'2023년 신조차 고장관리 세부현황'!$BC:$BC,"완료",'2023년 신조차 고장관리 세부현황'!$CY:$CY,"방송장치")</f>
        <v>0</v>
      </c>
      <c r="AZ335" s="85">
        <f>COUNTIFS('2023년 신조차 고장관리 세부현황'!$K:$K,"448R",'2023년 신조차 고장관리 세부현황'!$P:$P,"&gt;="&amp;'트랜드 분석_15일'!AY$27,'2023년 신조차 고장관리 세부현황'!$P:$P,"&lt;"&amp;'트랜드 분석_15일'!AZ$27,'2023년 신조차 고장관리 세부현황'!$BC:$BC,"완료",'2023년 신조차 고장관리 세부현황'!$CY:$CY,"방송장치")</f>
        <v>0</v>
      </c>
      <c r="BA335" s="85">
        <f>COUNTIFS('2023년 신조차 고장관리 세부현황'!$K:$K,"448R",'2023년 신조차 고장관리 세부현황'!$P:$P,"&gt;="&amp;'트랜드 분석_15일'!AZ$27,'2023년 신조차 고장관리 세부현황'!$P:$P,"&lt;"&amp;'트랜드 분석_15일'!BA$27,'2023년 신조차 고장관리 세부현황'!$BC:$BC,"완료",'2023년 신조차 고장관리 세부현황'!$CY:$CY,"방송장치")</f>
        <v>0</v>
      </c>
      <c r="BB335" s="85">
        <f>COUNTIFS('2023년 신조차 고장관리 세부현황'!$K:$K,"448R",'2023년 신조차 고장관리 세부현황'!$P:$P,"&gt;="&amp;'트랜드 분석_15일'!BA$27,'2023년 신조차 고장관리 세부현황'!$P:$P,"&lt;"&amp;'트랜드 분석_15일'!BB$27,'2023년 신조차 고장관리 세부현황'!$BC:$BC,"완료",'2023년 신조차 고장관리 세부현황'!$CY:$CY,"방송장치")</f>
        <v>0</v>
      </c>
      <c r="BC335" s="85">
        <f>COUNTIFS('2023년 신조차 고장관리 세부현황'!$K:$K,"448R",'2023년 신조차 고장관리 세부현황'!$P:$P,"&gt;="&amp;'트랜드 분석_15일'!BB$27,'2023년 신조차 고장관리 세부현황'!$P:$P,"&lt;"&amp;'트랜드 분석_15일'!BC$27,'2023년 신조차 고장관리 세부현황'!$BC:$BC,"완료",'2023년 신조차 고장관리 세부현황'!$CY:$CY,"방송장치")</f>
        <v>0</v>
      </c>
      <c r="BD335" s="85">
        <f>COUNTIFS('2023년 신조차 고장관리 세부현황'!$K:$K,"448R",'2023년 신조차 고장관리 세부현황'!$P:$P,"&gt;="&amp;'트랜드 분석_15일'!BC$27,'2023년 신조차 고장관리 세부현황'!$P:$P,"&lt;"&amp;'트랜드 분석_15일'!BD$27,'2023년 신조차 고장관리 세부현황'!$BC:$BC,"완료",'2023년 신조차 고장관리 세부현황'!$CY:$CY,"방송장치")</f>
        <v>0</v>
      </c>
      <c r="BE335" s="85">
        <f>COUNTIFS('2023년 신조차 고장관리 세부현황'!$K:$K,"448R",'2023년 신조차 고장관리 세부현황'!$P:$P,"&gt;="&amp;'트랜드 분석_15일'!BD$27,'2023년 신조차 고장관리 세부현황'!$P:$P,"&lt;"&amp;'트랜드 분석_15일'!BE$27,'2023년 신조차 고장관리 세부현황'!$BC:$BC,"완료",'2023년 신조차 고장관리 세부현황'!$CY:$CY,"방송장치")</f>
        <v>0</v>
      </c>
      <c r="BF335" s="85">
        <f>COUNTIFS('2023년 신조차 고장관리 세부현황'!$K:$K,"448R",'2023년 신조차 고장관리 세부현황'!$P:$P,"&gt;="&amp;'트랜드 분석_15일'!BE$27,'2023년 신조차 고장관리 세부현황'!$P:$P,"&lt;"&amp;'트랜드 분석_15일'!BF$27,'2023년 신조차 고장관리 세부현황'!$BC:$BC,"완료",'2023년 신조차 고장관리 세부현황'!$CY:$CY,"방송장치")</f>
        <v>0</v>
      </c>
      <c r="BG335" s="85">
        <f>COUNTIFS('2023년 신조차 고장관리 세부현황'!$K:$K,"448R",'2023년 신조차 고장관리 세부현황'!$P:$P,"&gt;="&amp;'트랜드 분석_15일'!BF$27,'2023년 신조차 고장관리 세부현황'!$P:$P,"&lt;"&amp;'트랜드 분석_15일'!BG$27,'2023년 신조차 고장관리 세부현황'!$BC:$BC,"완료",'2023년 신조차 고장관리 세부현황'!$CY:$CY,"방송장치")</f>
        <v>0</v>
      </c>
      <c r="BH335" s="85">
        <f>COUNTIFS('2023년 신조차 고장관리 세부현황'!$K:$K,"448R",'2023년 신조차 고장관리 세부현황'!$P:$P,"&gt;="&amp;'트랜드 분석_15일'!BG$27,'2023년 신조차 고장관리 세부현황'!$P:$P,"&lt;"&amp;'트랜드 분석_15일'!BH$27,'2023년 신조차 고장관리 세부현황'!$BC:$BC,"완료",'2023년 신조차 고장관리 세부현황'!$CY:$CY,"방송장치")</f>
        <v>0</v>
      </c>
      <c r="BI335" s="85">
        <f>COUNTIFS('2023년 신조차 고장관리 세부현황'!$K:$K,"448R",'2023년 신조차 고장관리 세부현황'!$P:$P,"&gt;="&amp;'트랜드 분석_15일'!BH$27,'2023년 신조차 고장관리 세부현황'!$P:$P,"&lt;"&amp;'트랜드 분석_15일'!BI$27,'2023년 신조차 고장관리 세부현황'!$BC:$BC,"완료",'2023년 신조차 고장관리 세부현황'!$CY:$CY,"방송장치")</f>
        <v>0</v>
      </c>
      <c r="BJ335" s="85">
        <f>COUNTIFS('2023년 신조차 고장관리 세부현황'!$K:$K,"448R",'2023년 신조차 고장관리 세부현황'!$P:$P,"&gt;="&amp;'트랜드 분석_15일'!BI$27,'2023년 신조차 고장관리 세부현황'!$P:$P,"&lt;"&amp;'트랜드 분석_15일'!BJ$27,'2023년 신조차 고장관리 세부현황'!$BC:$BC,"완료",'2023년 신조차 고장관리 세부현황'!$CY:$CY,"방송장치")</f>
        <v>0</v>
      </c>
      <c r="BK335" s="85">
        <f>COUNTIFS('2023년 신조차 고장관리 세부현황'!$K:$K,"448R",'2023년 신조차 고장관리 세부현황'!$P:$P,"&gt;="&amp;'트랜드 분석_15일'!BJ$27,'2023년 신조차 고장관리 세부현황'!$P:$P,"&lt;"&amp;'트랜드 분석_15일'!BK$27,'2023년 신조차 고장관리 세부현황'!$BC:$BC,"완료",'2023년 신조차 고장관리 세부현황'!$CY:$CY,"방송장치")</f>
        <v>0</v>
      </c>
      <c r="BL335" s="85">
        <f>COUNTIFS('2023년 신조차 고장관리 세부현황'!$K:$K,"448R",'2023년 신조차 고장관리 세부현황'!$P:$P,"&gt;="&amp;'트랜드 분석_15일'!BK$27,'2023년 신조차 고장관리 세부현황'!$P:$P,"&lt;"&amp;'트랜드 분석_15일'!BL$27,'2023년 신조차 고장관리 세부현황'!$BC:$BC,"완료",'2023년 신조차 고장관리 세부현황'!$CY:$CY,"방송장치")</f>
        <v>0</v>
      </c>
      <c r="BM335" s="85">
        <f>COUNTIFS('2023년 신조차 고장관리 세부현황'!$K:$K,"448R",'2023년 신조차 고장관리 세부현황'!$P:$P,"&gt;="&amp;'트랜드 분석_15일'!BL$27,'2023년 신조차 고장관리 세부현황'!$P:$P,"&lt;"&amp;'트랜드 분석_15일'!BM$27,'2023년 신조차 고장관리 세부현황'!$BC:$BC,"완료",'2023년 신조차 고장관리 세부현황'!$CY:$CY,"방송장치")</f>
        <v>0</v>
      </c>
      <c r="BN335" s="85">
        <f>COUNTIFS('2023년 신조차 고장관리 세부현황'!$K:$K,"448R",'2023년 신조차 고장관리 세부현황'!$P:$P,"&gt;="&amp;'트랜드 분석_15일'!BM$27,'2023년 신조차 고장관리 세부현황'!$P:$P,"&lt;"&amp;'트랜드 분석_15일'!BN$27,'2023년 신조차 고장관리 세부현황'!$BC:$BC,"완료",'2023년 신조차 고장관리 세부현황'!$CY:$CY,"방송장치")</f>
        <v>0</v>
      </c>
      <c r="BO335" s="85">
        <f>COUNTIFS('2023년 신조차 고장관리 세부현황'!$K:$K,"448R",'2023년 신조차 고장관리 세부현황'!$P:$P,"&gt;="&amp;'트랜드 분석_15일'!BN$27,'2023년 신조차 고장관리 세부현황'!$P:$P,"&lt;"&amp;'트랜드 분석_15일'!BO$27,'2023년 신조차 고장관리 세부현황'!$BC:$BC,"완료",'2023년 신조차 고장관리 세부현황'!$CY:$CY,"방송장치")</f>
        <v>0</v>
      </c>
      <c r="BP335" s="85">
        <f>COUNTIFS('2023년 신조차 고장관리 세부현황'!$K:$K,"448R",'2023년 신조차 고장관리 세부현황'!$P:$P,"&gt;="&amp;'트랜드 분석_15일'!BO$27,'2023년 신조차 고장관리 세부현황'!$P:$P,"&lt;"&amp;'트랜드 분석_15일'!BP$27,'2023년 신조차 고장관리 세부현황'!$BC:$BC,"완료",'2023년 신조차 고장관리 세부현황'!$CY:$CY,"방송장치")</f>
        <v>0</v>
      </c>
      <c r="BQ335" s="85">
        <f>COUNTIFS('2023년 신조차 고장관리 세부현황'!$K:$K,"448R",'2023년 신조차 고장관리 세부현황'!$P:$P,"&gt;="&amp;'트랜드 분석_15일'!BP$27,'2023년 신조차 고장관리 세부현황'!$P:$P,"&lt;"&amp;'트랜드 분석_15일'!BQ$27,'2023년 신조차 고장관리 세부현황'!$BC:$BC,"완료",'2023년 신조차 고장관리 세부현황'!$CY:$CY,"방송장치")</f>
        <v>0</v>
      </c>
      <c r="BR335" s="85">
        <f>COUNTIFS('2023년 신조차 고장관리 세부현황'!$K:$K,"448R",'2023년 신조차 고장관리 세부현황'!$P:$P,"&gt;="&amp;'트랜드 분석_15일'!BQ$27,'2023년 신조차 고장관리 세부현황'!$P:$P,"&lt;"&amp;'트랜드 분석_15일'!BR$27,'2023년 신조차 고장관리 세부현황'!$BC:$BC,"완료",'2023년 신조차 고장관리 세부현황'!$CY:$CY,"방송장치")</f>
        <v>0</v>
      </c>
      <c r="BS335" s="85">
        <f>COUNTIFS('2023년 신조차 고장관리 세부현황'!$K:$K,"448R",'2023년 신조차 고장관리 세부현황'!$P:$P,"&gt;="&amp;'트랜드 분석_15일'!BR$27,'2023년 신조차 고장관리 세부현황'!$P:$P,"&lt;"&amp;'트랜드 분석_15일'!BS$27,'2023년 신조차 고장관리 세부현황'!$BC:$BC,"완료",'2023년 신조차 고장관리 세부현황'!$CY:$CY,"방송장치")</f>
        <v>0</v>
      </c>
      <c r="BT335" s="85">
        <f>COUNTIFS('2023년 신조차 고장관리 세부현황'!$K:$K,"448R",'2023년 신조차 고장관리 세부현황'!$P:$P,"&gt;="&amp;'트랜드 분석_15일'!BS$27,'2023년 신조차 고장관리 세부현황'!$P:$P,"&lt;"&amp;'트랜드 분석_15일'!BT$27,'2023년 신조차 고장관리 세부현황'!$BC:$BC,"완료",'2023년 신조차 고장관리 세부현황'!$CY:$CY,"방송장치")</f>
        <v>0</v>
      </c>
      <c r="BU335" s="85">
        <f>COUNTIFS('2023년 신조차 고장관리 세부현황'!$K:$K,"448R",'2023년 신조차 고장관리 세부현황'!$P:$P,"&gt;="&amp;'트랜드 분석_15일'!BT$27,'2023년 신조차 고장관리 세부현황'!$P:$P,"&lt;"&amp;'트랜드 분석_15일'!BU$27,'2023년 신조차 고장관리 세부현황'!$BC:$BC,"완료",'2023년 신조차 고장관리 세부현황'!$CY:$CY,"방송장치")</f>
        <v>0</v>
      </c>
      <c r="BV335" s="85">
        <f>COUNTIFS('2023년 신조차 고장관리 세부현황'!$K:$K,"448R",'2023년 신조차 고장관리 세부현황'!$P:$P,"&gt;="&amp;'트랜드 분석_15일'!BU$27,'2023년 신조차 고장관리 세부현황'!$P:$P,"&lt;"&amp;'트랜드 분석_15일'!BV$27,'2023년 신조차 고장관리 세부현황'!$BC:$BC,"완료",'2023년 신조차 고장관리 세부현황'!$CY:$CY,"방송장치")</f>
        <v>0</v>
      </c>
      <c r="BW335" s="85">
        <f>COUNTIFS('2023년 신조차 고장관리 세부현황'!$K:$K,"448R",'2023년 신조차 고장관리 세부현황'!$P:$P,"&gt;="&amp;'트랜드 분석_15일'!BV$27,'2023년 신조차 고장관리 세부현황'!$P:$P,"&lt;"&amp;'트랜드 분석_15일'!BW$27,'2023년 신조차 고장관리 세부현황'!$BC:$BC,"완료",'2023년 신조차 고장관리 세부현황'!$CY:$CY,"방송장치")</f>
        <v>0</v>
      </c>
      <c r="BX335" s="85">
        <f>COUNTIFS('2023년 신조차 고장관리 세부현황'!$K:$K,"448R",'2023년 신조차 고장관리 세부현황'!$P:$P,"&gt;="&amp;'트랜드 분석_15일'!BW$27,'2023년 신조차 고장관리 세부현황'!$P:$P,"&lt;"&amp;'트랜드 분석_15일'!BX$27,'2023년 신조차 고장관리 세부현황'!$BC:$BC,"완료",'2023년 신조차 고장관리 세부현황'!$CY:$CY,"방송장치")</f>
        <v>0</v>
      </c>
      <c r="BY335" s="85">
        <f>COUNTIFS('2023년 신조차 고장관리 세부현황'!$K:$K,"448R",'2023년 신조차 고장관리 세부현황'!$P:$P,"&gt;="&amp;'트랜드 분석_15일'!BX$27,'2023년 신조차 고장관리 세부현황'!$P:$P,"&lt;"&amp;'트랜드 분석_15일'!BY$27,'2023년 신조차 고장관리 세부현황'!$BC:$BC,"완료",'2023년 신조차 고장관리 세부현황'!$CY:$CY,"방송장치")</f>
        <v>0</v>
      </c>
      <c r="BZ335" s="85">
        <f>COUNTIFS('2023년 신조차 고장관리 세부현황'!$K:$K,"448R",'2023년 신조차 고장관리 세부현황'!$P:$P,"&gt;="&amp;'트랜드 분석_15일'!BY$27,'2023년 신조차 고장관리 세부현황'!$P:$P,"&lt;"&amp;'트랜드 분석_15일'!BZ$27,'2023년 신조차 고장관리 세부현황'!$BC:$BC,"완료",'2023년 신조차 고장관리 세부현황'!$CY:$CY,"방송장치")</f>
        <v>0</v>
      </c>
      <c r="CA335" s="85">
        <f>COUNTIFS('2023년 신조차 고장관리 세부현황'!$K:$K,"448R",'2023년 신조차 고장관리 세부현황'!$P:$P,"&gt;="&amp;'트랜드 분석_15일'!BZ$27,'2023년 신조차 고장관리 세부현황'!$P:$P,"&lt;"&amp;'트랜드 분석_15일'!CA$27,'2023년 신조차 고장관리 세부현황'!$BC:$BC,"완료",'2023년 신조차 고장관리 세부현황'!$CY:$CY,"방송장치")</f>
        <v>0</v>
      </c>
      <c r="CB335" s="85">
        <f>COUNTIFS('2023년 신조차 고장관리 세부현황'!$K:$K,"448R",'2023년 신조차 고장관리 세부현황'!$P:$P,"&gt;="&amp;'트랜드 분석_15일'!CA$27,'2023년 신조차 고장관리 세부현황'!$P:$P,"&lt;"&amp;'트랜드 분석_15일'!CB$27,'2023년 신조차 고장관리 세부현황'!$BC:$BC,"완료",'2023년 신조차 고장관리 세부현황'!$CY:$CY,"방송장치")</f>
        <v>0</v>
      </c>
      <c r="CC335" s="85">
        <f>COUNTIFS('2023년 신조차 고장관리 세부현황'!$K:$K,"448R",'2023년 신조차 고장관리 세부현황'!$P:$P,"&gt;="&amp;'트랜드 분석_15일'!CB$27,'2023년 신조차 고장관리 세부현황'!$P:$P,"&lt;"&amp;'트랜드 분석_15일'!CC$27,'2023년 신조차 고장관리 세부현황'!$BC:$BC,"완료",'2023년 신조차 고장관리 세부현황'!$CY:$CY,"방송장치")</f>
        <v>0</v>
      </c>
      <c r="CD335" s="85">
        <f>COUNTIFS('2023년 신조차 고장관리 세부현황'!$K:$K,"448R",'2023년 신조차 고장관리 세부현황'!$P:$P,"&gt;="&amp;'트랜드 분석_15일'!CC$27,'2023년 신조차 고장관리 세부현황'!$P:$P,"&lt;"&amp;'트랜드 분석_15일'!CD$27,'2023년 신조차 고장관리 세부현황'!$BC:$BC,"완료",'2023년 신조차 고장관리 세부현황'!$CY:$CY,"방송장치")</f>
        <v>0</v>
      </c>
      <c r="CE335" s="85">
        <f>COUNTIFS('2023년 신조차 고장관리 세부현황'!$K:$K,"448R",'2023년 신조차 고장관리 세부현황'!$P:$P,"&gt;="&amp;'트랜드 분석_15일'!CD$27,'2023년 신조차 고장관리 세부현황'!$P:$P,"&lt;"&amp;'트랜드 분석_15일'!CE$27,'2023년 신조차 고장관리 세부현황'!$BC:$BC,"완료",'2023년 신조차 고장관리 세부현황'!$CY:$CY,"방송장치")</f>
        <v>0</v>
      </c>
      <c r="CF335" s="85">
        <f>COUNTIFS('2023년 신조차 고장관리 세부현황'!$K:$K,"448R",'2023년 신조차 고장관리 세부현황'!$P:$P,"&gt;="&amp;'트랜드 분석_15일'!CE$27,'2023년 신조차 고장관리 세부현황'!$P:$P,"&lt;"&amp;'트랜드 분석_15일'!CF$27,'2023년 신조차 고장관리 세부현황'!$BC:$BC,"완료",'2023년 신조차 고장관리 세부현황'!$CY:$CY,"방송장치")</f>
        <v>0</v>
      </c>
      <c r="CG335" s="85">
        <f>COUNTIFS('2023년 신조차 고장관리 세부현황'!$K:$K,"448R",'2023년 신조차 고장관리 세부현황'!$P:$P,"&gt;="&amp;'트랜드 분석_15일'!CF$27,'2023년 신조차 고장관리 세부현황'!$P:$P,"&lt;"&amp;'트랜드 분석_15일'!CG$27,'2023년 신조차 고장관리 세부현황'!$BC:$BC,"완료",'2023년 신조차 고장관리 세부현황'!$CY:$CY,"방송장치")</f>
        <v>0</v>
      </c>
      <c r="CH335" s="85">
        <f>COUNTIFS('2023년 신조차 고장관리 세부현황'!$K:$K,"448R",'2023년 신조차 고장관리 세부현황'!$P:$P,"&gt;="&amp;'트랜드 분석_15일'!CG$27,'2023년 신조차 고장관리 세부현황'!$P:$P,"&lt;"&amp;'트랜드 분석_15일'!CH$27,'2023년 신조차 고장관리 세부현황'!$BC:$BC,"완료",'2023년 신조차 고장관리 세부현황'!$CY:$CY,"방송장치")</f>
        <v>0</v>
      </c>
      <c r="CI335" s="85">
        <f>COUNTIFS('2023년 신조차 고장관리 세부현황'!$K:$K,"448R",'2023년 신조차 고장관리 세부현황'!$P:$P,"&gt;="&amp;'트랜드 분석_15일'!CH$27,'2023년 신조차 고장관리 세부현황'!$P:$P,"&lt;"&amp;'트랜드 분석_15일'!CI$27,'2023년 신조차 고장관리 세부현황'!$BC:$BC,"완료",'2023년 신조차 고장관리 세부현황'!$CY:$CY,"방송장치")</f>
        <v>0</v>
      </c>
      <c r="CJ335" s="85">
        <f>COUNTIFS('2023년 신조차 고장관리 세부현황'!$K:$K,"448R",'2023년 신조차 고장관리 세부현황'!$P:$P,"&gt;="&amp;'트랜드 분석_15일'!CI$27,'2023년 신조차 고장관리 세부현황'!$P:$P,"&lt;"&amp;'트랜드 분석_15일'!CJ$27,'2023년 신조차 고장관리 세부현황'!$BC:$BC,"완료",'2023년 신조차 고장관리 세부현황'!$CY:$CY,"방송장치")</f>
        <v>0</v>
      </c>
      <c r="CK335" s="85">
        <f>COUNTIFS('2023년 신조차 고장관리 세부현황'!$K:$K,"448R",'2023년 신조차 고장관리 세부현황'!$P:$P,"&gt;="&amp;'트랜드 분석_15일'!CJ$27,'2023년 신조차 고장관리 세부현황'!$P:$P,"&lt;"&amp;'트랜드 분석_15일'!CK$27,'2023년 신조차 고장관리 세부현황'!$BC:$BC,"완료",'2023년 신조차 고장관리 세부현황'!$CY:$CY,"방송장치")</f>
        <v>0</v>
      </c>
      <c r="CL335" s="85">
        <f>COUNTIFS('2023년 신조차 고장관리 세부현황'!$K:$K,"448R",'2023년 신조차 고장관리 세부현황'!$P:$P,"&gt;="&amp;'트랜드 분석_15일'!CK$27,'2023년 신조차 고장관리 세부현황'!$P:$P,"&lt;"&amp;'트랜드 분석_15일'!CL$27,'2023년 신조차 고장관리 세부현황'!$BC:$BC,"완료",'2023년 신조차 고장관리 세부현황'!$CY:$CY,"방송장치")</f>
        <v>0</v>
      </c>
      <c r="CM335" s="85">
        <f>COUNTIFS('2023년 신조차 고장관리 세부현황'!$K:$K,"448R",'2023년 신조차 고장관리 세부현황'!$P:$P,"&gt;="&amp;'트랜드 분석_15일'!CL$27,'2023년 신조차 고장관리 세부현황'!$P:$P,"&lt;"&amp;'트랜드 분석_15일'!CM$27,'2023년 신조차 고장관리 세부현황'!$BC:$BC,"완료",'2023년 신조차 고장관리 세부현황'!$CY:$CY,"방송장치")</f>
        <v>0</v>
      </c>
      <c r="CN335" s="85">
        <f>COUNTIFS('2023년 신조차 고장관리 세부현황'!$K:$K,"448R",'2023년 신조차 고장관리 세부현황'!$P:$P,"&gt;="&amp;'트랜드 분석_15일'!CM$27,'2023년 신조차 고장관리 세부현황'!$P:$P,"&lt;"&amp;'트랜드 분석_15일'!CN$27,'2023년 신조차 고장관리 세부현황'!$BC:$BC,"완료",'2023년 신조차 고장관리 세부현황'!$CY:$CY,"방송장치")</f>
        <v>0</v>
      </c>
      <c r="CO335" s="85">
        <f>COUNTIFS('2023년 신조차 고장관리 세부현황'!$K:$K,"448R",'2023년 신조차 고장관리 세부현황'!$P:$P,"&gt;="&amp;'트랜드 분석_15일'!CN$27,'2023년 신조차 고장관리 세부현황'!$P:$P,"&lt;"&amp;'트랜드 분석_15일'!CO$27,'2023년 신조차 고장관리 세부현황'!$BC:$BC,"완료",'2023년 신조차 고장관리 세부현황'!$CY:$CY,"방송장치")</f>
        <v>0</v>
      </c>
      <c r="CP335" s="85">
        <f>COUNTIFS('2023년 신조차 고장관리 세부현황'!$K:$K,"448R",'2023년 신조차 고장관리 세부현황'!$P:$P,"&gt;="&amp;'트랜드 분석_15일'!CO$27,'2023년 신조차 고장관리 세부현황'!$P:$P,"&lt;"&amp;'트랜드 분석_15일'!CP$27,'2023년 신조차 고장관리 세부현황'!$BC:$BC,"완료",'2023년 신조차 고장관리 세부현황'!$CY:$CY,"방송장치")</f>
        <v>0</v>
      </c>
      <c r="CQ335" s="85">
        <f>COUNTIFS('2023년 신조차 고장관리 세부현황'!$K:$K,"448R",'2023년 신조차 고장관리 세부현황'!$P:$P,"&gt;="&amp;'트랜드 분석_15일'!CP$27,'2023년 신조차 고장관리 세부현황'!$P:$P,"&lt;"&amp;'트랜드 분석_15일'!CQ$27,'2023년 신조차 고장관리 세부현황'!$BC:$BC,"완료",'2023년 신조차 고장관리 세부현황'!$CY:$CY,"방송장치")</f>
        <v>0</v>
      </c>
      <c r="CR335" s="85">
        <f>COUNTIFS('2023년 신조차 고장관리 세부현황'!$K:$K,"448R",'2023년 신조차 고장관리 세부현황'!$P:$P,"&gt;="&amp;'트랜드 분석_15일'!CQ$27,'2023년 신조차 고장관리 세부현황'!$P:$P,"&lt;"&amp;'트랜드 분석_15일'!CR$27,'2023년 신조차 고장관리 세부현황'!$BC:$BC,"완료",'2023년 신조차 고장관리 세부현황'!$CY:$CY,"방송장치")</f>
        <v>0</v>
      </c>
      <c r="CS335" s="85">
        <f>COUNTIFS('2023년 신조차 고장관리 세부현황'!$K:$K,"448R",'2023년 신조차 고장관리 세부현황'!$P:$P,"&gt;="&amp;'트랜드 분석_15일'!CR$27,'2023년 신조차 고장관리 세부현황'!$P:$P,"&lt;"&amp;'트랜드 분석_15일'!CS$27,'2023년 신조차 고장관리 세부현황'!$BC:$BC,"완료",'2023년 신조차 고장관리 세부현황'!$CY:$CY,"방송장치")</f>
        <v>0</v>
      </c>
      <c r="CT335" s="85">
        <f>COUNTIFS('2023년 신조차 고장관리 세부현황'!$K:$K,"448R",'2023년 신조차 고장관리 세부현황'!$P:$P,"&gt;="&amp;'트랜드 분석_15일'!CS$27,'2023년 신조차 고장관리 세부현황'!$P:$P,"&lt;"&amp;'트랜드 분석_15일'!CT$27,'2023년 신조차 고장관리 세부현황'!$BC:$BC,"완료",'2023년 신조차 고장관리 세부현황'!$CY:$CY,"방송장치")</f>
        <v>0</v>
      </c>
      <c r="CU335" s="85">
        <f>COUNTIFS('2023년 신조차 고장관리 세부현황'!$K:$K,"448R",'2023년 신조차 고장관리 세부현황'!$P:$P,"&gt;="&amp;'트랜드 분석_15일'!CT$27,'2023년 신조차 고장관리 세부현황'!$P:$P,"&lt;"&amp;'트랜드 분석_15일'!CU$27,'2023년 신조차 고장관리 세부현황'!$BC:$BC,"완료",'2023년 신조차 고장관리 세부현황'!$CY:$CY,"방송장치")</f>
        <v>0</v>
      </c>
      <c r="CV335" s="85">
        <f>COUNTIFS('2023년 신조차 고장관리 세부현황'!$K:$K,"448R",'2023년 신조차 고장관리 세부현황'!$P:$P,"&gt;="&amp;'트랜드 분석_15일'!CU$27,'2023년 신조차 고장관리 세부현황'!$P:$P,"&lt;"&amp;'트랜드 분석_15일'!CV$27,'2023년 신조차 고장관리 세부현황'!$BC:$BC,"완료",'2023년 신조차 고장관리 세부현황'!$CY:$CY,"방송장치")</f>
        <v>0</v>
      </c>
      <c r="CW335" s="85">
        <f>COUNTIFS('2023년 신조차 고장관리 세부현황'!$K:$K,"448R",'2023년 신조차 고장관리 세부현황'!$P:$P,"&gt;="&amp;'트랜드 분석_15일'!CV$27,'2023년 신조차 고장관리 세부현황'!$P:$P,"&lt;"&amp;'트랜드 분석_15일'!CW$27,'2023년 신조차 고장관리 세부현황'!$BC:$BC,"완료",'2023년 신조차 고장관리 세부현황'!$CY:$CY,"방송장치")</f>
        <v>0</v>
      </c>
      <c r="CX335">
        <f ca="1">SUM(G335:CW335)</f>
        <v>0</v>
      </c>
    </row>
    <row r="336" spans="6:102" x14ac:dyDescent="0.4">
      <c r="F336" s="85" t="s">
        <v>164</v>
      </c>
      <c r="G336" s="85">
        <f>COUNTIFS('2023년 신조차 고장관리 세부현황'!$K:$K,"448R",'2023년 신조차 고장관리 세부현황'!$P:$P,"&gt;="&amp;$G$26,'2023년 신조차 고장관리 세부현황'!$P:$P,"&lt;"&amp;'트랜드 분석_15일'!G$27,'2023년 신조차 고장관리 세부현황'!$S:$S,'트랜드 분석_15일'!$F336,'2023년 신조차 고장관리 세부현황'!$BC:$BC,"완료",'2023년 신조차 고장관리 세부현황'!$CY:$CY,"방송장치")</f>
        <v>0</v>
      </c>
      <c r="H336"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분석_15일'!$F336,'2023년 신조차 고장관리 세부현황'!$BC:$BC,"완료",'2023년 신조차 고장관리 세부현황'!$CY:$CY,"방송장치")</f>
        <v>0</v>
      </c>
      <c r="I336"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분석_15일'!$F336,'2023년 신조차 고장관리 세부현황'!$BC:$BC,"완료",'2023년 신조차 고장관리 세부현황'!$CY:$CY,"방송장치")</f>
        <v>0</v>
      </c>
      <c r="J336"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분석_15일'!$F336,'2023년 신조차 고장관리 세부현황'!$BC:$BC,"완료",'2023년 신조차 고장관리 세부현황'!$CY:$CY,"방송장치")</f>
        <v>0</v>
      </c>
      <c r="K336"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분석_15일'!$F336,'2023년 신조차 고장관리 세부현황'!$BC:$BC,"완료",'2023년 신조차 고장관리 세부현황'!$CY:$CY,"방송장치")</f>
        <v>0</v>
      </c>
      <c r="L336"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분석_15일'!$F336,'2023년 신조차 고장관리 세부현황'!$BC:$BC,"완료",'2023년 신조차 고장관리 세부현황'!$CY:$CY,"방송장치")</f>
        <v>0</v>
      </c>
      <c r="M336"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분석_15일'!$F336,'2023년 신조차 고장관리 세부현황'!$BC:$BC,"완료",'2023년 신조차 고장관리 세부현황'!$CY:$CY,"방송장치")</f>
        <v>0</v>
      </c>
      <c r="N336"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분석_15일'!$F336,'2023년 신조차 고장관리 세부현황'!$BC:$BC,"완료",'2023년 신조차 고장관리 세부현황'!$CY:$CY,"방송장치")</f>
        <v>0</v>
      </c>
      <c r="O336"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분석_15일'!$F336,'2023년 신조차 고장관리 세부현황'!$BC:$BC,"완료",'2023년 신조차 고장관리 세부현황'!$CY:$CY,"방송장치")</f>
        <v>0</v>
      </c>
      <c r="P336"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분석_15일'!$F336,'2023년 신조차 고장관리 세부현황'!$BC:$BC,"완료",'2023년 신조차 고장관리 세부현황'!$CY:$CY,"방송장치")</f>
        <v>0</v>
      </c>
      <c r="Q336"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분석_15일'!$F336,'2023년 신조차 고장관리 세부현황'!$BC:$BC,"완료",'2023년 신조차 고장관리 세부현황'!$CY:$CY,"방송장치")</f>
        <v>0</v>
      </c>
      <c r="R336"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분석_15일'!$F336,'2023년 신조차 고장관리 세부현황'!$BC:$BC,"완료",'2023년 신조차 고장관리 세부현황'!$CY:$CY,"방송장치")</f>
        <v>0</v>
      </c>
      <c r="S336"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분석_15일'!$F336,'2023년 신조차 고장관리 세부현황'!$BC:$BC,"완료",'2023년 신조차 고장관리 세부현황'!$CY:$CY,"방송장치")</f>
        <v>0</v>
      </c>
      <c r="T336"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분석_15일'!$F336,'2023년 신조차 고장관리 세부현황'!$BC:$BC,"완료",'2023년 신조차 고장관리 세부현황'!$CY:$CY,"방송장치")</f>
        <v>0</v>
      </c>
      <c r="U336"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분석_15일'!$F336,'2023년 신조차 고장관리 세부현황'!$BC:$BC,"완료",'2023년 신조차 고장관리 세부현황'!$CY:$CY,"방송장치")</f>
        <v>0</v>
      </c>
      <c r="V336"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분석_15일'!$F336,'2023년 신조차 고장관리 세부현황'!$BC:$BC,"완료",'2023년 신조차 고장관리 세부현황'!$CY:$CY,"방송장치")</f>
        <v>0</v>
      </c>
      <c r="W336"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분석_15일'!$F336,'2023년 신조차 고장관리 세부현황'!$BC:$BC,"완료",'2023년 신조차 고장관리 세부현황'!$CY:$CY,"방송장치")</f>
        <v>0</v>
      </c>
      <c r="X336"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분석_15일'!$F336,'2023년 신조차 고장관리 세부현황'!$BC:$BC,"완료",'2023년 신조차 고장관리 세부현황'!$CY:$CY,"방송장치")</f>
        <v>0</v>
      </c>
      <c r="Y336"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분석_15일'!$F336,'2023년 신조차 고장관리 세부현황'!$BC:$BC,"완료",'2023년 신조차 고장관리 세부현황'!$CY:$CY,"방송장치")</f>
        <v>0</v>
      </c>
      <c r="Z336"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분석_15일'!$F336,'2023년 신조차 고장관리 세부현황'!$BC:$BC,"완료",'2023년 신조차 고장관리 세부현황'!$CY:$CY,"방송장치")</f>
        <v>0</v>
      </c>
      <c r="AA336"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분석_15일'!$F336,'2023년 신조차 고장관리 세부현황'!$BC:$BC,"완료",'2023년 신조차 고장관리 세부현황'!$CY:$CY,"방송장치")</f>
        <v>0</v>
      </c>
      <c r="AB336"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분석_15일'!$F336,'2023년 신조차 고장관리 세부현황'!$BC:$BC,"완료",'2023년 신조차 고장관리 세부현황'!$CY:$CY,"방송장치")</f>
        <v>0</v>
      </c>
      <c r="AC336"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분석_15일'!$F336,'2023년 신조차 고장관리 세부현황'!$BC:$BC,"완료",'2023년 신조차 고장관리 세부현황'!$CY:$CY,"방송장치")</f>
        <v>0</v>
      </c>
      <c r="AD336"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분석_15일'!$F336,'2023년 신조차 고장관리 세부현황'!$BC:$BC,"완료",'2023년 신조차 고장관리 세부현황'!$CY:$CY,"방송장치")</f>
        <v>0</v>
      </c>
      <c r="AE336"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분석_15일'!$F336,'2023년 신조차 고장관리 세부현황'!$BC:$BC,"완료",'2023년 신조차 고장관리 세부현황'!$CY:$CY,"방송장치")</f>
        <v>0</v>
      </c>
      <c r="AF336"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분석_15일'!$F336,'2023년 신조차 고장관리 세부현황'!$BC:$BC,"완료",'2023년 신조차 고장관리 세부현황'!$CY:$CY,"방송장치")</f>
        <v>0</v>
      </c>
      <c r="AG336"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분석_15일'!$F336,'2023년 신조차 고장관리 세부현황'!$BC:$BC,"완료",'2023년 신조차 고장관리 세부현황'!$CY:$CY,"방송장치")</f>
        <v>0</v>
      </c>
      <c r="AH336"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분석_15일'!$F336,'2023년 신조차 고장관리 세부현황'!$BC:$BC,"완료",'2023년 신조차 고장관리 세부현황'!$CY:$CY,"방송장치")</f>
        <v>0</v>
      </c>
      <c r="AI336"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분석_15일'!$F336,'2023년 신조차 고장관리 세부현황'!$BC:$BC,"완료",'2023년 신조차 고장관리 세부현황'!$CY:$CY,"방송장치")</f>
        <v>0</v>
      </c>
      <c r="AJ336"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분석_15일'!$F336,'2023년 신조차 고장관리 세부현황'!$BC:$BC,"완료",'2023년 신조차 고장관리 세부현황'!$CY:$CY,"방송장치")</f>
        <v>0</v>
      </c>
      <c r="AK336"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분석_15일'!$F336,'2023년 신조차 고장관리 세부현황'!$BC:$BC,"완료",'2023년 신조차 고장관리 세부현황'!$CY:$CY,"방송장치")</f>
        <v>0</v>
      </c>
      <c r="AL336"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분석_15일'!$F336,'2023년 신조차 고장관리 세부현황'!$BC:$BC,"완료",'2023년 신조차 고장관리 세부현황'!$CY:$CY,"방송장치")</f>
        <v>0</v>
      </c>
      <c r="AM336"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분석_15일'!$F336,'2023년 신조차 고장관리 세부현황'!$BC:$BC,"완료",'2023년 신조차 고장관리 세부현황'!$CY:$CY,"방송장치")</f>
        <v>0</v>
      </c>
      <c r="AN336"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분석_15일'!$F336,'2023년 신조차 고장관리 세부현황'!$BC:$BC,"완료",'2023년 신조차 고장관리 세부현황'!$CY:$CY,"방송장치")</f>
        <v>0</v>
      </c>
      <c r="AO336"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분석_15일'!$F336,'2023년 신조차 고장관리 세부현황'!$BC:$BC,"완료",'2023년 신조차 고장관리 세부현황'!$CY:$CY,"방송장치")</f>
        <v>0</v>
      </c>
      <c r="AP336"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분석_15일'!$F336,'2023년 신조차 고장관리 세부현황'!$BC:$BC,"완료",'2023년 신조차 고장관리 세부현황'!$CY:$CY,"방송장치")</f>
        <v>0</v>
      </c>
      <c r="AQ336"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분석_15일'!$F336,'2023년 신조차 고장관리 세부현황'!$BC:$BC,"완료",'2023년 신조차 고장관리 세부현황'!$CY:$CY,"방송장치")</f>
        <v>0</v>
      </c>
      <c r="AR336"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분석_15일'!$F336,'2023년 신조차 고장관리 세부현황'!$BC:$BC,"완료",'2023년 신조차 고장관리 세부현황'!$CY:$CY,"방송장치")</f>
        <v>0</v>
      </c>
      <c r="AS336"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분석_15일'!$F336,'2023년 신조차 고장관리 세부현황'!$BC:$BC,"완료",'2023년 신조차 고장관리 세부현황'!$CY:$CY,"방송장치")</f>
        <v>0</v>
      </c>
      <c r="AT336"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분석_15일'!$F336,'2023년 신조차 고장관리 세부현황'!$BC:$BC,"완료",'2023년 신조차 고장관리 세부현황'!$CY:$CY,"방송장치")</f>
        <v>0</v>
      </c>
      <c r="AU336"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분석_15일'!$F336,'2023년 신조차 고장관리 세부현황'!$BC:$BC,"완료",'2023년 신조차 고장관리 세부현황'!$CY:$CY,"방송장치")</f>
        <v>0</v>
      </c>
      <c r="AV336"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분석_15일'!$F336,'2023년 신조차 고장관리 세부현황'!$BC:$BC,"완료",'2023년 신조차 고장관리 세부현황'!$CY:$CY,"방송장치")</f>
        <v>0</v>
      </c>
      <c r="AW336"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분석_15일'!$F336,'2023년 신조차 고장관리 세부현황'!$BC:$BC,"완료",'2023년 신조차 고장관리 세부현황'!$CY:$CY,"방송장치")</f>
        <v>0</v>
      </c>
      <c r="AX336"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분석_15일'!$F336,'2023년 신조차 고장관리 세부현황'!$BC:$BC,"완료",'2023년 신조차 고장관리 세부현황'!$CY:$CY,"방송장치")</f>
        <v>0</v>
      </c>
      <c r="AY336"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분석_15일'!$F336,'2023년 신조차 고장관리 세부현황'!$BC:$BC,"완료",'2023년 신조차 고장관리 세부현황'!$CY:$CY,"방송장치")</f>
        <v>0</v>
      </c>
      <c r="AZ336"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분석_15일'!$F336,'2023년 신조차 고장관리 세부현황'!$BC:$BC,"완료",'2023년 신조차 고장관리 세부현황'!$CY:$CY,"방송장치")</f>
        <v>0</v>
      </c>
      <c r="BA336"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분석_15일'!$F336,'2023년 신조차 고장관리 세부현황'!$BC:$BC,"완료",'2023년 신조차 고장관리 세부현황'!$CY:$CY,"방송장치")</f>
        <v>0</v>
      </c>
      <c r="BB336"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분석_15일'!$F336,'2023년 신조차 고장관리 세부현황'!$BC:$BC,"완료",'2023년 신조차 고장관리 세부현황'!$CY:$CY,"방송장치")</f>
        <v>0</v>
      </c>
      <c r="BC336"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분석_15일'!$F336,'2023년 신조차 고장관리 세부현황'!$BC:$BC,"완료",'2023년 신조차 고장관리 세부현황'!$CY:$CY,"방송장치")</f>
        <v>0</v>
      </c>
      <c r="BD336"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분석_15일'!$F336,'2023년 신조차 고장관리 세부현황'!$BC:$BC,"완료",'2023년 신조차 고장관리 세부현황'!$CY:$CY,"방송장치")</f>
        <v>0</v>
      </c>
      <c r="BE336"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분석_15일'!$F336,'2023년 신조차 고장관리 세부현황'!$BC:$BC,"완료",'2023년 신조차 고장관리 세부현황'!$CY:$CY,"방송장치")</f>
        <v>0</v>
      </c>
      <c r="BF336"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분석_15일'!$F336,'2023년 신조차 고장관리 세부현황'!$BC:$BC,"완료",'2023년 신조차 고장관리 세부현황'!$CY:$CY,"방송장치")</f>
        <v>0</v>
      </c>
      <c r="BG336"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분석_15일'!$F336,'2023년 신조차 고장관리 세부현황'!$BC:$BC,"완료",'2023년 신조차 고장관리 세부현황'!$CY:$CY,"방송장치")</f>
        <v>0</v>
      </c>
      <c r="BH336"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분석_15일'!$F336,'2023년 신조차 고장관리 세부현황'!$BC:$BC,"완료",'2023년 신조차 고장관리 세부현황'!$CY:$CY,"방송장치")</f>
        <v>0</v>
      </c>
      <c r="BI336"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분석_15일'!$F336,'2023년 신조차 고장관리 세부현황'!$BC:$BC,"완료",'2023년 신조차 고장관리 세부현황'!$CY:$CY,"방송장치")</f>
        <v>0</v>
      </c>
      <c r="BJ336"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분석_15일'!$F336,'2023년 신조차 고장관리 세부현황'!$BC:$BC,"완료",'2023년 신조차 고장관리 세부현황'!$CY:$CY,"방송장치")</f>
        <v>0</v>
      </c>
      <c r="BK336"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분석_15일'!$F336,'2023년 신조차 고장관리 세부현황'!$BC:$BC,"완료",'2023년 신조차 고장관리 세부현황'!$CY:$CY,"방송장치")</f>
        <v>0</v>
      </c>
      <c r="BL336"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분석_15일'!$F336,'2023년 신조차 고장관리 세부현황'!$BC:$BC,"완료",'2023년 신조차 고장관리 세부현황'!$CY:$CY,"방송장치")</f>
        <v>0</v>
      </c>
      <c r="BM336"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분석_15일'!$F336,'2023년 신조차 고장관리 세부현황'!$BC:$BC,"완료",'2023년 신조차 고장관리 세부현황'!$CY:$CY,"방송장치")</f>
        <v>0</v>
      </c>
      <c r="BN336"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분석_15일'!$F336,'2023년 신조차 고장관리 세부현황'!$BC:$BC,"완료",'2023년 신조차 고장관리 세부현황'!$CY:$CY,"방송장치")</f>
        <v>0</v>
      </c>
      <c r="BO336"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분석_15일'!$F336,'2023년 신조차 고장관리 세부현황'!$BC:$BC,"완료",'2023년 신조차 고장관리 세부현황'!$CY:$CY,"방송장치")</f>
        <v>0</v>
      </c>
      <c r="BP336"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분석_15일'!$F336,'2023년 신조차 고장관리 세부현황'!$BC:$BC,"완료",'2023년 신조차 고장관리 세부현황'!$CY:$CY,"방송장치")</f>
        <v>0</v>
      </c>
      <c r="BQ336"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분석_15일'!$F336,'2023년 신조차 고장관리 세부현황'!$BC:$BC,"완료",'2023년 신조차 고장관리 세부현황'!$CY:$CY,"방송장치")</f>
        <v>0</v>
      </c>
      <c r="BR336"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분석_15일'!$F336,'2023년 신조차 고장관리 세부현황'!$BC:$BC,"완료",'2023년 신조차 고장관리 세부현황'!$CY:$CY,"방송장치")</f>
        <v>0</v>
      </c>
      <c r="BS336"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분석_15일'!$F336,'2023년 신조차 고장관리 세부현황'!$BC:$BC,"완료",'2023년 신조차 고장관리 세부현황'!$CY:$CY,"방송장치")</f>
        <v>0</v>
      </c>
      <c r="BT336"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분석_15일'!$F336,'2023년 신조차 고장관리 세부현황'!$BC:$BC,"완료",'2023년 신조차 고장관리 세부현황'!$CY:$CY,"방송장치")</f>
        <v>0</v>
      </c>
      <c r="BU336"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분석_15일'!$F336,'2023년 신조차 고장관리 세부현황'!$BC:$BC,"완료",'2023년 신조차 고장관리 세부현황'!$CY:$CY,"방송장치")</f>
        <v>0</v>
      </c>
      <c r="BV336"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분석_15일'!$F336,'2023년 신조차 고장관리 세부현황'!$BC:$BC,"완료",'2023년 신조차 고장관리 세부현황'!$CY:$CY,"방송장치")</f>
        <v>0</v>
      </c>
      <c r="BW336"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분석_15일'!$F336,'2023년 신조차 고장관리 세부현황'!$BC:$BC,"완료",'2023년 신조차 고장관리 세부현황'!$CY:$CY,"방송장치")</f>
        <v>0</v>
      </c>
      <c r="BX336"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분석_15일'!$F336,'2023년 신조차 고장관리 세부현황'!$BC:$BC,"완료",'2023년 신조차 고장관리 세부현황'!$CY:$CY,"방송장치")</f>
        <v>0</v>
      </c>
      <c r="BY336"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분석_15일'!$F336,'2023년 신조차 고장관리 세부현황'!$BC:$BC,"완료",'2023년 신조차 고장관리 세부현황'!$CY:$CY,"방송장치")</f>
        <v>0</v>
      </c>
      <c r="BZ336"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분석_15일'!$F336,'2023년 신조차 고장관리 세부현황'!$BC:$BC,"완료",'2023년 신조차 고장관리 세부현황'!$CY:$CY,"방송장치")</f>
        <v>0</v>
      </c>
      <c r="CA336"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분석_15일'!$F336,'2023년 신조차 고장관리 세부현황'!$BC:$BC,"완료",'2023년 신조차 고장관리 세부현황'!$CY:$CY,"방송장치")</f>
        <v>0</v>
      </c>
      <c r="CB336"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분석_15일'!$F336,'2023년 신조차 고장관리 세부현황'!$BC:$BC,"완료",'2023년 신조차 고장관리 세부현황'!$CY:$CY,"방송장치")</f>
        <v>0</v>
      </c>
      <c r="CC336"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분석_15일'!$F336,'2023년 신조차 고장관리 세부현황'!$BC:$BC,"완료",'2023년 신조차 고장관리 세부현황'!$CY:$CY,"방송장치")</f>
        <v>0</v>
      </c>
      <c r="CD336"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분석_15일'!$F336,'2023년 신조차 고장관리 세부현황'!$BC:$BC,"완료",'2023년 신조차 고장관리 세부현황'!$CY:$CY,"방송장치")</f>
        <v>0</v>
      </c>
      <c r="CE336"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분석_15일'!$F336,'2023년 신조차 고장관리 세부현황'!$BC:$BC,"완료",'2023년 신조차 고장관리 세부현황'!$CY:$CY,"방송장치")</f>
        <v>0</v>
      </c>
      <c r="CF336"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분석_15일'!$F336,'2023년 신조차 고장관리 세부현황'!$BC:$BC,"완료",'2023년 신조차 고장관리 세부현황'!$CY:$CY,"방송장치")</f>
        <v>0</v>
      </c>
      <c r="CG336"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분석_15일'!$F336,'2023년 신조차 고장관리 세부현황'!$BC:$BC,"완료",'2023년 신조차 고장관리 세부현황'!$CY:$CY,"방송장치")</f>
        <v>0</v>
      </c>
      <c r="CH336"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분석_15일'!$F336,'2023년 신조차 고장관리 세부현황'!$BC:$BC,"완료",'2023년 신조차 고장관리 세부현황'!$CY:$CY,"방송장치")</f>
        <v>0</v>
      </c>
      <c r="CI336"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분석_15일'!$F336,'2023년 신조차 고장관리 세부현황'!$BC:$BC,"완료",'2023년 신조차 고장관리 세부현황'!$CY:$CY,"방송장치")</f>
        <v>0</v>
      </c>
      <c r="CJ336"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분석_15일'!$F336,'2023년 신조차 고장관리 세부현황'!$BC:$BC,"완료",'2023년 신조차 고장관리 세부현황'!$CY:$CY,"방송장치")</f>
        <v>0</v>
      </c>
      <c r="CK336"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분석_15일'!$F336,'2023년 신조차 고장관리 세부현황'!$BC:$BC,"완료",'2023년 신조차 고장관리 세부현황'!$CY:$CY,"방송장치")</f>
        <v>0</v>
      </c>
      <c r="CL336"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분석_15일'!$F336,'2023년 신조차 고장관리 세부현황'!$BC:$BC,"완료",'2023년 신조차 고장관리 세부현황'!$CY:$CY,"방송장치")</f>
        <v>0</v>
      </c>
      <c r="CM336"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분석_15일'!$F336,'2023년 신조차 고장관리 세부현황'!$BC:$BC,"완료",'2023년 신조차 고장관리 세부현황'!$CY:$CY,"방송장치")</f>
        <v>0</v>
      </c>
      <c r="CN336"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분석_15일'!$F336,'2023년 신조차 고장관리 세부현황'!$BC:$BC,"완료",'2023년 신조차 고장관리 세부현황'!$CY:$CY,"방송장치")</f>
        <v>0</v>
      </c>
      <c r="CO336"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분석_15일'!$F336,'2023년 신조차 고장관리 세부현황'!$BC:$BC,"완료",'2023년 신조차 고장관리 세부현황'!$CY:$CY,"방송장치")</f>
        <v>0</v>
      </c>
      <c r="CP336"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분석_15일'!$F336,'2023년 신조차 고장관리 세부현황'!$BC:$BC,"완료",'2023년 신조차 고장관리 세부현황'!$CY:$CY,"방송장치")</f>
        <v>0</v>
      </c>
      <c r="CQ336"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분석_15일'!$F336,'2023년 신조차 고장관리 세부현황'!$BC:$BC,"완료",'2023년 신조차 고장관리 세부현황'!$CY:$CY,"방송장치")</f>
        <v>0</v>
      </c>
      <c r="CR336"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분석_15일'!$F336,'2023년 신조차 고장관리 세부현황'!$BC:$BC,"완료",'2023년 신조차 고장관리 세부현황'!$CY:$CY,"방송장치")</f>
        <v>0</v>
      </c>
      <c r="CS336"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분석_15일'!$F336,'2023년 신조차 고장관리 세부현황'!$BC:$BC,"완료",'2023년 신조차 고장관리 세부현황'!$CY:$CY,"방송장치")</f>
        <v>0</v>
      </c>
      <c r="CT336"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분석_15일'!$F336,'2023년 신조차 고장관리 세부현황'!$BC:$BC,"완료",'2023년 신조차 고장관리 세부현황'!$CY:$CY,"방송장치")</f>
        <v>0</v>
      </c>
      <c r="CU336"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분석_15일'!$F336,'2023년 신조차 고장관리 세부현황'!$BC:$BC,"완료",'2023년 신조차 고장관리 세부현황'!$CY:$CY,"방송장치")</f>
        <v>0</v>
      </c>
      <c r="CV336"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분석_15일'!$F336,'2023년 신조차 고장관리 세부현황'!$BC:$BC,"완료",'2023년 신조차 고장관리 세부현황'!$CY:$CY,"방송장치")</f>
        <v>0</v>
      </c>
      <c r="CW336"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분석_15일'!$F336,'2023년 신조차 고장관리 세부현황'!$BC:$BC,"완료",'2023년 신조차 고장관리 세부현황'!$CY:$CY,"방송장치")</f>
        <v>0</v>
      </c>
      <c r="CX336">
        <f>SUM(G336:CW336)</f>
        <v>0</v>
      </c>
    </row>
    <row r="337" spans="6:103" x14ac:dyDescent="0.4">
      <c r="F337" s="85" t="s">
        <v>223</v>
      </c>
      <c r="G337" s="85">
        <f>COUNTIFS('2023년 신조차 고장관리 세부현황'!$K:$K,"448R",'2023년 신조차 고장관리 세부현황'!$P:$P,"&gt;="&amp;$G$26,'2023년 신조차 고장관리 세부현황'!$P:$P,"&lt;"&amp;'트랜드 분석_15일'!G$27,'2023년 신조차 고장관리 세부현황'!$S:$S,'트랜드 분석_15일'!$F337,'2023년 신조차 고장관리 세부현황'!$BC:$BC,"완료",'2023년 신조차 고장관리 세부현황'!$CY:$CY,"방송장치")</f>
        <v>0</v>
      </c>
      <c r="H337"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분석_15일'!$F337,'2023년 신조차 고장관리 세부현황'!$BC:$BC,"완료",'2023년 신조차 고장관리 세부현황'!$CY:$CY,"방송장치")</f>
        <v>0</v>
      </c>
      <c r="I337"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분석_15일'!$F337,'2023년 신조차 고장관리 세부현황'!$BC:$BC,"완료",'2023년 신조차 고장관리 세부현황'!$CY:$CY,"방송장치")</f>
        <v>0</v>
      </c>
      <c r="J337"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분석_15일'!$F337,'2023년 신조차 고장관리 세부현황'!$BC:$BC,"완료",'2023년 신조차 고장관리 세부현황'!$CY:$CY,"방송장치")</f>
        <v>0</v>
      </c>
      <c r="K337"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분석_15일'!$F337,'2023년 신조차 고장관리 세부현황'!$BC:$BC,"완료",'2023년 신조차 고장관리 세부현황'!$CY:$CY,"방송장치")</f>
        <v>0</v>
      </c>
      <c r="L337"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분석_15일'!$F337,'2023년 신조차 고장관리 세부현황'!$BC:$BC,"완료",'2023년 신조차 고장관리 세부현황'!$CY:$CY,"방송장치")</f>
        <v>0</v>
      </c>
      <c r="M337"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분석_15일'!$F337,'2023년 신조차 고장관리 세부현황'!$BC:$BC,"완료",'2023년 신조차 고장관리 세부현황'!$CY:$CY,"방송장치")</f>
        <v>0</v>
      </c>
      <c r="N337"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분석_15일'!$F337,'2023년 신조차 고장관리 세부현황'!$BC:$BC,"완료",'2023년 신조차 고장관리 세부현황'!$CY:$CY,"방송장치")</f>
        <v>0</v>
      </c>
      <c r="O337"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분석_15일'!$F337,'2023년 신조차 고장관리 세부현황'!$BC:$BC,"완료",'2023년 신조차 고장관리 세부현황'!$CY:$CY,"방송장치")</f>
        <v>0</v>
      </c>
      <c r="P337" s="85">
        <f ca="1">COUNTIFS('2023년 신조차 고장관리 세부현황'!$K:$K,"448R",'2023년 신조차 고장관리 세부현황'!$P:$P,"&gt;="&amp;'트랜드 분석_15일'!O$27,'2023년 신조차 고장관리 세부현황'!$P:$P,"&lt;"&amp;'트랜드 분석_15일'!P$27,'2023년 신조차 고장관리 세부현황'!$S:$S,'트랜드 분석_15일'!$F337,'2023년 신조차 고장관리 세부현황'!$BC:$BC,"완료",'2023년 신조차 고장관리 세부현황'!$CY:$CY,"방송장치")</f>
        <v>0</v>
      </c>
      <c r="Q337"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분석_15일'!$F337,'2023년 신조차 고장관리 세부현황'!$BC:$BC,"완료",'2023년 신조차 고장관리 세부현황'!$CY:$CY,"방송장치")</f>
        <v>0</v>
      </c>
      <c r="R337" s="85">
        <f ca="1">COUNTIFS('2023년 신조차 고장관리 세부현황'!$K:$K,"448R",'2023년 신조차 고장관리 세부현황'!$P:$P,"&gt;="&amp;'트랜드 분석_15일'!Q$27,'2023년 신조차 고장관리 세부현황'!$P:$P,"&lt;"&amp;'트랜드 분석_15일'!R$27,'2023년 신조차 고장관리 세부현황'!$S:$S,'트랜드 분석_15일'!$F337,'2023년 신조차 고장관리 세부현황'!$BC:$BC,"완료",'2023년 신조차 고장관리 세부현황'!$CY:$CY,"방송장치")</f>
        <v>0</v>
      </c>
      <c r="S337" s="85">
        <f ca="1">COUNTIFS('2023년 신조차 고장관리 세부현황'!$K:$K,"448R",'2023년 신조차 고장관리 세부현황'!$P:$P,"&gt;="&amp;'트랜드 분석_15일'!R$27,'2023년 신조차 고장관리 세부현황'!$P:$P,"&lt;"&amp;'트랜드 분석_15일'!S$27,'2023년 신조차 고장관리 세부현황'!$S:$S,'트랜드 분석_15일'!$F337,'2023년 신조차 고장관리 세부현황'!$BC:$BC,"완료",'2023년 신조차 고장관리 세부현황'!$CY:$CY,"방송장치")</f>
        <v>0</v>
      </c>
      <c r="T337"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분석_15일'!$F337,'2023년 신조차 고장관리 세부현황'!$BC:$BC,"완료",'2023년 신조차 고장관리 세부현황'!$CY:$CY,"방송장치")</f>
        <v>0</v>
      </c>
      <c r="U337"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분석_15일'!$F337,'2023년 신조차 고장관리 세부현황'!$BC:$BC,"완료",'2023년 신조차 고장관리 세부현황'!$CY:$CY,"방송장치")</f>
        <v>0</v>
      </c>
      <c r="V337"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분석_15일'!$F337,'2023년 신조차 고장관리 세부현황'!$BC:$BC,"완료",'2023년 신조차 고장관리 세부현황'!$CY:$CY,"방송장치")</f>
        <v>0</v>
      </c>
      <c r="W337" s="85">
        <f ca="1">COUNTIFS('2023년 신조차 고장관리 세부현황'!$K:$K,"448R",'2023년 신조차 고장관리 세부현황'!$P:$P,"&gt;="&amp;'트랜드 분석_15일'!V$27,'2023년 신조차 고장관리 세부현황'!$P:$P,"&lt;"&amp;'트랜드 분석_15일'!W$27,'2023년 신조차 고장관리 세부현황'!$S:$S,'트랜드 분석_15일'!$F337,'2023년 신조차 고장관리 세부현황'!$BC:$BC,"완료",'2023년 신조차 고장관리 세부현황'!$CY:$CY,"방송장치")</f>
        <v>0</v>
      </c>
      <c r="X337"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분석_15일'!$F337,'2023년 신조차 고장관리 세부현황'!$BC:$BC,"완료",'2023년 신조차 고장관리 세부현황'!$CY:$CY,"방송장치")</f>
        <v>0</v>
      </c>
      <c r="Y337" s="85">
        <f ca="1">COUNTIFS('2023년 신조차 고장관리 세부현황'!$K:$K,"448R",'2023년 신조차 고장관리 세부현황'!$P:$P,"&gt;="&amp;'트랜드 분석_15일'!X$27,'2023년 신조차 고장관리 세부현황'!$P:$P,"&lt;"&amp;'트랜드 분석_15일'!Y$27,'2023년 신조차 고장관리 세부현황'!$S:$S,'트랜드 분석_15일'!$F337,'2023년 신조차 고장관리 세부현황'!$BC:$BC,"완료",'2023년 신조차 고장관리 세부현황'!$CY:$CY,"방송장치")</f>
        <v>0</v>
      </c>
      <c r="Z337" s="85">
        <f ca="1">COUNTIFS('2023년 신조차 고장관리 세부현황'!$K:$K,"448R",'2023년 신조차 고장관리 세부현황'!$P:$P,"&gt;="&amp;'트랜드 분석_15일'!Y$27,'2023년 신조차 고장관리 세부현황'!$P:$P,"&lt;"&amp;'트랜드 분석_15일'!Z$27,'2023년 신조차 고장관리 세부현황'!$S:$S,'트랜드 분석_15일'!$F337,'2023년 신조차 고장관리 세부현황'!$BC:$BC,"완료",'2023년 신조차 고장관리 세부현황'!$CY:$CY,"방송장치")</f>
        <v>0</v>
      </c>
      <c r="AA337"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분석_15일'!$F337,'2023년 신조차 고장관리 세부현황'!$BC:$BC,"완료",'2023년 신조차 고장관리 세부현황'!$CY:$CY,"방송장치")</f>
        <v>0</v>
      </c>
      <c r="AB337" s="85">
        <f ca="1">COUNTIFS('2023년 신조차 고장관리 세부현황'!$K:$K,"448R",'2023년 신조차 고장관리 세부현황'!$P:$P,"&gt;="&amp;'트랜드 분석_15일'!AA$27,'2023년 신조차 고장관리 세부현황'!$P:$P,"&lt;"&amp;'트랜드 분석_15일'!AB$27,'2023년 신조차 고장관리 세부현황'!$S:$S,'트랜드 분석_15일'!$F337,'2023년 신조차 고장관리 세부현황'!$BC:$BC,"완료",'2023년 신조차 고장관리 세부현황'!$CY:$CY,"방송장치")</f>
        <v>0</v>
      </c>
      <c r="AC337" s="85">
        <f ca="1">COUNTIFS('2023년 신조차 고장관리 세부현황'!$K:$K,"448R",'2023년 신조차 고장관리 세부현황'!$P:$P,"&gt;="&amp;'트랜드 분석_15일'!AB$27,'2023년 신조차 고장관리 세부현황'!$P:$P,"&lt;"&amp;'트랜드 분석_15일'!AC$27,'2023년 신조차 고장관리 세부현황'!$S:$S,'트랜드 분석_15일'!$F337,'2023년 신조차 고장관리 세부현황'!$BC:$BC,"완료",'2023년 신조차 고장관리 세부현황'!$CY:$CY,"방송장치")</f>
        <v>0</v>
      </c>
      <c r="AD337"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분석_15일'!$F337,'2023년 신조차 고장관리 세부현황'!$BC:$BC,"완료",'2023년 신조차 고장관리 세부현황'!$CY:$CY,"방송장치")</f>
        <v>0</v>
      </c>
      <c r="AE337" s="85">
        <f ca="1">COUNTIFS('2023년 신조차 고장관리 세부현황'!$K:$K,"448R",'2023년 신조차 고장관리 세부현황'!$P:$P,"&gt;="&amp;'트랜드 분석_15일'!AD$27,'2023년 신조차 고장관리 세부현황'!$P:$P,"&lt;"&amp;'트랜드 분석_15일'!AE$27,'2023년 신조차 고장관리 세부현황'!$S:$S,'트랜드 분석_15일'!$F337,'2023년 신조차 고장관리 세부현황'!$BC:$BC,"완료",'2023년 신조차 고장관리 세부현황'!$CY:$CY,"방송장치")</f>
        <v>0</v>
      </c>
      <c r="AF337" s="85">
        <f ca="1">COUNTIFS('2023년 신조차 고장관리 세부현황'!$K:$K,"448R",'2023년 신조차 고장관리 세부현황'!$P:$P,"&gt;="&amp;'트랜드 분석_15일'!AE$27,'2023년 신조차 고장관리 세부현황'!$P:$P,"&lt;"&amp;'트랜드 분석_15일'!AF$27,'2023년 신조차 고장관리 세부현황'!$S:$S,'트랜드 분석_15일'!$F337,'2023년 신조차 고장관리 세부현황'!$BC:$BC,"완료",'2023년 신조차 고장관리 세부현황'!$CY:$CY,"방송장치")</f>
        <v>0</v>
      </c>
      <c r="AG337"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분석_15일'!$F337,'2023년 신조차 고장관리 세부현황'!$BC:$BC,"완료",'2023년 신조차 고장관리 세부현황'!$CY:$CY,"방송장치")</f>
        <v>0</v>
      </c>
      <c r="AH337"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분석_15일'!$F337,'2023년 신조차 고장관리 세부현황'!$BC:$BC,"완료",'2023년 신조차 고장관리 세부현황'!$CY:$CY,"방송장치")</f>
        <v>0</v>
      </c>
      <c r="AI337"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분석_15일'!$F337,'2023년 신조차 고장관리 세부현황'!$BC:$BC,"완료",'2023년 신조차 고장관리 세부현황'!$CY:$CY,"방송장치")</f>
        <v>0</v>
      </c>
      <c r="AJ337"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분석_15일'!$F337,'2023년 신조차 고장관리 세부현황'!$BC:$BC,"완료",'2023년 신조차 고장관리 세부현황'!$CY:$CY,"방송장치")</f>
        <v>0</v>
      </c>
      <c r="AK337"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분석_15일'!$F337,'2023년 신조차 고장관리 세부현황'!$BC:$BC,"완료",'2023년 신조차 고장관리 세부현황'!$CY:$CY,"방송장치")</f>
        <v>0</v>
      </c>
      <c r="AL337"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분석_15일'!$F337,'2023년 신조차 고장관리 세부현황'!$BC:$BC,"완료",'2023년 신조차 고장관리 세부현황'!$CY:$CY,"방송장치")</f>
        <v>0</v>
      </c>
      <c r="AM337"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분석_15일'!$F337,'2023년 신조차 고장관리 세부현황'!$BC:$BC,"완료",'2023년 신조차 고장관리 세부현황'!$CY:$CY,"방송장치")</f>
        <v>0</v>
      </c>
      <c r="AN337"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분석_15일'!$F337,'2023년 신조차 고장관리 세부현황'!$BC:$BC,"완료",'2023년 신조차 고장관리 세부현황'!$CY:$CY,"방송장치")</f>
        <v>0</v>
      </c>
      <c r="AO337"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분석_15일'!$F337,'2023년 신조차 고장관리 세부현황'!$BC:$BC,"완료",'2023년 신조차 고장관리 세부현황'!$CY:$CY,"방송장치")</f>
        <v>0</v>
      </c>
      <c r="AP337"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분석_15일'!$F337,'2023년 신조차 고장관리 세부현황'!$BC:$BC,"완료",'2023년 신조차 고장관리 세부현황'!$CY:$CY,"방송장치")</f>
        <v>0</v>
      </c>
      <c r="AQ337"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분석_15일'!$F337,'2023년 신조차 고장관리 세부현황'!$BC:$BC,"완료",'2023년 신조차 고장관리 세부현황'!$CY:$CY,"방송장치")</f>
        <v>0</v>
      </c>
      <c r="AR337"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분석_15일'!$F337,'2023년 신조차 고장관리 세부현황'!$BC:$BC,"완료",'2023년 신조차 고장관리 세부현황'!$CY:$CY,"방송장치")</f>
        <v>0</v>
      </c>
      <c r="AS337"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분석_15일'!$F337,'2023년 신조차 고장관리 세부현황'!$BC:$BC,"완료",'2023년 신조차 고장관리 세부현황'!$CY:$CY,"방송장치")</f>
        <v>0</v>
      </c>
      <c r="AT337"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분석_15일'!$F337,'2023년 신조차 고장관리 세부현황'!$BC:$BC,"완료",'2023년 신조차 고장관리 세부현황'!$CY:$CY,"방송장치")</f>
        <v>0</v>
      </c>
      <c r="AU337"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분석_15일'!$F337,'2023년 신조차 고장관리 세부현황'!$BC:$BC,"완료",'2023년 신조차 고장관리 세부현황'!$CY:$CY,"방송장치")</f>
        <v>0</v>
      </c>
      <c r="AV337"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분석_15일'!$F337,'2023년 신조차 고장관리 세부현황'!$BC:$BC,"완료",'2023년 신조차 고장관리 세부현황'!$CY:$CY,"방송장치")</f>
        <v>0</v>
      </c>
      <c r="AW337"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분석_15일'!$F337,'2023년 신조차 고장관리 세부현황'!$BC:$BC,"완료",'2023년 신조차 고장관리 세부현황'!$CY:$CY,"방송장치")</f>
        <v>0</v>
      </c>
      <c r="AX337"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분석_15일'!$F337,'2023년 신조차 고장관리 세부현황'!$BC:$BC,"완료",'2023년 신조차 고장관리 세부현황'!$CY:$CY,"방송장치")</f>
        <v>0</v>
      </c>
      <c r="AY337"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분석_15일'!$F337,'2023년 신조차 고장관리 세부현황'!$BC:$BC,"완료",'2023년 신조차 고장관리 세부현황'!$CY:$CY,"방송장치")</f>
        <v>0</v>
      </c>
      <c r="AZ337"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분석_15일'!$F337,'2023년 신조차 고장관리 세부현황'!$BC:$BC,"완료",'2023년 신조차 고장관리 세부현황'!$CY:$CY,"방송장치")</f>
        <v>0</v>
      </c>
      <c r="BA337"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분석_15일'!$F337,'2023년 신조차 고장관리 세부현황'!$BC:$BC,"완료",'2023년 신조차 고장관리 세부현황'!$CY:$CY,"방송장치")</f>
        <v>0</v>
      </c>
      <c r="BB337"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분석_15일'!$F337,'2023년 신조차 고장관리 세부현황'!$BC:$BC,"완료",'2023년 신조차 고장관리 세부현황'!$CY:$CY,"방송장치")</f>
        <v>0</v>
      </c>
      <c r="BC337"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분석_15일'!$F337,'2023년 신조차 고장관리 세부현황'!$BC:$BC,"완료",'2023년 신조차 고장관리 세부현황'!$CY:$CY,"방송장치")</f>
        <v>0</v>
      </c>
      <c r="BD337"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분석_15일'!$F337,'2023년 신조차 고장관리 세부현황'!$BC:$BC,"완료",'2023년 신조차 고장관리 세부현황'!$CY:$CY,"방송장치")</f>
        <v>0</v>
      </c>
      <c r="BE337"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분석_15일'!$F337,'2023년 신조차 고장관리 세부현황'!$BC:$BC,"완료",'2023년 신조차 고장관리 세부현황'!$CY:$CY,"방송장치")</f>
        <v>0</v>
      </c>
      <c r="BF337"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분석_15일'!$F337,'2023년 신조차 고장관리 세부현황'!$BC:$BC,"완료",'2023년 신조차 고장관리 세부현황'!$CY:$CY,"방송장치")</f>
        <v>0</v>
      </c>
      <c r="BG337"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분석_15일'!$F337,'2023년 신조차 고장관리 세부현황'!$BC:$BC,"완료",'2023년 신조차 고장관리 세부현황'!$CY:$CY,"방송장치")</f>
        <v>0</v>
      </c>
      <c r="BH337"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분석_15일'!$F337,'2023년 신조차 고장관리 세부현황'!$BC:$BC,"완료",'2023년 신조차 고장관리 세부현황'!$CY:$CY,"방송장치")</f>
        <v>0</v>
      </c>
      <c r="BI337"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분석_15일'!$F337,'2023년 신조차 고장관리 세부현황'!$BC:$BC,"완료",'2023년 신조차 고장관리 세부현황'!$CY:$CY,"방송장치")</f>
        <v>0</v>
      </c>
      <c r="BJ337"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분석_15일'!$F337,'2023년 신조차 고장관리 세부현황'!$BC:$BC,"완료",'2023년 신조차 고장관리 세부현황'!$CY:$CY,"방송장치")</f>
        <v>0</v>
      </c>
      <c r="BK337"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분석_15일'!$F337,'2023년 신조차 고장관리 세부현황'!$BC:$BC,"완료",'2023년 신조차 고장관리 세부현황'!$CY:$CY,"방송장치")</f>
        <v>0</v>
      </c>
      <c r="BL337"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분석_15일'!$F337,'2023년 신조차 고장관리 세부현황'!$BC:$BC,"완료",'2023년 신조차 고장관리 세부현황'!$CY:$CY,"방송장치")</f>
        <v>0</v>
      </c>
      <c r="BM337"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분석_15일'!$F337,'2023년 신조차 고장관리 세부현황'!$BC:$BC,"완료",'2023년 신조차 고장관리 세부현황'!$CY:$CY,"방송장치")</f>
        <v>0</v>
      </c>
      <c r="BN337"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분석_15일'!$F337,'2023년 신조차 고장관리 세부현황'!$BC:$BC,"완료",'2023년 신조차 고장관리 세부현황'!$CY:$CY,"방송장치")</f>
        <v>0</v>
      </c>
      <c r="BO337"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분석_15일'!$F337,'2023년 신조차 고장관리 세부현황'!$BC:$BC,"완료",'2023년 신조차 고장관리 세부현황'!$CY:$CY,"방송장치")</f>
        <v>0</v>
      </c>
      <c r="BP337"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분석_15일'!$F337,'2023년 신조차 고장관리 세부현황'!$BC:$BC,"완료",'2023년 신조차 고장관리 세부현황'!$CY:$CY,"방송장치")</f>
        <v>0</v>
      </c>
      <c r="BQ337"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분석_15일'!$F337,'2023년 신조차 고장관리 세부현황'!$BC:$BC,"완료",'2023년 신조차 고장관리 세부현황'!$CY:$CY,"방송장치")</f>
        <v>0</v>
      </c>
      <c r="BR337"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분석_15일'!$F337,'2023년 신조차 고장관리 세부현황'!$BC:$BC,"완료",'2023년 신조차 고장관리 세부현황'!$CY:$CY,"방송장치")</f>
        <v>0</v>
      </c>
      <c r="BS337"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분석_15일'!$F337,'2023년 신조차 고장관리 세부현황'!$BC:$BC,"완료",'2023년 신조차 고장관리 세부현황'!$CY:$CY,"방송장치")</f>
        <v>0</v>
      </c>
      <c r="BT337"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분석_15일'!$F337,'2023년 신조차 고장관리 세부현황'!$BC:$BC,"완료",'2023년 신조차 고장관리 세부현황'!$CY:$CY,"방송장치")</f>
        <v>0</v>
      </c>
      <c r="BU337"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분석_15일'!$F337,'2023년 신조차 고장관리 세부현황'!$BC:$BC,"완료",'2023년 신조차 고장관리 세부현황'!$CY:$CY,"방송장치")</f>
        <v>0</v>
      </c>
      <c r="BV337"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분석_15일'!$F337,'2023년 신조차 고장관리 세부현황'!$BC:$BC,"완료",'2023년 신조차 고장관리 세부현황'!$CY:$CY,"방송장치")</f>
        <v>0</v>
      </c>
      <c r="BW337"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분석_15일'!$F337,'2023년 신조차 고장관리 세부현황'!$BC:$BC,"완료",'2023년 신조차 고장관리 세부현황'!$CY:$CY,"방송장치")</f>
        <v>0</v>
      </c>
      <c r="BX337"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분석_15일'!$F337,'2023년 신조차 고장관리 세부현황'!$BC:$BC,"완료",'2023년 신조차 고장관리 세부현황'!$CY:$CY,"방송장치")</f>
        <v>0</v>
      </c>
      <c r="BY337"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분석_15일'!$F337,'2023년 신조차 고장관리 세부현황'!$BC:$BC,"완료",'2023년 신조차 고장관리 세부현황'!$CY:$CY,"방송장치")</f>
        <v>0</v>
      </c>
      <c r="BZ337"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분석_15일'!$F337,'2023년 신조차 고장관리 세부현황'!$BC:$BC,"완료",'2023년 신조차 고장관리 세부현황'!$CY:$CY,"방송장치")</f>
        <v>0</v>
      </c>
      <c r="CA337"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분석_15일'!$F337,'2023년 신조차 고장관리 세부현황'!$BC:$BC,"완료",'2023년 신조차 고장관리 세부현황'!$CY:$CY,"방송장치")</f>
        <v>0</v>
      </c>
      <c r="CB337"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분석_15일'!$F337,'2023년 신조차 고장관리 세부현황'!$BC:$BC,"완료",'2023년 신조차 고장관리 세부현황'!$CY:$CY,"방송장치")</f>
        <v>0</v>
      </c>
      <c r="CC337"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분석_15일'!$F337,'2023년 신조차 고장관리 세부현황'!$BC:$BC,"완료",'2023년 신조차 고장관리 세부현황'!$CY:$CY,"방송장치")</f>
        <v>0</v>
      </c>
      <c r="CD337"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분석_15일'!$F337,'2023년 신조차 고장관리 세부현황'!$BC:$BC,"완료",'2023년 신조차 고장관리 세부현황'!$CY:$CY,"방송장치")</f>
        <v>0</v>
      </c>
      <c r="CE337"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분석_15일'!$F337,'2023년 신조차 고장관리 세부현황'!$BC:$BC,"완료",'2023년 신조차 고장관리 세부현황'!$CY:$CY,"방송장치")</f>
        <v>0</v>
      </c>
      <c r="CF337"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분석_15일'!$F337,'2023년 신조차 고장관리 세부현황'!$BC:$BC,"완료",'2023년 신조차 고장관리 세부현황'!$CY:$CY,"방송장치")</f>
        <v>0</v>
      </c>
      <c r="CG337"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분석_15일'!$F337,'2023년 신조차 고장관리 세부현황'!$BC:$BC,"완료",'2023년 신조차 고장관리 세부현황'!$CY:$CY,"방송장치")</f>
        <v>0</v>
      </c>
      <c r="CH337"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분석_15일'!$F337,'2023년 신조차 고장관리 세부현황'!$BC:$BC,"완료",'2023년 신조차 고장관리 세부현황'!$CY:$CY,"방송장치")</f>
        <v>0</v>
      </c>
      <c r="CI337"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분석_15일'!$F337,'2023년 신조차 고장관리 세부현황'!$BC:$BC,"완료",'2023년 신조차 고장관리 세부현황'!$CY:$CY,"방송장치")</f>
        <v>0</v>
      </c>
      <c r="CJ337"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분석_15일'!$F337,'2023년 신조차 고장관리 세부현황'!$BC:$BC,"완료",'2023년 신조차 고장관리 세부현황'!$CY:$CY,"방송장치")</f>
        <v>0</v>
      </c>
      <c r="CK337"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분석_15일'!$F337,'2023년 신조차 고장관리 세부현황'!$BC:$BC,"완료",'2023년 신조차 고장관리 세부현황'!$CY:$CY,"방송장치")</f>
        <v>0</v>
      </c>
      <c r="CL337"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분석_15일'!$F337,'2023년 신조차 고장관리 세부현황'!$BC:$BC,"완료",'2023년 신조차 고장관리 세부현황'!$CY:$CY,"방송장치")</f>
        <v>0</v>
      </c>
      <c r="CM337"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분석_15일'!$F337,'2023년 신조차 고장관리 세부현황'!$BC:$BC,"완료",'2023년 신조차 고장관리 세부현황'!$CY:$CY,"방송장치")</f>
        <v>0</v>
      </c>
      <c r="CN337"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분석_15일'!$F337,'2023년 신조차 고장관리 세부현황'!$BC:$BC,"완료",'2023년 신조차 고장관리 세부현황'!$CY:$CY,"방송장치")</f>
        <v>0</v>
      </c>
      <c r="CO337"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분석_15일'!$F337,'2023년 신조차 고장관리 세부현황'!$BC:$BC,"완료",'2023년 신조차 고장관리 세부현황'!$CY:$CY,"방송장치")</f>
        <v>0</v>
      </c>
      <c r="CP337"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분석_15일'!$F337,'2023년 신조차 고장관리 세부현황'!$BC:$BC,"완료",'2023년 신조차 고장관리 세부현황'!$CY:$CY,"방송장치")</f>
        <v>0</v>
      </c>
      <c r="CQ337"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분석_15일'!$F337,'2023년 신조차 고장관리 세부현황'!$BC:$BC,"완료",'2023년 신조차 고장관리 세부현황'!$CY:$CY,"방송장치")</f>
        <v>0</v>
      </c>
      <c r="CR337"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분석_15일'!$F337,'2023년 신조차 고장관리 세부현황'!$BC:$BC,"완료",'2023년 신조차 고장관리 세부현황'!$CY:$CY,"방송장치")</f>
        <v>0</v>
      </c>
      <c r="CS337"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분석_15일'!$F337,'2023년 신조차 고장관리 세부현황'!$BC:$BC,"완료",'2023년 신조차 고장관리 세부현황'!$CY:$CY,"방송장치")</f>
        <v>0</v>
      </c>
      <c r="CT337"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분석_15일'!$F337,'2023년 신조차 고장관리 세부현황'!$BC:$BC,"완료",'2023년 신조차 고장관리 세부현황'!$CY:$CY,"방송장치")</f>
        <v>0</v>
      </c>
      <c r="CU337"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분석_15일'!$F337,'2023년 신조차 고장관리 세부현황'!$BC:$BC,"완료",'2023년 신조차 고장관리 세부현황'!$CY:$CY,"방송장치")</f>
        <v>0</v>
      </c>
      <c r="CV337"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분석_15일'!$F337,'2023년 신조차 고장관리 세부현황'!$BC:$BC,"완료",'2023년 신조차 고장관리 세부현황'!$CY:$CY,"방송장치")</f>
        <v>0</v>
      </c>
      <c r="CW337"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분석_15일'!$F337,'2023년 신조차 고장관리 세부현황'!$BC:$BC,"완료",'2023년 신조차 고장관리 세부현황'!$CY:$CY,"방송장치")</f>
        <v>0</v>
      </c>
      <c r="CX337">
        <f ca="1">SUM(G337:CW337)</f>
        <v>0</v>
      </c>
    </row>
    <row r="338" spans="6:103" x14ac:dyDescent="0.4">
      <c r="F338" s="85" t="s">
        <v>243</v>
      </c>
      <c r="G338" s="85">
        <f>G336+G337</f>
        <v>0</v>
      </c>
      <c r="H338" s="85">
        <f t="shared" ref="H338" si="332">H336+H337</f>
        <v>0</v>
      </c>
      <c r="I338" s="85">
        <f t="shared" ref="I338:BT338" si="333">I336+I337</f>
        <v>0</v>
      </c>
      <c r="J338" s="85">
        <f t="shared" si="333"/>
        <v>0</v>
      </c>
      <c r="K338" s="85">
        <f t="shared" si="333"/>
        <v>0</v>
      </c>
      <c r="L338" s="85">
        <f t="shared" si="333"/>
        <v>0</v>
      </c>
      <c r="M338" s="85">
        <f t="shared" si="333"/>
        <v>0</v>
      </c>
      <c r="N338" s="85">
        <f t="shared" si="333"/>
        <v>0</v>
      </c>
      <c r="O338" s="85">
        <f t="shared" si="333"/>
        <v>0</v>
      </c>
      <c r="P338" s="85">
        <f t="shared" ca="1" si="333"/>
        <v>0</v>
      </c>
      <c r="Q338" s="85">
        <f t="shared" si="333"/>
        <v>0</v>
      </c>
      <c r="R338" s="85">
        <f t="shared" ca="1" si="333"/>
        <v>0</v>
      </c>
      <c r="S338" s="85">
        <f t="shared" ca="1" si="333"/>
        <v>0</v>
      </c>
      <c r="T338" s="85">
        <f t="shared" si="333"/>
        <v>0</v>
      </c>
      <c r="U338" s="85">
        <f t="shared" si="333"/>
        <v>0</v>
      </c>
      <c r="V338" s="85">
        <f t="shared" si="333"/>
        <v>0</v>
      </c>
      <c r="W338" s="85">
        <f t="shared" ca="1" si="333"/>
        <v>0</v>
      </c>
      <c r="X338" s="85">
        <f t="shared" si="333"/>
        <v>0</v>
      </c>
      <c r="Y338" s="85">
        <f t="shared" ca="1" si="333"/>
        <v>0</v>
      </c>
      <c r="Z338" s="85">
        <f t="shared" ca="1" si="333"/>
        <v>0</v>
      </c>
      <c r="AA338" s="85">
        <f t="shared" si="333"/>
        <v>0</v>
      </c>
      <c r="AB338" s="85">
        <f t="shared" ca="1" si="333"/>
        <v>0</v>
      </c>
      <c r="AC338" s="85">
        <f t="shared" ca="1" si="333"/>
        <v>0</v>
      </c>
      <c r="AD338" s="85">
        <f t="shared" si="333"/>
        <v>0</v>
      </c>
      <c r="AE338" s="85">
        <f t="shared" ca="1" si="333"/>
        <v>0</v>
      </c>
      <c r="AF338" s="85">
        <f t="shared" ca="1" si="333"/>
        <v>0</v>
      </c>
      <c r="AG338" s="85">
        <f t="shared" si="333"/>
        <v>0</v>
      </c>
      <c r="AH338" s="85">
        <f t="shared" si="333"/>
        <v>0</v>
      </c>
      <c r="AI338" s="85">
        <f t="shared" si="333"/>
        <v>0</v>
      </c>
      <c r="AJ338" s="85">
        <f t="shared" si="333"/>
        <v>0</v>
      </c>
      <c r="AK338" s="85">
        <f t="shared" si="333"/>
        <v>0</v>
      </c>
      <c r="AL338" s="85">
        <f t="shared" si="333"/>
        <v>0</v>
      </c>
      <c r="AM338" s="85">
        <f t="shared" si="333"/>
        <v>0</v>
      </c>
      <c r="AN338" s="85">
        <f t="shared" si="333"/>
        <v>0</v>
      </c>
      <c r="AO338" s="85">
        <f t="shared" si="333"/>
        <v>0</v>
      </c>
      <c r="AP338" s="85">
        <f t="shared" si="333"/>
        <v>0</v>
      </c>
      <c r="AQ338" s="85">
        <f t="shared" si="333"/>
        <v>0</v>
      </c>
      <c r="AR338" s="85">
        <f t="shared" si="333"/>
        <v>0</v>
      </c>
      <c r="AS338" s="85">
        <f t="shared" si="333"/>
        <v>0</v>
      </c>
      <c r="AT338" s="85">
        <f t="shared" si="333"/>
        <v>0</v>
      </c>
      <c r="AU338" s="85">
        <f t="shared" si="333"/>
        <v>0</v>
      </c>
      <c r="AV338" s="85">
        <f t="shared" si="333"/>
        <v>0</v>
      </c>
      <c r="AW338" s="85">
        <f t="shared" si="333"/>
        <v>0</v>
      </c>
      <c r="AX338" s="85">
        <f t="shared" si="333"/>
        <v>0</v>
      </c>
      <c r="AY338" s="85">
        <f t="shared" si="333"/>
        <v>0</v>
      </c>
      <c r="AZ338" s="85">
        <f t="shared" si="333"/>
        <v>0</v>
      </c>
      <c r="BA338" s="85">
        <f t="shared" si="333"/>
        <v>0</v>
      </c>
      <c r="BB338" s="85">
        <f t="shared" si="333"/>
        <v>0</v>
      </c>
      <c r="BC338" s="85">
        <f t="shared" si="333"/>
        <v>0</v>
      </c>
      <c r="BD338" s="85">
        <f t="shared" si="333"/>
        <v>0</v>
      </c>
      <c r="BE338" s="85">
        <f t="shared" si="333"/>
        <v>0</v>
      </c>
      <c r="BF338" s="85">
        <f t="shared" si="333"/>
        <v>0</v>
      </c>
      <c r="BG338" s="85">
        <f t="shared" si="333"/>
        <v>0</v>
      </c>
      <c r="BH338" s="85">
        <f t="shared" si="333"/>
        <v>0</v>
      </c>
      <c r="BI338" s="85">
        <f t="shared" si="333"/>
        <v>0</v>
      </c>
      <c r="BJ338" s="85">
        <f t="shared" si="333"/>
        <v>0</v>
      </c>
      <c r="BK338" s="85">
        <f t="shared" si="333"/>
        <v>0</v>
      </c>
      <c r="BL338" s="85">
        <f t="shared" si="333"/>
        <v>0</v>
      </c>
      <c r="BM338" s="85">
        <f t="shared" si="333"/>
        <v>0</v>
      </c>
      <c r="BN338" s="85">
        <f t="shared" si="333"/>
        <v>0</v>
      </c>
      <c r="BO338" s="85">
        <f t="shared" si="333"/>
        <v>0</v>
      </c>
      <c r="BP338" s="85">
        <f t="shared" si="333"/>
        <v>0</v>
      </c>
      <c r="BQ338" s="85">
        <f t="shared" si="333"/>
        <v>0</v>
      </c>
      <c r="BR338" s="85">
        <f t="shared" si="333"/>
        <v>0</v>
      </c>
      <c r="BS338" s="85">
        <f t="shared" si="333"/>
        <v>0</v>
      </c>
      <c r="BT338" s="85">
        <f t="shared" si="333"/>
        <v>0</v>
      </c>
      <c r="BU338" s="85">
        <f t="shared" ref="BU338:CW338" si="334">BU336+BU337</f>
        <v>0</v>
      </c>
      <c r="BV338" s="85">
        <f t="shared" si="334"/>
        <v>0</v>
      </c>
      <c r="BW338" s="85">
        <f t="shared" si="334"/>
        <v>0</v>
      </c>
      <c r="BX338" s="85">
        <f t="shared" si="334"/>
        <v>0</v>
      </c>
      <c r="BY338" s="85">
        <f t="shared" si="334"/>
        <v>0</v>
      </c>
      <c r="BZ338" s="85">
        <f t="shared" si="334"/>
        <v>0</v>
      </c>
      <c r="CA338" s="85">
        <f t="shared" si="334"/>
        <v>0</v>
      </c>
      <c r="CB338" s="85">
        <f t="shared" si="334"/>
        <v>0</v>
      </c>
      <c r="CC338" s="85">
        <f t="shared" si="334"/>
        <v>0</v>
      </c>
      <c r="CD338" s="85">
        <f t="shared" si="334"/>
        <v>0</v>
      </c>
      <c r="CE338" s="85">
        <f t="shared" si="334"/>
        <v>0</v>
      </c>
      <c r="CF338" s="85">
        <f t="shared" si="334"/>
        <v>0</v>
      </c>
      <c r="CG338" s="85">
        <f t="shared" si="334"/>
        <v>0</v>
      </c>
      <c r="CH338" s="85">
        <f t="shared" si="334"/>
        <v>0</v>
      </c>
      <c r="CI338" s="85">
        <f t="shared" si="334"/>
        <v>0</v>
      </c>
      <c r="CJ338" s="85">
        <f t="shared" si="334"/>
        <v>0</v>
      </c>
      <c r="CK338" s="85">
        <f t="shared" si="334"/>
        <v>0</v>
      </c>
      <c r="CL338" s="85">
        <f t="shared" si="334"/>
        <v>0</v>
      </c>
      <c r="CM338" s="85">
        <f t="shared" si="334"/>
        <v>0</v>
      </c>
      <c r="CN338" s="85">
        <f t="shared" si="334"/>
        <v>0</v>
      </c>
      <c r="CO338" s="85">
        <f t="shared" si="334"/>
        <v>0</v>
      </c>
      <c r="CP338" s="85">
        <f t="shared" si="334"/>
        <v>0</v>
      </c>
      <c r="CQ338" s="85">
        <f t="shared" si="334"/>
        <v>0</v>
      </c>
      <c r="CR338" s="85">
        <f t="shared" si="334"/>
        <v>0</v>
      </c>
      <c r="CS338" s="85">
        <f t="shared" si="334"/>
        <v>0</v>
      </c>
      <c r="CT338" s="85">
        <f t="shared" si="334"/>
        <v>0</v>
      </c>
      <c r="CU338" s="85">
        <f t="shared" si="334"/>
        <v>0</v>
      </c>
      <c r="CV338" s="85">
        <f t="shared" si="334"/>
        <v>0</v>
      </c>
      <c r="CW338" s="85">
        <f t="shared" si="334"/>
        <v>0</v>
      </c>
      <c r="CX338">
        <f ca="1">SUM(G338:CW338)</f>
        <v>0</v>
      </c>
    </row>
    <row r="339" spans="6:103" x14ac:dyDescent="0.4">
      <c r="F339" s="86" t="s">
        <v>222</v>
      </c>
      <c r="G339" s="85">
        <f>COUNTIFS('2023년 신조차 고장관리 세부현황'!$K:$K,"448R",'2023년 신조차 고장관리 세부현황'!$P:$P,"&gt;="&amp;$G$26,'2023년 신조차 고장관리 세부현황'!$P:$P,"&lt;"&amp;'트랜드 분석_15일'!G$27,'2023년 신조차 고장관리 세부현황'!$S:$S,'트랜드 분석_15일'!$F339,'2023년 신조차 고장관리 세부현황'!$BC:$BC,"완료",'2023년 신조차 고장관리 세부현황'!$CY:$CY,"방송장치")</f>
        <v>0</v>
      </c>
      <c r="H339"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분석_15일'!$F339,'2023년 신조차 고장관리 세부현황'!$BC:$BC,"완료",'2023년 신조차 고장관리 세부현황'!$CY:$CY,"방송장치")</f>
        <v>0</v>
      </c>
      <c r="I339"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분석_15일'!$F339,'2023년 신조차 고장관리 세부현황'!$BC:$BC,"완료",'2023년 신조차 고장관리 세부현황'!$CY:$CY,"방송장치")</f>
        <v>0</v>
      </c>
      <c r="J339"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분석_15일'!$F339,'2023년 신조차 고장관리 세부현황'!$BC:$BC,"완료",'2023년 신조차 고장관리 세부현황'!$CY:$CY,"방송장치")</f>
        <v>0</v>
      </c>
      <c r="K339"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분석_15일'!$F339,'2023년 신조차 고장관리 세부현황'!$BC:$BC,"완료",'2023년 신조차 고장관리 세부현황'!$CY:$CY,"방송장치")</f>
        <v>0</v>
      </c>
      <c r="L339"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분석_15일'!$F339,'2023년 신조차 고장관리 세부현황'!$BC:$BC,"완료",'2023년 신조차 고장관리 세부현황'!$CY:$CY,"방송장치")</f>
        <v>0</v>
      </c>
      <c r="M339"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분석_15일'!$F339,'2023년 신조차 고장관리 세부현황'!$BC:$BC,"완료",'2023년 신조차 고장관리 세부현황'!$CY:$CY,"방송장치")</f>
        <v>0</v>
      </c>
      <c r="N339"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분석_15일'!$F339,'2023년 신조차 고장관리 세부현황'!$BC:$BC,"완료",'2023년 신조차 고장관리 세부현황'!$CY:$CY,"방송장치")</f>
        <v>0</v>
      </c>
      <c r="O339"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분석_15일'!$F339,'2023년 신조차 고장관리 세부현황'!$BC:$BC,"완료",'2023년 신조차 고장관리 세부현황'!$CY:$CY,"방송장치")</f>
        <v>0</v>
      </c>
      <c r="P339"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분석_15일'!$F339,'2023년 신조차 고장관리 세부현황'!$BC:$BC,"완료",'2023년 신조차 고장관리 세부현황'!$CY:$CY,"방송장치")</f>
        <v>0</v>
      </c>
      <c r="Q339"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분석_15일'!$F339,'2023년 신조차 고장관리 세부현황'!$BC:$BC,"완료",'2023년 신조차 고장관리 세부현황'!$CY:$CY,"방송장치")</f>
        <v>0</v>
      </c>
      <c r="R339"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분석_15일'!$F339,'2023년 신조차 고장관리 세부현황'!$BC:$BC,"완료",'2023년 신조차 고장관리 세부현황'!$CY:$CY,"방송장치")</f>
        <v>0</v>
      </c>
      <c r="S339"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분석_15일'!$F339,'2023년 신조차 고장관리 세부현황'!$BC:$BC,"완료",'2023년 신조차 고장관리 세부현황'!$CY:$CY,"방송장치")</f>
        <v>0</v>
      </c>
      <c r="T339"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분석_15일'!$F339,'2023년 신조차 고장관리 세부현황'!$BC:$BC,"완료",'2023년 신조차 고장관리 세부현황'!$CY:$CY,"방송장치")</f>
        <v>0</v>
      </c>
      <c r="U339"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분석_15일'!$F339,'2023년 신조차 고장관리 세부현황'!$BC:$BC,"완료",'2023년 신조차 고장관리 세부현황'!$CY:$CY,"방송장치")</f>
        <v>0</v>
      </c>
      <c r="V339"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분석_15일'!$F339,'2023년 신조차 고장관리 세부현황'!$BC:$BC,"완료",'2023년 신조차 고장관리 세부현황'!$CY:$CY,"방송장치")</f>
        <v>0</v>
      </c>
      <c r="W339"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분석_15일'!$F339,'2023년 신조차 고장관리 세부현황'!$BC:$BC,"완료",'2023년 신조차 고장관리 세부현황'!$CY:$CY,"방송장치")</f>
        <v>0</v>
      </c>
      <c r="X339"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분석_15일'!$F339,'2023년 신조차 고장관리 세부현황'!$BC:$BC,"완료",'2023년 신조차 고장관리 세부현황'!$CY:$CY,"방송장치")</f>
        <v>0</v>
      </c>
      <c r="Y339"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분석_15일'!$F339,'2023년 신조차 고장관리 세부현황'!$BC:$BC,"완료",'2023년 신조차 고장관리 세부현황'!$CY:$CY,"방송장치")</f>
        <v>0</v>
      </c>
      <c r="Z339"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분석_15일'!$F339,'2023년 신조차 고장관리 세부현황'!$BC:$BC,"완료",'2023년 신조차 고장관리 세부현황'!$CY:$CY,"방송장치")</f>
        <v>0</v>
      </c>
      <c r="AA339"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분석_15일'!$F339,'2023년 신조차 고장관리 세부현황'!$BC:$BC,"완료",'2023년 신조차 고장관리 세부현황'!$CY:$CY,"방송장치")</f>
        <v>0</v>
      </c>
      <c r="AB339"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분석_15일'!$F339,'2023년 신조차 고장관리 세부현황'!$BC:$BC,"완료",'2023년 신조차 고장관리 세부현황'!$CY:$CY,"방송장치")</f>
        <v>0</v>
      </c>
      <c r="AC339"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분석_15일'!$F339,'2023년 신조차 고장관리 세부현황'!$BC:$BC,"완료",'2023년 신조차 고장관리 세부현황'!$CY:$CY,"방송장치")</f>
        <v>0</v>
      </c>
      <c r="AD339"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분석_15일'!$F339,'2023년 신조차 고장관리 세부현황'!$BC:$BC,"완료",'2023년 신조차 고장관리 세부현황'!$CY:$CY,"방송장치")</f>
        <v>0</v>
      </c>
      <c r="AE339"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분석_15일'!$F339,'2023년 신조차 고장관리 세부현황'!$BC:$BC,"완료",'2023년 신조차 고장관리 세부현황'!$CY:$CY,"방송장치")</f>
        <v>0</v>
      </c>
      <c r="AF339"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분석_15일'!$F339,'2023년 신조차 고장관리 세부현황'!$BC:$BC,"완료",'2023년 신조차 고장관리 세부현황'!$CY:$CY,"방송장치")</f>
        <v>0</v>
      </c>
      <c r="AG339"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분석_15일'!$F339,'2023년 신조차 고장관리 세부현황'!$BC:$BC,"완료",'2023년 신조차 고장관리 세부현황'!$CY:$CY,"방송장치")</f>
        <v>0</v>
      </c>
      <c r="AH339"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분석_15일'!$F339,'2023년 신조차 고장관리 세부현황'!$BC:$BC,"완료",'2023년 신조차 고장관리 세부현황'!$CY:$CY,"방송장치")</f>
        <v>0</v>
      </c>
      <c r="AI339"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분석_15일'!$F339,'2023년 신조차 고장관리 세부현황'!$BC:$BC,"완료",'2023년 신조차 고장관리 세부현황'!$CY:$CY,"방송장치")</f>
        <v>0</v>
      </c>
      <c r="AJ339"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분석_15일'!$F339,'2023년 신조차 고장관리 세부현황'!$BC:$BC,"완료",'2023년 신조차 고장관리 세부현황'!$CY:$CY,"방송장치")</f>
        <v>0</v>
      </c>
      <c r="AK339"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분석_15일'!$F339,'2023년 신조차 고장관리 세부현황'!$BC:$BC,"완료",'2023년 신조차 고장관리 세부현황'!$CY:$CY,"방송장치")</f>
        <v>0</v>
      </c>
      <c r="AL339"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분석_15일'!$F339,'2023년 신조차 고장관리 세부현황'!$BC:$BC,"완료",'2023년 신조차 고장관리 세부현황'!$CY:$CY,"방송장치")</f>
        <v>0</v>
      </c>
      <c r="AM339"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분석_15일'!$F339,'2023년 신조차 고장관리 세부현황'!$BC:$BC,"완료",'2023년 신조차 고장관리 세부현황'!$CY:$CY,"방송장치")</f>
        <v>0</v>
      </c>
      <c r="AN339"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분석_15일'!$F339,'2023년 신조차 고장관리 세부현황'!$BC:$BC,"완료",'2023년 신조차 고장관리 세부현황'!$CY:$CY,"방송장치")</f>
        <v>0</v>
      </c>
      <c r="AO339"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분석_15일'!$F339,'2023년 신조차 고장관리 세부현황'!$BC:$BC,"완료",'2023년 신조차 고장관리 세부현황'!$CY:$CY,"방송장치")</f>
        <v>0</v>
      </c>
      <c r="AP339"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분석_15일'!$F339,'2023년 신조차 고장관리 세부현황'!$BC:$BC,"완료",'2023년 신조차 고장관리 세부현황'!$CY:$CY,"방송장치")</f>
        <v>0</v>
      </c>
      <c r="AQ339"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분석_15일'!$F339,'2023년 신조차 고장관리 세부현황'!$BC:$BC,"완료",'2023년 신조차 고장관리 세부현황'!$CY:$CY,"방송장치")</f>
        <v>0</v>
      </c>
      <c r="AR339"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분석_15일'!$F339,'2023년 신조차 고장관리 세부현황'!$BC:$BC,"완료",'2023년 신조차 고장관리 세부현황'!$CY:$CY,"방송장치")</f>
        <v>0</v>
      </c>
      <c r="AS339"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분석_15일'!$F339,'2023년 신조차 고장관리 세부현황'!$BC:$BC,"완료",'2023년 신조차 고장관리 세부현황'!$CY:$CY,"방송장치")</f>
        <v>0</v>
      </c>
      <c r="AT339"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분석_15일'!$F339,'2023년 신조차 고장관리 세부현황'!$BC:$BC,"완료",'2023년 신조차 고장관리 세부현황'!$CY:$CY,"방송장치")</f>
        <v>0</v>
      </c>
      <c r="AU339"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분석_15일'!$F339,'2023년 신조차 고장관리 세부현황'!$BC:$BC,"완료",'2023년 신조차 고장관리 세부현황'!$CY:$CY,"방송장치")</f>
        <v>0</v>
      </c>
      <c r="AV339"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분석_15일'!$F339,'2023년 신조차 고장관리 세부현황'!$BC:$BC,"완료",'2023년 신조차 고장관리 세부현황'!$CY:$CY,"방송장치")</f>
        <v>0</v>
      </c>
      <c r="AW339"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분석_15일'!$F339,'2023년 신조차 고장관리 세부현황'!$BC:$BC,"완료",'2023년 신조차 고장관리 세부현황'!$CY:$CY,"방송장치")</f>
        <v>0</v>
      </c>
      <c r="AX339"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분석_15일'!$F339,'2023년 신조차 고장관리 세부현황'!$BC:$BC,"완료",'2023년 신조차 고장관리 세부현황'!$CY:$CY,"방송장치")</f>
        <v>0</v>
      </c>
      <c r="AY339"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분석_15일'!$F339,'2023년 신조차 고장관리 세부현황'!$BC:$BC,"완료",'2023년 신조차 고장관리 세부현황'!$CY:$CY,"방송장치")</f>
        <v>0</v>
      </c>
      <c r="AZ339"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분석_15일'!$F339,'2023년 신조차 고장관리 세부현황'!$BC:$BC,"완료",'2023년 신조차 고장관리 세부현황'!$CY:$CY,"방송장치")</f>
        <v>0</v>
      </c>
      <c r="BA339"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분석_15일'!$F339,'2023년 신조차 고장관리 세부현황'!$BC:$BC,"완료",'2023년 신조차 고장관리 세부현황'!$CY:$CY,"방송장치")</f>
        <v>0</v>
      </c>
      <c r="BB339"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분석_15일'!$F339,'2023년 신조차 고장관리 세부현황'!$BC:$BC,"완료",'2023년 신조차 고장관리 세부현황'!$CY:$CY,"방송장치")</f>
        <v>0</v>
      </c>
      <c r="BC339"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분석_15일'!$F339,'2023년 신조차 고장관리 세부현황'!$BC:$BC,"완료",'2023년 신조차 고장관리 세부현황'!$CY:$CY,"방송장치")</f>
        <v>0</v>
      </c>
      <c r="BD339"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분석_15일'!$F339,'2023년 신조차 고장관리 세부현황'!$BC:$BC,"완료",'2023년 신조차 고장관리 세부현황'!$CY:$CY,"방송장치")</f>
        <v>0</v>
      </c>
      <c r="BE339"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분석_15일'!$F339,'2023년 신조차 고장관리 세부현황'!$BC:$BC,"완료",'2023년 신조차 고장관리 세부현황'!$CY:$CY,"방송장치")</f>
        <v>0</v>
      </c>
      <c r="BF339"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분석_15일'!$F339,'2023년 신조차 고장관리 세부현황'!$BC:$BC,"완료",'2023년 신조차 고장관리 세부현황'!$CY:$CY,"방송장치")</f>
        <v>0</v>
      </c>
      <c r="BG339"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분석_15일'!$F339,'2023년 신조차 고장관리 세부현황'!$BC:$BC,"완료",'2023년 신조차 고장관리 세부현황'!$CY:$CY,"방송장치")</f>
        <v>0</v>
      </c>
      <c r="BH339"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분석_15일'!$F339,'2023년 신조차 고장관리 세부현황'!$BC:$BC,"완료",'2023년 신조차 고장관리 세부현황'!$CY:$CY,"방송장치")</f>
        <v>0</v>
      </c>
      <c r="BI339"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분석_15일'!$F339,'2023년 신조차 고장관리 세부현황'!$BC:$BC,"완료",'2023년 신조차 고장관리 세부현황'!$CY:$CY,"방송장치")</f>
        <v>0</v>
      </c>
      <c r="BJ339"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분석_15일'!$F339,'2023년 신조차 고장관리 세부현황'!$BC:$BC,"완료",'2023년 신조차 고장관리 세부현황'!$CY:$CY,"방송장치")</f>
        <v>0</v>
      </c>
      <c r="BK339"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분석_15일'!$F339,'2023년 신조차 고장관리 세부현황'!$BC:$BC,"완료",'2023년 신조차 고장관리 세부현황'!$CY:$CY,"방송장치")</f>
        <v>0</v>
      </c>
      <c r="BL339"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분석_15일'!$F339,'2023년 신조차 고장관리 세부현황'!$BC:$BC,"완료",'2023년 신조차 고장관리 세부현황'!$CY:$CY,"방송장치")</f>
        <v>0</v>
      </c>
      <c r="BM339"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분석_15일'!$F339,'2023년 신조차 고장관리 세부현황'!$BC:$BC,"완료",'2023년 신조차 고장관리 세부현황'!$CY:$CY,"방송장치")</f>
        <v>0</v>
      </c>
      <c r="BN339"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분석_15일'!$F339,'2023년 신조차 고장관리 세부현황'!$BC:$BC,"완료",'2023년 신조차 고장관리 세부현황'!$CY:$CY,"방송장치")</f>
        <v>0</v>
      </c>
      <c r="BO339"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분석_15일'!$F339,'2023년 신조차 고장관리 세부현황'!$BC:$BC,"완료",'2023년 신조차 고장관리 세부현황'!$CY:$CY,"방송장치")</f>
        <v>0</v>
      </c>
      <c r="BP339"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분석_15일'!$F339,'2023년 신조차 고장관리 세부현황'!$BC:$BC,"완료",'2023년 신조차 고장관리 세부현황'!$CY:$CY,"방송장치")</f>
        <v>0</v>
      </c>
      <c r="BQ339"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분석_15일'!$F339,'2023년 신조차 고장관리 세부현황'!$BC:$BC,"완료",'2023년 신조차 고장관리 세부현황'!$CY:$CY,"방송장치")</f>
        <v>0</v>
      </c>
      <c r="BR339"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분석_15일'!$F339,'2023년 신조차 고장관리 세부현황'!$BC:$BC,"완료",'2023년 신조차 고장관리 세부현황'!$CY:$CY,"방송장치")</f>
        <v>0</v>
      </c>
      <c r="BS339"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분석_15일'!$F339,'2023년 신조차 고장관리 세부현황'!$BC:$BC,"완료",'2023년 신조차 고장관리 세부현황'!$CY:$CY,"방송장치")</f>
        <v>0</v>
      </c>
      <c r="BT339"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분석_15일'!$F339,'2023년 신조차 고장관리 세부현황'!$BC:$BC,"완료",'2023년 신조차 고장관리 세부현황'!$CY:$CY,"방송장치")</f>
        <v>0</v>
      </c>
      <c r="BU339"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분석_15일'!$F339,'2023년 신조차 고장관리 세부현황'!$BC:$BC,"완료",'2023년 신조차 고장관리 세부현황'!$CY:$CY,"방송장치")</f>
        <v>0</v>
      </c>
      <c r="BV339"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분석_15일'!$F339,'2023년 신조차 고장관리 세부현황'!$BC:$BC,"완료",'2023년 신조차 고장관리 세부현황'!$CY:$CY,"방송장치")</f>
        <v>0</v>
      </c>
      <c r="BW339"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분석_15일'!$F339,'2023년 신조차 고장관리 세부현황'!$BC:$BC,"완료",'2023년 신조차 고장관리 세부현황'!$CY:$CY,"방송장치")</f>
        <v>0</v>
      </c>
      <c r="BX339"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분석_15일'!$F339,'2023년 신조차 고장관리 세부현황'!$BC:$BC,"완료",'2023년 신조차 고장관리 세부현황'!$CY:$CY,"방송장치")</f>
        <v>0</v>
      </c>
      <c r="BY339"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분석_15일'!$F339,'2023년 신조차 고장관리 세부현황'!$BC:$BC,"완료",'2023년 신조차 고장관리 세부현황'!$CY:$CY,"방송장치")</f>
        <v>0</v>
      </c>
      <c r="BZ339"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분석_15일'!$F339,'2023년 신조차 고장관리 세부현황'!$BC:$BC,"완료",'2023년 신조차 고장관리 세부현황'!$CY:$CY,"방송장치")</f>
        <v>0</v>
      </c>
      <c r="CA339"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분석_15일'!$F339,'2023년 신조차 고장관리 세부현황'!$BC:$BC,"완료",'2023년 신조차 고장관리 세부현황'!$CY:$CY,"방송장치")</f>
        <v>0</v>
      </c>
      <c r="CB339"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분석_15일'!$F339,'2023년 신조차 고장관리 세부현황'!$BC:$BC,"완료",'2023년 신조차 고장관리 세부현황'!$CY:$CY,"방송장치")</f>
        <v>0</v>
      </c>
      <c r="CC339"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분석_15일'!$F339,'2023년 신조차 고장관리 세부현황'!$BC:$BC,"완료",'2023년 신조차 고장관리 세부현황'!$CY:$CY,"방송장치")</f>
        <v>0</v>
      </c>
      <c r="CD339"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분석_15일'!$F339,'2023년 신조차 고장관리 세부현황'!$BC:$BC,"완료",'2023년 신조차 고장관리 세부현황'!$CY:$CY,"방송장치")</f>
        <v>0</v>
      </c>
      <c r="CE339"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분석_15일'!$F339,'2023년 신조차 고장관리 세부현황'!$BC:$BC,"완료",'2023년 신조차 고장관리 세부현황'!$CY:$CY,"방송장치")</f>
        <v>0</v>
      </c>
      <c r="CF339"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분석_15일'!$F339,'2023년 신조차 고장관리 세부현황'!$BC:$BC,"완료",'2023년 신조차 고장관리 세부현황'!$CY:$CY,"방송장치")</f>
        <v>0</v>
      </c>
      <c r="CG339"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분석_15일'!$F339,'2023년 신조차 고장관리 세부현황'!$BC:$BC,"완료",'2023년 신조차 고장관리 세부현황'!$CY:$CY,"방송장치")</f>
        <v>0</v>
      </c>
      <c r="CH339"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분석_15일'!$F339,'2023년 신조차 고장관리 세부현황'!$BC:$BC,"완료",'2023년 신조차 고장관리 세부현황'!$CY:$CY,"방송장치")</f>
        <v>0</v>
      </c>
      <c r="CI339"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분석_15일'!$F339,'2023년 신조차 고장관리 세부현황'!$BC:$BC,"완료",'2023년 신조차 고장관리 세부현황'!$CY:$CY,"방송장치")</f>
        <v>0</v>
      </c>
      <c r="CJ339"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분석_15일'!$F339,'2023년 신조차 고장관리 세부현황'!$BC:$BC,"완료",'2023년 신조차 고장관리 세부현황'!$CY:$CY,"방송장치")</f>
        <v>0</v>
      </c>
      <c r="CK339"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분석_15일'!$F339,'2023년 신조차 고장관리 세부현황'!$BC:$BC,"완료",'2023년 신조차 고장관리 세부현황'!$CY:$CY,"방송장치")</f>
        <v>0</v>
      </c>
      <c r="CL339"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분석_15일'!$F339,'2023년 신조차 고장관리 세부현황'!$BC:$BC,"완료",'2023년 신조차 고장관리 세부현황'!$CY:$CY,"방송장치")</f>
        <v>0</v>
      </c>
      <c r="CM339"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분석_15일'!$F339,'2023년 신조차 고장관리 세부현황'!$BC:$BC,"완료",'2023년 신조차 고장관리 세부현황'!$CY:$CY,"방송장치")</f>
        <v>0</v>
      </c>
      <c r="CN339"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분석_15일'!$F339,'2023년 신조차 고장관리 세부현황'!$BC:$BC,"완료",'2023년 신조차 고장관리 세부현황'!$CY:$CY,"방송장치")</f>
        <v>0</v>
      </c>
      <c r="CO339"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분석_15일'!$F339,'2023년 신조차 고장관리 세부현황'!$BC:$BC,"완료",'2023년 신조차 고장관리 세부현황'!$CY:$CY,"방송장치")</f>
        <v>0</v>
      </c>
      <c r="CP339"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분석_15일'!$F339,'2023년 신조차 고장관리 세부현황'!$BC:$BC,"완료",'2023년 신조차 고장관리 세부현황'!$CY:$CY,"방송장치")</f>
        <v>0</v>
      </c>
      <c r="CQ339"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분석_15일'!$F339,'2023년 신조차 고장관리 세부현황'!$BC:$BC,"완료",'2023년 신조차 고장관리 세부현황'!$CY:$CY,"방송장치")</f>
        <v>0</v>
      </c>
      <c r="CR339"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분석_15일'!$F339,'2023년 신조차 고장관리 세부현황'!$BC:$BC,"완료",'2023년 신조차 고장관리 세부현황'!$CY:$CY,"방송장치")</f>
        <v>0</v>
      </c>
      <c r="CS339"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분석_15일'!$F339,'2023년 신조차 고장관리 세부현황'!$BC:$BC,"완료",'2023년 신조차 고장관리 세부현황'!$CY:$CY,"방송장치")</f>
        <v>0</v>
      </c>
      <c r="CT339"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분석_15일'!$F339,'2023년 신조차 고장관리 세부현황'!$BC:$BC,"완료",'2023년 신조차 고장관리 세부현황'!$CY:$CY,"방송장치")</f>
        <v>0</v>
      </c>
      <c r="CU339"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분석_15일'!$F339,'2023년 신조차 고장관리 세부현황'!$BC:$BC,"완료",'2023년 신조차 고장관리 세부현황'!$CY:$CY,"방송장치")</f>
        <v>0</v>
      </c>
      <c r="CV339"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분석_15일'!$F339,'2023년 신조차 고장관리 세부현황'!$BC:$BC,"완료",'2023년 신조차 고장관리 세부현황'!$CY:$CY,"방송장치")</f>
        <v>0</v>
      </c>
      <c r="CW339"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분석_15일'!$F339,'2023년 신조차 고장관리 세부현황'!$BC:$BC,"완료",'2023년 신조차 고장관리 세부현황'!$CY:$CY,"방송장치")</f>
        <v>0</v>
      </c>
      <c r="CX339">
        <f>SUM(G339:CW339)</f>
        <v>0</v>
      </c>
    </row>
    <row r="341" spans="6:103" x14ac:dyDescent="0.4">
      <c r="F341" t="s">
        <v>353</v>
      </c>
    </row>
    <row r="342" spans="6:103" x14ac:dyDescent="0.4">
      <c r="F342" t="s">
        <v>348</v>
      </c>
      <c r="CS342" t="s">
        <v>398</v>
      </c>
      <c r="CY342" t="s">
        <v>358</v>
      </c>
    </row>
    <row r="343" spans="6:103" x14ac:dyDescent="0.4">
      <c r="F343" s="85" t="s">
        <v>242</v>
      </c>
      <c r="G343" s="85">
        <v>1</v>
      </c>
      <c r="H343" s="85">
        <v>2</v>
      </c>
      <c r="I343" s="85">
        <v>3</v>
      </c>
      <c r="J343" s="85">
        <v>4</v>
      </c>
      <c r="K343" s="85">
        <v>5</v>
      </c>
      <c r="L343" s="85">
        <v>6</v>
      </c>
      <c r="M343" s="85">
        <v>7</v>
      </c>
      <c r="N343" s="85">
        <v>8</v>
      </c>
      <c r="O343" s="85">
        <v>9</v>
      </c>
      <c r="P343" s="85">
        <v>10</v>
      </c>
      <c r="Q343" s="85">
        <v>11</v>
      </c>
      <c r="R343" s="85">
        <v>12</v>
      </c>
      <c r="S343" s="85">
        <v>13</v>
      </c>
      <c r="T343" s="85">
        <v>14</v>
      </c>
      <c r="U343" s="85">
        <v>15</v>
      </c>
      <c r="V343" s="85">
        <v>16</v>
      </c>
      <c r="W343" s="85">
        <v>17</v>
      </c>
      <c r="X343" s="85">
        <v>18</v>
      </c>
      <c r="Y343" s="85">
        <v>19</v>
      </c>
      <c r="Z343" s="85">
        <v>20</v>
      </c>
      <c r="AA343" s="85">
        <v>21</v>
      </c>
      <c r="AB343" s="85">
        <v>22</v>
      </c>
      <c r="AC343" s="85">
        <v>23</v>
      </c>
      <c r="AD343" s="85">
        <v>24</v>
      </c>
      <c r="AE343" s="85">
        <v>25</v>
      </c>
      <c r="AF343" s="85">
        <v>26</v>
      </c>
      <c r="AG343" s="85">
        <v>27</v>
      </c>
      <c r="AH343" s="85">
        <v>28</v>
      </c>
      <c r="AI343" s="85">
        <v>29</v>
      </c>
      <c r="AJ343" s="85">
        <v>30</v>
      </c>
      <c r="AK343" s="85">
        <v>31</v>
      </c>
      <c r="AL343" s="85">
        <v>32</v>
      </c>
      <c r="AM343" s="85">
        <v>33</v>
      </c>
      <c r="AN343" s="85">
        <v>34</v>
      </c>
      <c r="AO343" s="85">
        <v>35</v>
      </c>
      <c r="AP343" s="85">
        <v>36</v>
      </c>
      <c r="AQ343" s="85">
        <v>37</v>
      </c>
      <c r="AR343" s="85">
        <v>38</v>
      </c>
      <c r="AS343" s="85">
        <v>39</v>
      </c>
      <c r="AT343" s="85">
        <v>40</v>
      </c>
      <c r="AU343" s="85">
        <v>41</v>
      </c>
      <c r="AV343" s="85">
        <v>42</v>
      </c>
      <c r="AW343" s="85">
        <v>43</v>
      </c>
      <c r="AX343" s="85">
        <v>44</v>
      </c>
      <c r="AY343" s="85">
        <v>45</v>
      </c>
      <c r="AZ343" s="85">
        <v>46</v>
      </c>
      <c r="BA343" s="85">
        <v>47</v>
      </c>
      <c r="BB343" s="85">
        <v>48</v>
      </c>
      <c r="BC343" s="85">
        <v>49</v>
      </c>
      <c r="BD343" s="85">
        <v>50</v>
      </c>
      <c r="BE343" s="85">
        <v>51</v>
      </c>
      <c r="BF343" s="85">
        <v>52</v>
      </c>
      <c r="BG343" s="85">
        <v>53</v>
      </c>
      <c r="BH343" s="85">
        <v>54</v>
      </c>
      <c r="BI343" s="85">
        <v>55</v>
      </c>
      <c r="BJ343" s="85">
        <v>56</v>
      </c>
      <c r="BK343" s="85">
        <v>57</v>
      </c>
      <c r="BL343" s="85">
        <v>58</v>
      </c>
      <c r="BM343" s="85">
        <v>59</v>
      </c>
      <c r="BN343" s="85">
        <v>60</v>
      </c>
      <c r="BO343" s="85">
        <v>61</v>
      </c>
      <c r="BP343" s="85">
        <v>62</v>
      </c>
      <c r="BQ343" s="85">
        <v>63</v>
      </c>
      <c r="BR343" s="85">
        <v>64</v>
      </c>
      <c r="BS343" s="85">
        <v>65</v>
      </c>
      <c r="BT343" s="85">
        <v>66</v>
      </c>
      <c r="BU343" s="85">
        <v>67</v>
      </c>
      <c r="BV343" s="85">
        <v>68</v>
      </c>
      <c r="BW343" s="85">
        <v>69</v>
      </c>
      <c r="BX343" s="85">
        <v>70</v>
      </c>
      <c r="BY343" s="85">
        <v>71</v>
      </c>
      <c r="BZ343" s="85">
        <v>72</v>
      </c>
      <c r="CA343" s="85">
        <v>73</v>
      </c>
      <c r="CB343" s="85">
        <v>74</v>
      </c>
      <c r="CC343" s="85">
        <v>75</v>
      </c>
      <c r="CD343" s="85">
        <v>76</v>
      </c>
      <c r="CE343" s="85">
        <v>77</v>
      </c>
      <c r="CF343" s="85">
        <v>78</v>
      </c>
      <c r="CG343" s="85">
        <v>79</v>
      </c>
      <c r="CH343" s="85">
        <v>80</v>
      </c>
      <c r="CI343" s="85">
        <v>81</v>
      </c>
      <c r="CJ343" s="85">
        <v>82</v>
      </c>
      <c r="CK343" s="85">
        <v>83</v>
      </c>
      <c r="CL343" s="85">
        <v>84</v>
      </c>
      <c r="CM343" s="85">
        <v>85</v>
      </c>
      <c r="CN343" s="85">
        <v>86</v>
      </c>
      <c r="CO343" s="85">
        <v>87</v>
      </c>
      <c r="CP343" s="85">
        <v>88</v>
      </c>
      <c r="CQ343" s="85">
        <v>89</v>
      </c>
      <c r="CR343" s="85">
        <v>90</v>
      </c>
      <c r="CS343" s="85">
        <v>91</v>
      </c>
      <c r="CT343" s="85">
        <v>92</v>
      </c>
      <c r="CU343" s="85">
        <v>93</v>
      </c>
      <c r="CV343" s="85">
        <v>94</v>
      </c>
      <c r="CW343" s="85">
        <v>95</v>
      </c>
    </row>
    <row r="344" spans="6:103" x14ac:dyDescent="0.4">
      <c r="F344" s="85" t="s">
        <v>239</v>
      </c>
      <c r="G344" s="139">
        <f>15*G343</f>
        <v>15</v>
      </c>
      <c r="H344" s="139">
        <f t="shared" ref="H344:BS344" si="335">15*H343</f>
        <v>30</v>
      </c>
      <c r="I344" s="139">
        <f t="shared" si="335"/>
        <v>45</v>
      </c>
      <c r="J344" s="139">
        <f t="shared" si="335"/>
        <v>60</v>
      </c>
      <c r="K344" s="139">
        <f t="shared" si="335"/>
        <v>75</v>
      </c>
      <c r="L344" s="139">
        <f t="shared" si="335"/>
        <v>90</v>
      </c>
      <c r="M344" s="139">
        <f t="shared" si="335"/>
        <v>105</v>
      </c>
      <c r="N344" s="139">
        <f t="shared" si="335"/>
        <v>120</v>
      </c>
      <c r="O344" s="139">
        <f t="shared" si="335"/>
        <v>135</v>
      </c>
      <c r="P344" s="139">
        <f t="shared" si="335"/>
        <v>150</v>
      </c>
      <c r="Q344" s="139">
        <f t="shared" si="335"/>
        <v>165</v>
      </c>
      <c r="R344" s="139">
        <f t="shared" si="335"/>
        <v>180</v>
      </c>
      <c r="S344" s="139">
        <f t="shared" si="335"/>
        <v>195</v>
      </c>
      <c r="T344" s="139">
        <f t="shared" si="335"/>
        <v>210</v>
      </c>
      <c r="U344" s="139">
        <f t="shared" si="335"/>
        <v>225</v>
      </c>
      <c r="V344" s="139">
        <f t="shared" si="335"/>
        <v>240</v>
      </c>
      <c r="W344" s="139">
        <f t="shared" si="335"/>
        <v>255</v>
      </c>
      <c r="X344" s="139">
        <f t="shared" si="335"/>
        <v>270</v>
      </c>
      <c r="Y344" s="139">
        <f t="shared" si="335"/>
        <v>285</v>
      </c>
      <c r="Z344" s="139">
        <f t="shared" si="335"/>
        <v>300</v>
      </c>
      <c r="AA344" s="139">
        <f t="shared" si="335"/>
        <v>315</v>
      </c>
      <c r="AB344" s="139">
        <f t="shared" si="335"/>
        <v>330</v>
      </c>
      <c r="AC344" s="139">
        <f t="shared" si="335"/>
        <v>345</v>
      </c>
      <c r="AD344" s="139">
        <f t="shared" si="335"/>
        <v>360</v>
      </c>
      <c r="AE344" s="139">
        <f t="shared" si="335"/>
        <v>375</v>
      </c>
      <c r="AF344" s="139">
        <f t="shared" si="335"/>
        <v>390</v>
      </c>
      <c r="AG344" s="139">
        <f t="shared" si="335"/>
        <v>405</v>
      </c>
      <c r="AH344" s="139">
        <f t="shared" si="335"/>
        <v>420</v>
      </c>
      <c r="AI344" s="139">
        <f t="shared" si="335"/>
        <v>435</v>
      </c>
      <c r="AJ344" s="139">
        <f t="shared" si="335"/>
        <v>450</v>
      </c>
      <c r="AK344" s="139">
        <f t="shared" si="335"/>
        <v>465</v>
      </c>
      <c r="AL344" s="139">
        <f t="shared" si="335"/>
        <v>480</v>
      </c>
      <c r="AM344" s="139">
        <f t="shared" si="335"/>
        <v>495</v>
      </c>
      <c r="AN344" s="139">
        <f t="shared" si="335"/>
        <v>510</v>
      </c>
      <c r="AO344" s="139">
        <f t="shared" si="335"/>
        <v>525</v>
      </c>
      <c r="AP344" s="139">
        <f t="shared" si="335"/>
        <v>540</v>
      </c>
      <c r="AQ344" s="139">
        <f t="shared" si="335"/>
        <v>555</v>
      </c>
      <c r="AR344" s="139">
        <f t="shared" si="335"/>
        <v>570</v>
      </c>
      <c r="AS344" s="139">
        <f t="shared" si="335"/>
        <v>585</v>
      </c>
      <c r="AT344" s="139">
        <f t="shared" si="335"/>
        <v>600</v>
      </c>
      <c r="AU344" s="139">
        <f t="shared" si="335"/>
        <v>615</v>
      </c>
      <c r="AV344" s="139">
        <f t="shared" si="335"/>
        <v>630</v>
      </c>
      <c r="AW344" s="139">
        <f t="shared" si="335"/>
        <v>645</v>
      </c>
      <c r="AX344" s="139">
        <f t="shared" si="335"/>
        <v>660</v>
      </c>
      <c r="AY344" s="139">
        <f t="shared" si="335"/>
        <v>675</v>
      </c>
      <c r="AZ344" s="139">
        <f t="shared" si="335"/>
        <v>690</v>
      </c>
      <c r="BA344" s="139">
        <f t="shared" si="335"/>
        <v>705</v>
      </c>
      <c r="BB344" s="139">
        <f t="shared" si="335"/>
        <v>720</v>
      </c>
      <c r="BC344" s="139">
        <f t="shared" si="335"/>
        <v>735</v>
      </c>
      <c r="BD344" s="139">
        <f t="shared" si="335"/>
        <v>750</v>
      </c>
      <c r="BE344" s="139">
        <f t="shared" si="335"/>
        <v>765</v>
      </c>
      <c r="BF344" s="139">
        <f t="shared" si="335"/>
        <v>780</v>
      </c>
      <c r="BG344" s="139">
        <f t="shared" si="335"/>
        <v>795</v>
      </c>
      <c r="BH344" s="139">
        <f t="shared" si="335"/>
        <v>810</v>
      </c>
      <c r="BI344" s="139">
        <f t="shared" si="335"/>
        <v>825</v>
      </c>
      <c r="BJ344" s="139">
        <f t="shared" si="335"/>
        <v>840</v>
      </c>
      <c r="BK344" s="139">
        <f t="shared" si="335"/>
        <v>855</v>
      </c>
      <c r="BL344" s="139">
        <f t="shared" si="335"/>
        <v>870</v>
      </c>
      <c r="BM344" s="139">
        <f t="shared" si="335"/>
        <v>885</v>
      </c>
      <c r="BN344" s="139">
        <f t="shared" si="335"/>
        <v>900</v>
      </c>
      <c r="BO344" s="139">
        <f t="shared" si="335"/>
        <v>915</v>
      </c>
      <c r="BP344" s="139">
        <f t="shared" si="335"/>
        <v>930</v>
      </c>
      <c r="BQ344" s="139">
        <f t="shared" si="335"/>
        <v>945</v>
      </c>
      <c r="BR344" s="139">
        <f t="shared" si="335"/>
        <v>960</v>
      </c>
      <c r="BS344" s="139">
        <f t="shared" si="335"/>
        <v>975</v>
      </c>
      <c r="BT344" s="139">
        <f t="shared" ref="BT344:CW344" si="336">15*BT343</f>
        <v>990</v>
      </c>
      <c r="BU344" s="139">
        <f t="shared" si="336"/>
        <v>1005</v>
      </c>
      <c r="BV344" s="139">
        <f t="shared" si="336"/>
        <v>1020</v>
      </c>
      <c r="BW344" s="139">
        <f t="shared" si="336"/>
        <v>1035</v>
      </c>
      <c r="BX344" s="139">
        <f t="shared" si="336"/>
        <v>1050</v>
      </c>
      <c r="BY344" s="139">
        <f t="shared" si="336"/>
        <v>1065</v>
      </c>
      <c r="BZ344" s="139">
        <f t="shared" si="336"/>
        <v>1080</v>
      </c>
      <c r="CA344" s="139">
        <f t="shared" si="336"/>
        <v>1095</v>
      </c>
      <c r="CB344" s="139">
        <f t="shared" si="336"/>
        <v>1110</v>
      </c>
      <c r="CC344" s="139">
        <f t="shared" si="336"/>
        <v>1125</v>
      </c>
      <c r="CD344" s="139">
        <f t="shared" si="336"/>
        <v>1140</v>
      </c>
      <c r="CE344" s="139">
        <f t="shared" si="336"/>
        <v>1155</v>
      </c>
      <c r="CF344" s="139">
        <f t="shared" si="336"/>
        <v>1170</v>
      </c>
      <c r="CG344" s="139">
        <f t="shared" si="336"/>
        <v>1185</v>
      </c>
      <c r="CH344" s="139">
        <f t="shared" si="336"/>
        <v>1200</v>
      </c>
      <c r="CI344" s="139">
        <f t="shared" si="336"/>
        <v>1215</v>
      </c>
      <c r="CJ344" s="139">
        <f t="shared" si="336"/>
        <v>1230</v>
      </c>
      <c r="CK344" s="139">
        <f t="shared" si="336"/>
        <v>1245</v>
      </c>
      <c r="CL344" s="139">
        <f t="shared" si="336"/>
        <v>1260</v>
      </c>
      <c r="CM344" s="139">
        <f t="shared" si="336"/>
        <v>1275</v>
      </c>
      <c r="CN344" s="139">
        <f t="shared" si="336"/>
        <v>1290</v>
      </c>
      <c r="CO344" s="139">
        <f t="shared" si="336"/>
        <v>1305</v>
      </c>
      <c r="CP344" s="139">
        <f t="shared" si="336"/>
        <v>1320</v>
      </c>
      <c r="CQ344" s="139">
        <f t="shared" si="336"/>
        <v>1335</v>
      </c>
      <c r="CR344" s="139">
        <f t="shared" si="336"/>
        <v>1350</v>
      </c>
      <c r="CS344" s="139">
        <f t="shared" si="336"/>
        <v>1365</v>
      </c>
      <c r="CT344" s="139">
        <f t="shared" si="336"/>
        <v>1380</v>
      </c>
      <c r="CU344" s="139">
        <f t="shared" si="336"/>
        <v>1395</v>
      </c>
      <c r="CV344" s="139">
        <f t="shared" si="336"/>
        <v>1410</v>
      </c>
      <c r="CW344" s="139">
        <f t="shared" si="336"/>
        <v>1425</v>
      </c>
    </row>
    <row r="345" spans="6:103" x14ac:dyDescent="0.4">
      <c r="F345" s="85" t="s">
        <v>154</v>
      </c>
      <c r="G345" s="85">
        <f>COUNTIFS('2023년 신조차 고장관리 세부현황'!$K:$K,"128R",'2023년 신조차 고장관리 세부현황'!$P:$P,"&gt;="&amp;G343,'2023년 신조차 고장관리 세부현황'!$P:$P,"&lt;"&amp;'트랜드 분석_15일'!G344,'2023년 신조차 고장관리 세부현황'!$BC:$BC,"완료",'2023년 신조차 고장관리 세부현황'!$CY:$CY,"주변압기")</f>
        <v>0</v>
      </c>
      <c r="H345" s="85">
        <f>COUNTIFS('2023년 신조차 고장관리 세부현황'!$K:$K,"128R",'2023년 신조차 고장관리 세부현황'!$P:$P,"&gt;="&amp;'트랜드 분석_15일'!G$18,'2023년 신조차 고장관리 세부현황'!$P:$P,"&lt;"&amp;'트랜드 분석_15일'!H$18,'2023년 신조차 고장관리 세부현황'!$BC:$BC,"완료",'2023년 신조차 고장관리 세부현황'!$CY:$CY,"주변압기")</f>
        <v>0</v>
      </c>
      <c r="I345" s="85">
        <f>COUNTIFS('2023년 신조차 고장관리 세부현황'!$K:$K,"128R",'2023년 신조차 고장관리 세부현황'!$P:$P,"&gt;="&amp;'트랜드 분석_15일'!H$18,'2023년 신조차 고장관리 세부현황'!$P:$P,"&lt;"&amp;'트랜드 분석_15일'!I$18,'2023년 신조차 고장관리 세부현황'!$BC:$BC,"완료",'2023년 신조차 고장관리 세부현황'!$CY:$CY,"주변압기")</f>
        <v>0</v>
      </c>
      <c r="J345" s="85">
        <f>COUNTIFS('2023년 신조차 고장관리 세부현황'!$K:$K,"128R",'2023년 신조차 고장관리 세부현황'!$P:$P,"&gt;="&amp;'트랜드 분석_15일'!I$18,'2023년 신조차 고장관리 세부현황'!$P:$P,"&lt;"&amp;'트랜드 분석_15일'!J$18,'2023년 신조차 고장관리 세부현황'!$BC:$BC,"완료",'2023년 신조차 고장관리 세부현황'!$CY:$CY,"주변압기")</f>
        <v>0</v>
      </c>
      <c r="K345" s="85">
        <f>COUNTIFS('2023년 신조차 고장관리 세부현황'!$K:$K,"128R",'2023년 신조차 고장관리 세부현황'!$P:$P,"&gt;="&amp;'트랜드 분석_15일'!J$18,'2023년 신조차 고장관리 세부현황'!$P:$P,"&lt;"&amp;'트랜드 분석_15일'!K$18,'2023년 신조차 고장관리 세부현황'!$BC:$BC,"완료",'2023년 신조차 고장관리 세부현황'!$CY:$CY,"주변압기")</f>
        <v>0</v>
      </c>
      <c r="L345" s="85">
        <f>COUNTIFS('2023년 신조차 고장관리 세부현황'!$K:$K,"128R",'2023년 신조차 고장관리 세부현황'!$P:$P,"&gt;="&amp;'트랜드 분석_15일'!K$18,'2023년 신조차 고장관리 세부현황'!$P:$P,"&lt;"&amp;'트랜드 분석_15일'!L$18,'2023년 신조차 고장관리 세부현황'!$BC:$BC,"완료",'2023년 신조차 고장관리 세부현황'!$CY:$CY,"주변압기")</f>
        <v>0</v>
      </c>
      <c r="M345" s="85">
        <f>COUNTIFS('2023년 신조차 고장관리 세부현황'!$K:$K,"128R",'2023년 신조차 고장관리 세부현황'!$P:$P,"&gt;="&amp;'트랜드 분석_15일'!L$18,'2023년 신조차 고장관리 세부현황'!$P:$P,"&lt;"&amp;'트랜드 분석_15일'!M$18,'2023년 신조차 고장관리 세부현황'!$BC:$BC,"완료",'2023년 신조차 고장관리 세부현황'!$CY:$CY,"주변압기")</f>
        <v>0</v>
      </c>
      <c r="N345" s="85">
        <f>COUNTIFS('2023년 신조차 고장관리 세부현황'!$K:$K,"128R",'2023년 신조차 고장관리 세부현황'!$P:$P,"&gt;="&amp;'트랜드 분석_15일'!M$18,'2023년 신조차 고장관리 세부현황'!$P:$P,"&lt;"&amp;'트랜드 분석_15일'!N$18,'2023년 신조차 고장관리 세부현황'!$BC:$BC,"완료",'2023년 신조차 고장관리 세부현황'!$CY:$CY,"주변압기")</f>
        <v>0</v>
      </c>
      <c r="O345" s="85">
        <f>COUNTIFS('2023년 신조차 고장관리 세부현황'!$K:$K,"128R",'2023년 신조차 고장관리 세부현황'!$P:$P,"&gt;="&amp;'트랜드 분석_15일'!N$18,'2023년 신조차 고장관리 세부현황'!$P:$P,"&lt;"&amp;'트랜드 분석_15일'!O$18,'2023년 신조차 고장관리 세부현황'!$BC:$BC,"완료",'2023년 신조차 고장관리 세부현황'!$CY:$CY,"주변압기")</f>
        <v>0</v>
      </c>
      <c r="P345" s="85">
        <f>COUNTIFS('2023년 신조차 고장관리 세부현황'!$K:$K,"128R",'2023년 신조차 고장관리 세부현황'!$P:$P,"&gt;="&amp;'트랜드 분석_15일'!O$18,'2023년 신조차 고장관리 세부현황'!$P:$P,"&lt;"&amp;'트랜드 분석_15일'!P$18,'2023년 신조차 고장관리 세부현황'!$BC:$BC,"완료",'2023년 신조차 고장관리 세부현황'!$CY:$CY,"주변압기")</f>
        <v>0</v>
      </c>
      <c r="Q345" s="85">
        <f>COUNTIFS('2023년 신조차 고장관리 세부현황'!$K:$K,"128R",'2023년 신조차 고장관리 세부현황'!$P:$P,"&gt;="&amp;'트랜드 분석_15일'!P$18,'2023년 신조차 고장관리 세부현황'!$P:$P,"&lt;"&amp;'트랜드 분석_15일'!Q$18,'2023년 신조차 고장관리 세부현황'!$BC:$BC,"완료",'2023년 신조차 고장관리 세부현황'!$CY:$CY,"주변압기")</f>
        <v>0</v>
      </c>
      <c r="R345" s="85">
        <f>COUNTIFS('2023년 신조차 고장관리 세부현황'!$K:$K,"128R",'2023년 신조차 고장관리 세부현황'!$P:$P,"&gt;="&amp;'트랜드 분석_15일'!Q$18,'2023년 신조차 고장관리 세부현황'!$P:$P,"&lt;"&amp;'트랜드 분석_15일'!R$18,'2023년 신조차 고장관리 세부현황'!$BC:$BC,"완료",'2023년 신조차 고장관리 세부현황'!$CY:$CY,"주변압기")</f>
        <v>0</v>
      </c>
      <c r="S345" s="85">
        <f>COUNTIFS('2023년 신조차 고장관리 세부현황'!$K:$K,"128R",'2023년 신조차 고장관리 세부현황'!$P:$P,"&gt;="&amp;'트랜드 분석_15일'!R$18,'2023년 신조차 고장관리 세부현황'!$P:$P,"&lt;"&amp;'트랜드 분석_15일'!S$18,'2023년 신조차 고장관리 세부현황'!$BC:$BC,"완료",'2023년 신조차 고장관리 세부현황'!$CY:$CY,"주변압기")</f>
        <v>0</v>
      </c>
      <c r="T345" s="85">
        <f>COUNTIFS('2023년 신조차 고장관리 세부현황'!$K:$K,"128R",'2023년 신조차 고장관리 세부현황'!$P:$P,"&gt;="&amp;'트랜드 분석_15일'!S$18,'2023년 신조차 고장관리 세부현황'!$P:$P,"&lt;"&amp;'트랜드 분석_15일'!T$18,'2023년 신조차 고장관리 세부현황'!$BC:$BC,"완료",'2023년 신조차 고장관리 세부현황'!$CY:$CY,"주변압기")</f>
        <v>0</v>
      </c>
      <c r="U345" s="85">
        <f>COUNTIFS('2023년 신조차 고장관리 세부현황'!$K:$K,"128R",'2023년 신조차 고장관리 세부현황'!$P:$P,"&gt;="&amp;'트랜드 분석_15일'!T$18,'2023년 신조차 고장관리 세부현황'!$P:$P,"&lt;"&amp;'트랜드 분석_15일'!U$18,'2023년 신조차 고장관리 세부현황'!$BC:$BC,"완료",'2023년 신조차 고장관리 세부현황'!$CY:$CY,"주변압기")</f>
        <v>0</v>
      </c>
      <c r="V345" s="85">
        <f>COUNTIFS('2023년 신조차 고장관리 세부현황'!$K:$K,"128R",'2023년 신조차 고장관리 세부현황'!$P:$P,"&gt;="&amp;'트랜드 분석_15일'!U$18,'2023년 신조차 고장관리 세부현황'!$P:$P,"&lt;"&amp;'트랜드 분석_15일'!V$18,'2023년 신조차 고장관리 세부현황'!$BC:$BC,"완료",'2023년 신조차 고장관리 세부현황'!$CY:$CY,"주변압기")</f>
        <v>0</v>
      </c>
      <c r="W345" s="85">
        <f>COUNTIFS('2023년 신조차 고장관리 세부현황'!$K:$K,"128R",'2023년 신조차 고장관리 세부현황'!$P:$P,"&gt;="&amp;'트랜드 분석_15일'!V$18,'2023년 신조차 고장관리 세부현황'!$P:$P,"&lt;"&amp;'트랜드 분석_15일'!W$18,'2023년 신조차 고장관리 세부현황'!$BC:$BC,"완료",'2023년 신조차 고장관리 세부현황'!$CY:$CY,"주변압기")</f>
        <v>0</v>
      </c>
      <c r="X345" s="85">
        <f>COUNTIFS('2023년 신조차 고장관리 세부현황'!$K:$K,"128R",'2023년 신조차 고장관리 세부현황'!$P:$P,"&gt;="&amp;'트랜드 분석_15일'!W$18,'2023년 신조차 고장관리 세부현황'!$P:$P,"&lt;"&amp;'트랜드 분석_15일'!X$18,'2023년 신조차 고장관리 세부현황'!$BC:$BC,"완료",'2023년 신조차 고장관리 세부현황'!$CY:$CY,"주변압기")</f>
        <v>0</v>
      </c>
      <c r="Y345" s="85">
        <f>COUNTIFS('2023년 신조차 고장관리 세부현황'!$K:$K,"128R",'2023년 신조차 고장관리 세부현황'!$P:$P,"&gt;="&amp;'트랜드 분석_15일'!X$18,'2023년 신조차 고장관리 세부현황'!$P:$P,"&lt;"&amp;'트랜드 분석_15일'!Y$18,'2023년 신조차 고장관리 세부현황'!$BC:$BC,"완료",'2023년 신조차 고장관리 세부현황'!$CY:$CY,"주변압기")</f>
        <v>0</v>
      </c>
      <c r="Z345" s="85">
        <f>COUNTIFS('2023년 신조차 고장관리 세부현황'!$K:$K,"128R",'2023년 신조차 고장관리 세부현황'!$P:$P,"&gt;="&amp;'트랜드 분석_15일'!Y$18,'2023년 신조차 고장관리 세부현황'!$P:$P,"&lt;"&amp;'트랜드 분석_15일'!Z$18,'2023년 신조차 고장관리 세부현황'!$BC:$BC,"완료",'2023년 신조차 고장관리 세부현황'!$CY:$CY,"주변압기")</f>
        <v>0</v>
      </c>
      <c r="AA345" s="85">
        <f>COUNTIFS('2023년 신조차 고장관리 세부현황'!$K:$K,"128R",'2023년 신조차 고장관리 세부현황'!$P:$P,"&gt;="&amp;'트랜드 분석_15일'!Z$18,'2023년 신조차 고장관리 세부현황'!$P:$P,"&lt;"&amp;'트랜드 분석_15일'!AA$18,'2023년 신조차 고장관리 세부현황'!$BC:$BC,"완료",'2023년 신조차 고장관리 세부현황'!$CY:$CY,"주변압기")</f>
        <v>0</v>
      </c>
      <c r="AB345" s="85">
        <f>COUNTIFS('2023년 신조차 고장관리 세부현황'!$K:$K,"128R",'2023년 신조차 고장관리 세부현황'!$P:$P,"&gt;="&amp;'트랜드 분석_15일'!AA$18,'2023년 신조차 고장관리 세부현황'!$P:$P,"&lt;"&amp;'트랜드 분석_15일'!AB$18,'2023년 신조차 고장관리 세부현황'!$BC:$BC,"완료",'2023년 신조차 고장관리 세부현황'!$CY:$CY,"주변압기")</f>
        <v>0</v>
      </c>
      <c r="AC345" s="85">
        <f>COUNTIFS('2023년 신조차 고장관리 세부현황'!$K:$K,"128R",'2023년 신조차 고장관리 세부현황'!$P:$P,"&gt;="&amp;'트랜드 분석_15일'!AB$18,'2023년 신조차 고장관리 세부현황'!$P:$P,"&lt;"&amp;'트랜드 분석_15일'!AC$18,'2023년 신조차 고장관리 세부현황'!$BC:$BC,"완료",'2023년 신조차 고장관리 세부현황'!$CY:$CY,"주변압기")</f>
        <v>0</v>
      </c>
      <c r="AD345" s="85">
        <f>COUNTIFS('2023년 신조차 고장관리 세부현황'!$K:$K,"128R",'2023년 신조차 고장관리 세부현황'!$P:$P,"&gt;="&amp;'트랜드 분석_15일'!AC$18,'2023년 신조차 고장관리 세부현황'!$P:$P,"&lt;"&amp;'트랜드 분석_15일'!AD$18,'2023년 신조차 고장관리 세부현황'!$BC:$BC,"완료",'2023년 신조차 고장관리 세부현황'!$CY:$CY,"주변압기")</f>
        <v>0</v>
      </c>
      <c r="AE345" s="85">
        <f>COUNTIFS('2023년 신조차 고장관리 세부현황'!$K:$K,"128R",'2023년 신조차 고장관리 세부현황'!$P:$P,"&gt;="&amp;'트랜드 분석_15일'!AD$18,'2023년 신조차 고장관리 세부현황'!$P:$P,"&lt;"&amp;'트랜드 분석_15일'!AE$18,'2023년 신조차 고장관리 세부현황'!$BC:$BC,"완료",'2023년 신조차 고장관리 세부현황'!$CY:$CY,"주변압기")</f>
        <v>0</v>
      </c>
      <c r="AF345" s="85">
        <f>COUNTIFS('2023년 신조차 고장관리 세부현황'!$K:$K,"128R",'2023년 신조차 고장관리 세부현황'!$P:$P,"&gt;="&amp;'트랜드 분석_15일'!AE$18,'2023년 신조차 고장관리 세부현황'!$P:$P,"&lt;"&amp;'트랜드 분석_15일'!AF$18,'2023년 신조차 고장관리 세부현황'!$BC:$BC,"완료",'2023년 신조차 고장관리 세부현황'!$CY:$CY,"주변압기")</f>
        <v>0</v>
      </c>
      <c r="AG345" s="85">
        <f>COUNTIFS('2023년 신조차 고장관리 세부현황'!$K:$K,"128R",'2023년 신조차 고장관리 세부현황'!$P:$P,"&gt;="&amp;'트랜드 분석_15일'!AF$18,'2023년 신조차 고장관리 세부현황'!$P:$P,"&lt;"&amp;'트랜드 분석_15일'!AG$18,'2023년 신조차 고장관리 세부현황'!$BC:$BC,"완료",'2023년 신조차 고장관리 세부현황'!$CY:$CY,"주변압기")</f>
        <v>0</v>
      </c>
      <c r="AH345" s="85">
        <f>COUNTIFS('2023년 신조차 고장관리 세부현황'!$K:$K,"128R",'2023년 신조차 고장관리 세부현황'!$P:$P,"&gt;="&amp;'트랜드 분석_15일'!AG$18,'2023년 신조차 고장관리 세부현황'!$P:$P,"&lt;"&amp;'트랜드 분석_15일'!AH$18,'2023년 신조차 고장관리 세부현황'!$BC:$BC,"완료",'2023년 신조차 고장관리 세부현황'!$CY:$CY,"주변압기")</f>
        <v>0</v>
      </c>
      <c r="AI345" s="85">
        <f>COUNTIFS('2023년 신조차 고장관리 세부현황'!$K:$K,"128R",'2023년 신조차 고장관리 세부현황'!$P:$P,"&gt;="&amp;'트랜드 분석_15일'!AH$18,'2023년 신조차 고장관리 세부현황'!$P:$P,"&lt;"&amp;'트랜드 분석_15일'!AI$18,'2023년 신조차 고장관리 세부현황'!$BC:$BC,"완료",'2023년 신조차 고장관리 세부현황'!$CY:$CY,"주변압기")</f>
        <v>0</v>
      </c>
      <c r="AJ345" s="85">
        <f>COUNTIFS('2023년 신조차 고장관리 세부현황'!$K:$K,"128R",'2023년 신조차 고장관리 세부현황'!$P:$P,"&gt;="&amp;'트랜드 분석_15일'!AI$18,'2023년 신조차 고장관리 세부현황'!$P:$P,"&lt;"&amp;'트랜드 분석_15일'!AJ$18,'2023년 신조차 고장관리 세부현황'!$BC:$BC,"완료",'2023년 신조차 고장관리 세부현황'!$CY:$CY,"주변압기")</f>
        <v>0</v>
      </c>
      <c r="AK345" s="85">
        <f>COUNTIFS('2023년 신조차 고장관리 세부현황'!$K:$K,"128R",'2023년 신조차 고장관리 세부현황'!$P:$P,"&gt;="&amp;'트랜드 분석_15일'!AJ$18,'2023년 신조차 고장관리 세부현황'!$P:$P,"&lt;"&amp;'트랜드 분석_15일'!AK$18,'2023년 신조차 고장관리 세부현황'!$BC:$BC,"완료",'2023년 신조차 고장관리 세부현황'!$CY:$CY,"주변압기")</f>
        <v>0</v>
      </c>
      <c r="AL345" s="85">
        <f>COUNTIFS('2023년 신조차 고장관리 세부현황'!$K:$K,"128R",'2023년 신조차 고장관리 세부현황'!$P:$P,"&gt;="&amp;'트랜드 분석_15일'!AK$18,'2023년 신조차 고장관리 세부현황'!$P:$P,"&lt;"&amp;'트랜드 분석_15일'!AL$18,'2023년 신조차 고장관리 세부현황'!$BC:$BC,"완료",'2023년 신조차 고장관리 세부현황'!$CY:$CY,"주변압기")</f>
        <v>0</v>
      </c>
      <c r="AM345" s="85">
        <f>COUNTIFS('2023년 신조차 고장관리 세부현황'!$K:$K,"128R",'2023년 신조차 고장관리 세부현황'!$P:$P,"&gt;="&amp;'트랜드 분석_15일'!AL$18,'2023년 신조차 고장관리 세부현황'!$P:$P,"&lt;"&amp;'트랜드 분석_15일'!AM$18,'2023년 신조차 고장관리 세부현황'!$BC:$BC,"완료",'2023년 신조차 고장관리 세부현황'!$CY:$CY,"주변압기")</f>
        <v>0</v>
      </c>
      <c r="AN345" s="85">
        <f>COUNTIFS('2023년 신조차 고장관리 세부현황'!$K:$K,"128R",'2023년 신조차 고장관리 세부현황'!$P:$P,"&gt;="&amp;'트랜드 분석_15일'!AM$18,'2023년 신조차 고장관리 세부현황'!$P:$P,"&lt;"&amp;'트랜드 분석_15일'!AN$18,'2023년 신조차 고장관리 세부현황'!$BC:$BC,"완료",'2023년 신조차 고장관리 세부현황'!$CY:$CY,"주변압기")</f>
        <v>0</v>
      </c>
      <c r="AO345" s="85">
        <f>COUNTIFS('2023년 신조차 고장관리 세부현황'!$K:$K,"128R",'2023년 신조차 고장관리 세부현황'!$P:$P,"&gt;="&amp;'트랜드 분석_15일'!AN$18,'2023년 신조차 고장관리 세부현황'!$P:$P,"&lt;"&amp;'트랜드 분석_15일'!AO$18,'2023년 신조차 고장관리 세부현황'!$BC:$BC,"완료",'2023년 신조차 고장관리 세부현황'!$CY:$CY,"주변압기")</f>
        <v>0</v>
      </c>
      <c r="AP345" s="85">
        <f>COUNTIFS('2023년 신조차 고장관리 세부현황'!$K:$K,"128R",'2023년 신조차 고장관리 세부현황'!$P:$P,"&gt;="&amp;'트랜드 분석_15일'!AO$18,'2023년 신조차 고장관리 세부현황'!$P:$P,"&lt;"&amp;'트랜드 분석_15일'!AP$18,'2023년 신조차 고장관리 세부현황'!$BC:$BC,"완료",'2023년 신조차 고장관리 세부현황'!$CY:$CY,"주변압기")</f>
        <v>0</v>
      </c>
      <c r="AQ345" s="85">
        <f>COUNTIFS('2023년 신조차 고장관리 세부현황'!$K:$K,"128R",'2023년 신조차 고장관리 세부현황'!$P:$P,"&gt;="&amp;'트랜드 분석_15일'!AP$18,'2023년 신조차 고장관리 세부현황'!$P:$P,"&lt;"&amp;'트랜드 분석_15일'!AQ$18,'2023년 신조차 고장관리 세부현황'!$BC:$BC,"완료",'2023년 신조차 고장관리 세부현황'!$CY:$CY,"주변압기")</f>
        <v>0</v>
      </c>
      <c r="AR345" s="85">
        <f>COUNTIFS('2023년 신조차 고장관리 세부현황'!$K:$K,"128R",'2023년 신조차 고장관리 세부현황'!$P:$P,"&gt;="&amp;'트랜드 분석_15일'!AQ$18,'2023년 신조차 고장관리 세부현황'!$P:$P,"&lt;"&amp;'트랜드 분석_15일'!AR$18,'2023년 신조차 고장관리 세부현황'!$BC:$BC,"완료",'2023년 신조차 고장관리 세부현황'!$CY:$CY,"주변압기")</f>
        <v>0</v>
      </c>
      <c r="AS345" s="85">
        <f>COUNTIFS('2023년 신조차 고장관리 세부현황'!$K:$K,"128R",'2023년 신조차 고장관리 세부현황'!$P:$P,"&gt;="&amp;'트랜드 분석_15일'!AR$18,'2023년 신조차 고장관리 세부현황'!$P:$P,"&lt;"&amp;'트랜드 분석_15일'!AS$18,'2023년 신조차 고장관리 세부현황'!$BC:$BC,"완료",'2023년 신조차 고장관리 세부현황'!$CY:$CY,"주변압기")</f>
        <v>0</v>
      </c>
      <c r="AT345" s="85">
        <f>COUNTIFS('2023년 신조차 고장관리 세부현황'!$K:$K,"128R",'2023년 신조차 고장관리 세부현황'!$P:$P,"&gt;="&amp;'트랜드 분석_15일'!AS$18,'2023년 신조차 고장관리 세부현황'!$P:$P,"&lt;"&amp;'트랜드 분석_15일'!AT$18,'2023년 신조차 고장관리 세부현황'!$BC:$BC,"완료",'2023년 신조차 고장관리 세부현황'!$CY:$CY,"주변압기")</f>
        <v>0</v>
      </c>
      <c r="AU345" s="85">
        <f>COUNTIFS('2023년 신조차 고장관리 세부현황'!$K:$K,"128R",'2023년 신조차 고장관리 세부현황'!$P:$P,"&gt;="&amp;'트랜드 분석_15일'!AT$18,'2023년 신조차 고장관리 세부현황'!$P:$P,"&lt;"&amp;'트랜드 분석_15일'!AU$18,'2023년 신조차 고장관리 세부현황'!$BC:$BC,"완료",'2023년 신조차 고장관리 세부현황'!$CY:$CY,"주변압기")</f>
        <v>0</v>
      </c>
      <c r="AV345" s="85">
        <f>COUNTIFS('2023년 신조차 고장관리 세부현황'!$K:$K,"128R",'2023년 신조차 고장관리 세부현황'!$P:$P,"&gt;="&amp;'트랜드 분석_15일'!AU$18,'2023년 신조차 고장관리 세부현황'!$P:$P,"&lt;"&amp;'트랜드 분석_15일'!AV$18,'2023년 신조차 고장관리 세부현황'!$BC:$BC,"완료",'2023년 신조차 고장관리 세부현황'!$CY:$CY,"주변압기")</f>
        <v>0</v>
      </c>
      <c r="AW345" s="85">
        <f>COUNTIFS('2023년 신조차 고장관리 세부현황'!$K:$K,"128R",'2023년 신조차 고장관리 세부현황'!$P:$P,"&gt;="&amp;'트랜드 분석_15일'!AV$18,'2023년 신조차 고장관리 세부현황'!$P:$P,"&lt;"&amp;'트랜드 분석_15일'!AW$18,'2023년 신조차 고장관리 세부현황'!$BC:$BC,"완료",'2023년 신조차 고장관리 세부현황'!$CY:$CY,"주변압기")</f>
        <v>0</v>
      </c>
      <c r="AX345" s="85">
        <f>COUNTIFS('2023년 신조차 고장관리 세부현황'!$K:$K,"128R",'2023년 신조차 고장관리 세부현황'!$P:$P,"&gt;="&amp;'트랜드 분석_15일'!AW$18,'2023년 신조차 고장관리 세부현황'!$P:$P,"&lt;"&amp;'트랜드 분석_15일'!AX$18,'2023년 신조차 고장관리 세부현황'!$BC:$BC,"완료",'2023년 신조차 고장관리 세부현황'!$CY:$CY,"주변압기")</f>
        <v>0</v>
      </c>
      <c r="AY345" s="85">
        <f>COUNTIFS('2023년 신조차 고장관리 세부현황'!$K:$K,"128R",'2023년 신조차 고장관리 세부현황'!$P:$P,"&gt;="&amp;'트랜드 분석_15일'!AX$18,'2023년 신조차 고장관리 세부현황'!$P:$P,"&lt;"&amp;'트랜드 분석_15일'!AY$18,'2023년 신조차 고장관리 세부현황'!$BC:$BC,"완료",'2023년 신조차 고장관리 세부현황'!$CY:$CY,"주변압기")</f>
        <v>0</v>
      </c>
      <c r="AZ345" s="85">
        <f>COUNTIFS('2023년 신조차 고장관리 세부현황'!$K:$K,"128R",'2023년 신조차 고장관리 세부현황'!$P:$P,"&gt;="&amp;'트랜드 분석_15일'!AY$18,'2023년 신조차 고장관리 세부현황'!$P:$P,"&lt;"&amp;'트랜드 분석_15일'!AZ$18,'2023년 신조차 고장관리 세부현황'!$BC:$BC,"완료",'2023년 신조차 고장관리 세부현황'!$CY:$CY,"주변압기")</f>
        <v>0</v>
      </c>
      <c r="BA345" s="85">
        <f>COUNTIFS('2023년 신조차 고장관리 세부현황'!$K:$K,"128R",'2023년 신조차 고장관리 세부현황'!$P:$P,"&gt;="&amp;'트랜드 분석_15일'!AZ$18,'2023년 신조차 고장관리 세부현황'!$P:$P,"&lt;"&amp;'트랜드 분석_15일'!BA$18,'2023년 신조차 고장관리 세부현황'!$BC:$BC,"완료",'2023년 신조차 고장관리 세부현황'!$CY:$CY,"주변압기")</f>
        <v>0</v>
      </c>
      <c r="BB345" s="85">
        <f>COUNTIFS('2023년 신조차 고장관리 세부현황'!$K:$K,"128R",'2023년 신조차 고장관리 세부현황'!$P:$P,"&gt;="&amp;'트랜드 분석_15일'!BA$18,'2023년 신조차 고장관리 세부현황'!$P:$P,"&lt;"&amp;'트랜드 분석_15일'!BB$18,'2023년 신조차 고장관리 세부현황'!$BC:$BC,"완료",'2023년 신조차 고장관리 세부현황'!$CY:$CY,"주변압기")</f>
        <v>0</v>
      </c>
      <c r="BC345" s="85">
        <f>COUNTIFS('2023년 신조차 고장관리 세부현황'!$K:$K,"128R",'2023년 신조차 고장관리 세부현황'!$P:$P,"&gt;="&amp;'트랜드 분석_15일'!BB$18,'2023년 신조차 고장관리 세부현황'!$P:$P,"&lt;"&amp;'트랜드 분석_15일'!BC$18,'2023년 신조차 고장관리 세부현황'!$BC:$BC,"완료",'2023년 신조차 고장관리 세부현황'!$CY:$CY,"주변압기")</f>
        <v>0</v>
      </c>
      <c r="BD345" s="85">
        <f>COUNTIFS('2023년 신조차 고장관리 세부현황'!$K:$K,"128R",'2023년 신조차 고장관리 세부현황'!$P:$P,"&gt;="&amp;'트랜드 분석_15일'!BC$18,'2023년 신조차 고장관리 세부현황'!$P:$P,"&lt;"&amp;'트랜드 분석_15일'!BD$18,'2023년 신조차 고장관리 세부현황'!$BC:$BC,"완료",'2023년 신조차 고장관리 세부현황'!$CY:$CY,"주변압기")</f>
        <v>0</v>
      </c>
      <c r="BE345" s="85">
        <f>COUNTIFS('2023년 신조차 고장관리 세부현황'!$K:$K,"128R",'2023년 신조차 고장관리 세부현황'!$P:$P,"&gt;="&amp;'트랜드 분석_15일'!BD$18,'2023년 신조차 고장관리 세부현황'!$P:$P,"&lt;"&amp;'트랜드 분석_15일'!BE$18,'2023년 신조차 고장관리 세부현황'!$BC:$BC,"완료",'2023년 신조차 고장관리 세부현황'!$CY:$CY,"주변압기")</f>
        <v>0</v>
      </c>
      <c r="BF345" s="85">
        <f>COUNTIFS('2023년 신조차 고장관리 세부현황'!$K:$K,"128R",'2023년 신조차 고장관리 세부현황'!$P:$P,"&gt;="&amp;'트랜드 분석_15일'!BE$18,'2023년 신조차 고장관리 세부현황'!$P:$P,"&lt;"&amp;'트랜드 분석_15일'!BF$18,'2023년 신조차 고장관리 세부현황'!$BC:$BC,"완료",'2023년 신조차 고장관리 세부현황'!$CY:$CY,"주변압기")</f>
        <v>0</v>
      </c>
      <c r="BG345" s="85">
        <f>COUNTIFS('2023년 신조차 고장관리 세부현황'!$K:$K,"128R",'2023년 신조차 고장관리 세부현황'!$P:$P,"&gt;="&amp;'트랜드 분석_15일'!BF$18,'2023년 신조차 고장관리 세부현황'!$P:$P,"&lt;"&amp;'트랜드 분석_15일'!BG$18,'2023년 신조차 고장관리 세부현황'!$BC:$BC,"완료",'2023년 신조차 고장관리 세부현황'!$CY:$CY,"주변압기")</f>
        <v>0</v>
      </c>
      <c r="BH345" s="85">
        <f>COUNTIFS('2023년 신조차 고장관리 세부현황'!$K:$K,"128R",'2023년 신조차 고장관리 세부현황'!$P:$P,"&gt;="&amp;'트랜드 분석_15일'!BG$18,'2023년 신조차 고장관리 세부현황'!$P:$P,"&lt;"&amp;'트랜드 분석_15일'!BH$18,'2023년 신조차 고장관리 세부현황'!$BC:$BC,"완료",'2023년 신조차 고장관리 세부현황'!$CY:$CY,"주변압기")</f>
        <v>0</v>
      </c>
      <c r="BI345" s="85">
        <f>COUNTIFS('2023년 신조차 고장관리 세부현황'!$K:$K,"128R",'2023년 신조차 고장관리 세부현황'!$P:$P,"&gt;="&amp;'트랜드 분석_15일'!BH$18,'2023년 신조차 고장관리 세부현황'!$P:$P,"&lt;"&amp;'트랜드 분석_15일'!BI$18,'2023년 신조차 고장관리 세부현황'!$BC:$BC,"완료",'2023년 신조차 고장관리 세부현황'!$CY:$CY,"주변압기")</f>
        <v>0</v>
      </c>
      <c r="BJ345" s="85">
        <f>COUNTIFS('2023년 신조차 고장관리 세부현황'!$K:$K,"128R",'2023년 신조차 고장관리 세부현황'!$P:$P,"&gt;="&amp;'트랜드 분석_15일'!BI$18,'2023년 신조차 고장관리 세부현황'!$P:$P,"&lt;"&amp;'트랜드 분석_15일'!BJ$18,'2023년 신조차 고장관리 세부현황'!$BC:$BC,"완료",'2023년 신조차 고장관리 세부현황'!$CY:$CY,"주변압기")</f>
        <v>0</v>
      </c>
      <c r="BK345" s="85">
        <f>COUNTIFS('2023년 신조차 고장관리 세부현황'!$K:$K,"128R",'2023년 신조차 고장관리 세부현황'!$P:$P,"&gt;="&amp;'트랜드 분석_15일'!BJ$18,'2023년 신조차 고장관리 세부현황'!$P:$P,"&lt;"&amp;'트랜드 분석_15일'!BK$18,'2023년 신조차 고장관리 세부현황'!$BC:$BC,"완료",'2023년 신조차 고장관리 세부현황'!$CY:$CY,"주변압기")</f>
        <v>0</v>
      </c>
      <c r="BL345" s="85">
        <f>COUNTIFS('2023년 신조차 고장관리 세부현황'!$K:$K,"128R",'2023년 신조차 고장관리 세부현황'!$P:$P,"&gt;="&amp;'트랜드 분석_15일'!BK$18,'2023년 신조차 고장관리 세부현황'!$P:$P,"&lt;"&amp;'트랜드 분석_15일'!BL$18,'2023년 신조차 고장관리 세부현황'!$BC:$BC,"완료",'2023년 신조차 고장관리 세부현황'!$CY:$CY,"주변압기")</f>
        <v>0</v>
      </c>
      <c r="BM345" s="85">
        <f>COUNTIFS('2023년 신조차 고장관리 세부현황'!$K:$K,"128R",'2023년 신조차 고장관리 세부현황'!$P:$P,"&gt;="&amp;'트랜드 분석_15일'!BL$18,'2023년 신조차 고장관리 세부현황'!$P:$P,"&lt;"&amp;'트랜드 분석_15일'!BM$18,'2023년 신조차 고장관리 세부현황'!$BC:$BC,"완료",'2023년 신조차 고장관리 세부현황'!$CY:$CY,"주변압기")</f>
        <v>0</v>
      </c>
      <c r="BN345" s="85">
        <f>COUNTIFS('2023년 신조차 고장관리 세부현황'!$K:$K,"128R",'2023년 신조차 고장관리 세부현황'!$P:$P,"&gt;="&amp;'트랜드 분석_15일'!BM$18,'2023년 신조차 고장관리 세부현황'!$P:$P,"&lt;"&amp;'트랜드 분석_15일'!BN$18,'2023년 신조차 고장관리 세부현황'!$BC:$BC,"완료",'2023년 신조차 고장관리 세부현황'!$CY:$CY,"주변압기")</f>
        <v>0</v>
      </c>
      <c r="BO345" s="85">
        <f>COUNTIFS('2023년 신조차 고장관리 세부현황'!$K:$K,"128R",'2023년 신조차 고장관리 세부현황'!$P:$P,"&gt;="&amp;'트랜드 분석_15일'!BN$18,'2023년 신조차 고장관리 세부현황'!$P:$P,"&lt;"&amp;'트랜드 분석_15일'!BO$18,'2023년 신조차 고장관리 세부현황'!$BC:$BC,"완료",'2023년 신조차 고장관리 세부현황'!$CY:$CY,"주변압기")</f>
        <v>0</v>
      </c>
      <c r="BP345" s="85">
        <f>COUNTIFS('2023년 신조차 고장관리 세부현황'!$K:$K,"128R",'2023년 신조차 고장관리 세부현황'!$P:$P,"&gt;="&amp;'트랜드 분석_15일'!BO$18,'2023년 신조차 고장관리 세부현황'!$P:$P,"&lt;"&amp;'트랜드 분석_15일'!BP$18,'2023년 신조차 고장관리 세부현황'!$BC:$BC,"완료",'2023년 신조차 고장관리 세부현황'!$CY:$CY,"주변압기")</f>
        <v>0</v>
      </c>
      <c r="BQ345" s="85">
        <f>COUNTIFS('2023년 신조차 고장관리 세부현황'!$K:$K,"128R",'2023년 신조차 고장관리 세부현황'!$P:$P,"&gt;="&amp;'트랜드 분석_15일'!BP$18,'2023년 신조차 고장관리 세부현황'!$P:$P,"&lt;"&amp;'트랜드 분석_15일'!BQ$18,'2023년 신조차 고장관리 세부현황'!$BC:$BC,"완료",'2023년 신조차 고장관리 세부현황'!$CY:$CY,"주변압기")</f>
        <v>0</v>
      </c>
      <c r="BR345" s="85">
        <f>COUNTIFS('2023년 신조차 고장관리 세부현황'!$K:$K,"128R",'2023년 신조차 고장관리 세부현황'!$P:$P,"&gt;="&amp;'트랜드 분석_15일'!BQ$18,'2023년 신조차 고장관리 세부현황'!$P:$P,"&lt;"&amp;'트랜드 분석_15일'!BR$18,'2023년 신조차 고장관리 세부현황'!$BC:$BC,"완료",'2023년 신조차 고장관리 세부현황'!$CY:$CY,"주변압기")</f>
        <v>0</v>
      </c>
      <c r="BS345" s="85">
        <f>COUNTIFS('2023년 신조차 고장관리 세부현황'!$K:$K,"128R",'2023년 신조차 고장관리 세부현황'!$P:$P,"&gt;="&amp;'트랜드 분석_15일'!BR$18,'2023년 신조차 고장관리 세부현황'!$P:$P,"&lt;"&amp;'트랜드 분석_15일'!BS$18,'2023년 신조차 고장관리 세부현황'!$BC:$BC,"완료",'2023년 신조차 고장관리 세부현황'!$CY:$CY,"주변압기")</f>
        <v>0</v>
      </c>
      <c r="BT345" s="85">
        <f>COUNTIFS('2023년 신조차 고장관리 세부현황'!$K:$K,"128R",'2023년 신조차 고장관리 세부현황'!$P:$P,"&gt;="&amp;'트랜드 분석_15일'!BS$18,'2023년 신조차 고장관리 세부현황'!$P:$P,"&lt;"&amp;'트랜드 분석_15일'!BT$18,'2023년 신조차 고장관리 세부현황'!$BC:$BC,"완료",'2023년 신조차 고장관리 세부현황'!$CY:$CY,"주변압기")</f>
        <v>0</v>
      </c>
      <c r="BU345" s="85">
        <f>COUNTIFS('2023년 신조차 고장관리 세부현황'!$K:$K,"128R",'2023년 신조차 고장관리 세부현황'!$P:$P,"&gt;="&amp;'트랜드 분석_15일'!BT$18,'2023년 신조차 고장관리 세부현황'!$P:$P,"&lt;"&amp;'트랜드 분석_15일'!BU$18,'2023년 신조차 고장관리 세부현황'!$BC:$BC,"완료",'2023년 신조차 고장관리 세부현황'!$CY:$CY,"주변압기")</f>
        <v>0</v>
      </c>
      <c r="BV345" s="85">
        <f>COUNTIFS('2023년 신조차 고장관리 세부현황'!$K:$K,"128R",'2023년 신조차 고장관리 세부현황'!$P:$P,"&gt;="&amp;'트랜드 분석_15일'!BU$18,'2023년 신조차 고장관리 세부현황'!$P:$P,"&lt;"&amp;'트랜드 분석_15일'!BV$18,'2023년 신조차 고장관리 세부현황'!$BC:$BC,"완료",'2023년 신조차 고장관리 세부현황'!$CY:$CY,"주변압기")</f>
        <v>0</v>
      </c>
      <c r="BW345" s="85">
        <f>COUNTIFS('2023년 신조차 고장관리 세부현황'!$K:$K,"128R",'2023년 신조차 고장관리 세부현황'!$P:$P,"&gt;="&amp;'트랜드 분석_15일'!BV$18,'2023년 신조차 고장관리 세부현황'!$P:$P,"&lt;"&amp;'트랜드 분석_15일'!BW$18,'2023년 신조차 고장관리 세부현황'!$BC:$BC,"완료",'2023년 신조차 고장관리 세부현황'!$CY:$CY,"주변압기")</f>
        <v>0</v>
      </c>
      <c r="BX345" s="85">
        <f>COUNTIFS('2023년 신조차 고장관리 세부현황'!$K:$K,"128R",'2023년 신조차 고장관리 세부현황'!$P:$P,"&gt;="&amp;'트랜드 분석_15일'!BW$18,'2023년 신조차 고장관리 세부현황'!$P:$P,"&lt;"&amp;'트랜드 분석_15일'!BX$18,'2023년 신조차 고장관리 세부현황'!$BC:$BC,"완료",'2023년 신조차 고장관리 세부현황'!$CY:$CY,"주변압기")</f>
        <v>0</v>
      </c>
      <c r="BY345" s="85">
        <f>COUNTIFS('2023년 신조차 고장관리 세부현황'!$K:$K,"128R",'2023년 신조차 고장관리 세부현황'!$P:$P,"&gt;="&amp;'트랜드 분석_15일'!BX$18,'2023년 신조차 고장관리 세부현황'!$P:$P,"&lt;"&amp;'트랜드 분석_15일'!BY$18,'2023년 신조차 고장관리 세부현황'!$BC:$BC,"완료",'2023년 신조차 고장관리 세부현황'!$CY:$CY,"주변압기")</f>
        <v>0</v>
      </c>
      <c r="BZ345" s="85">
        <f>COUNTIFS('2023년 신조차 고장관리 세부현황'!$K:$K,"128R",'2023년 신조차 고장관리 세부현황'!$P:$P,"&gt;="&amp;'트랜드 분석_15일'!BY$18,'2023년 신조차 고장관리 세부현황'!$P:$P,"&lt;"&amp;'트랜드 분석_15일'!BZ$18,'2023년 신조차 고장관리 세부현황'!$BC:$BC,"완료",'2023년 신조차 고장관리 세부현황'!$CY:$CY,"주변압기")</f>
        <v>0</v>
      </c>
      <c r="CA345" s="85">
        <f>COUNTIFS('2023년 신조차 고장관리 세부현황'!$K:$K,"128R",'2023년 신조차 고장관리 세부현황'!$P:$P,"&gt;="&amp;'트랜드 분석_15일'!BZ$18,'2023년 신조차 고장관리 세부현황'!$P:$P,"&lt;"&amp;'트랜드 분석_15일'!CA$18,'2023년 신조차 고장관리 세부현황'!$BC:$BC,"완료",'2023년 신조차 고장관리 세부현황'!$CY:$CY,"주변압기")</f>
        <v>0</v>
      </c>
      <c r="CB345" s="85">
        <f>COUNTIFS('2023년 신조차 고장관리 세부현황'!$K:$K,"128R",'2023년 신조차 고장관리 세부현황'!$P:$P,"&gt;="&amp;'트랜드 분석_15일'!CA$18,'2023년 신조차 고장관리 세부현황'!$P:$P,"&lt;"&amp;'트랜드 분석_15일'!CB$18,'2023년 신조차 고장관리 세부현황'!$BC:$BC,"완료",'2023년 신조차 고장관리 세부현황'!$CY:$CY,"주변압기")</f>
        <v>0</v>
      </c>
      <c r="CC345" s="85">
        <f>COUNTIFS('2023년 신조차 고장관리 세부현황'!$K:$K,"128R",'2023년 신조차 고장관리 세부현황'!$P:$P,"&gt;="&amp;'트랜드 분석_15일'!CB$18,'2023년 신조차 고장관리 세부현황'!$P:$P,"&lt;"&amp;'트랜드 분석_15일'!CC$18,'2023년 신조차 고장관리 세부현황'!$BC:$BC,"완료",'2023년 신조차 고장관리 세부현황'!$CY:$CY,"주변압기")</f>
        <v>0</v>
      </c>
      <c r="CD345" s="85">
        <f>COUNTIFS('2023년 신조차 고장관리 세부현황'!$K:$K,"128R",'2023년 신조차 고장관리 세부현황'!$P:$P,"&gt;="&amp;'트랜드 분석_15일'!CC$18,'2023년 신조차 고장관리 세부현황'!$P:$P,"&lt;"&amp;'트랜드 분석_15일'!CD$18,'2023년 신조차 고장관리 세부현황'!$BC:$BC,"완료",'2023년 신조차 고장관리 세부현황'!$CY:$CY,"주변압기")</f>
        <v>0</v>
      </c>
      <c r="CE345" s="85">
        <f>COUNTIFS('2023년 신조차 고장관리 세부현황'!$K:$K,"128R",'2023년 신조차 고장관리 세부현황'!$P:$P,"&gt;="&amp;'트랜드 분석_15일'!CD$18,'2023년 신조차 고장관리 세부현황'!$P:$P,"&lt;"&amp;'트랜드 분석_15일'!CE$18,'2023년 신조차 고장관리 세부현황'!$BC:$BC,"완료",'2023년 신조차 고장관리 세부현황'!$CY:$CY,"주변압기")</f>
        <v>0</v>
      </c>
      <c r="CF345" s="85">
        <f>COUNTIFS('2023년 신조차 고장관리 세부현황'!$K:$K,"128R",'2023년 신조차 고장관리 세부현황'!$P:$P,"&gt;="&amp;'트랜드 분석_15일'!CE$18,'2023년 신조차 고장관리 세부현황'!$P:$P,"&lt;"&amp;'트랜드 분석_15일'!CF$18,'2023년 신조차 고장관리 세부현황'!$BC:$BC,"완료",'2023년 신조차 고장관리 세부현황'!$CY:$CY,"주변압기")</f>
        <v>0</v>
      </c>
      <c r="CG345" s="85">
        <f>COUNTIFS('2023년 신조차 고장관리 세부현황'!$K:$K,"128R",'2023년 신조차 고장관리 세부현황'!$P:$P,"&gt;="&amp;'트랜드 분석_15일'!CF$18,'2023년 신조차 고장관리 세부현황'!$P:$P,"&lt;"&amp;'트랜드 분석_15일'!CG$18,'2023년 신조차 고장관리 세부현황'!$BC:$BC,"완료",'2023년 신조차 고장관리 세부현황'!$CY:$CY,"주변압기")</f>
        <v>0</v>
      </c>
      <c r="CH345" s="85">
        <f ca="1">COUNTIFS('2023년 신조차 고장관리 세부현황'!$K:$K,"128R",'2023년 신조차 고장관리 세부현황'!$P:$P,"&gt;="&amp;'트랜드 분석_15일'!CG$18,'2023년 신조차 고장관리 세부현황'!$P:$P,"&lt;"&amp;'트랜드 분석_15일'!CH$18,'2023년 신조차 고장관리 세부현황'!$BC:$BC,"완료",'2023년 신조차 고장관리 세부현황'!$CY:$CY,"주변압기")</f>
        <v>0</v>
      </c>
      <c r="CI345" s="85">
        <f>COUNTIFS('2023년 신조차 고장관리 세부현황'!$K:$K,"128R",'2023년 신조차 고장관리 세부현황'!$P:$P,"&gt;="&amp;'트랜드 분석_15일'!CH$18,'2023년 신조차 고장관리 세부현황'!$P:$P,"&lt;"&amp;'트랜드 분석_15일'!CI$18,'2023년 신조차 고장관리 세부현황'!$BC:$BC,"완료",'2023년 신조차 고장관리 세부현황'!$CY:$CY,"주변압기")</f>
        <v>0</v>
      </c>
      <c r="CJ345" s="85">
        <f ca="1">COUNTIFS('2023년 신조차 고장관리 세부현황'!$K:$K,"128R",'2023년 신조차 고장관리 세부현황'!$P:$P,"&gt;="&amp;'트랜드 분석_15일'!CI$18,'2023년 신조차 고장관리 세부현황'!$P:$P,"&lt;"&amp;'트랜드 분석_15일'!CJ$18,'2023년 신조차 고장관리 세부현황'!$BC:$BC,"완료",'2023년 신조차 고장관리 세부현황'!$CY:$CY,"주변압기")</f>
        <v>0</v>
      </c>
      <c r="CK345" s="85">
        <f>COUNTIFS('2023년 신조차 고장관리 세부현황'!$K:$K,"128R",'2023년 신조차 고장관리 세부현황'!$P:$P,"&gt;="&amp;'트랜드 분석_15일'!CJ$18,'2023년 신조차 고장관리 세부현황'!$P:$P,"&lt;"&amp;'트랜드 분석_15일'!CK$18,'2023년 신조차 고장관리 세부현황'!$BC:$BC,"완료",'2023년 신조차 고장관리 세부현황'!$CY:$CY,"주변압기")</f>
        <v>0</v>
      </c>
      <c r="CL345" s="85">
        <f>COUNTIFS('2023년 신조차 고장관리 세부현황'!$K:$K,"128R",'2023년 신조차 고장관리 세부현황'!$P:$P,"&gt;="&amp;'트랜드 분석_15일'!CK$18,'2023년 신조차 고장관리 세부현황'!$P:$P,"&lt;"&amp;'트랜드 분석_15일'!CL$18,'2023년 신조차 고장관리 세부현황'!$BC:$BC,"완료",'2023년 신조차 고장관리 세부현황'!$CY:$CY,"주변압기")</f>
        <v>0</v>
      </c>
      <c r="CM345" s="85">
        <f>COUNTIFS('2023년 신조차 고장관리 세부현황'!$K:$K,"128R",'2023년 신조차 고장관리 세부현황'!$P:$P,"&gt;="&amp;'트랜드 분석_15일'!CL$18,'2023년 신조차 고장관리 세부현황'!$P:$P,"&lt;"&amp;'트랜드 분석_15일'!CM$18,'2023년 신조차 고장관리 세부현황'!$BC:$BC,"완료",'2023년 신조차 고장관리 세부현황'!$CY:$CY,"주변압기")</f>
        <v>0</v>
      </c>
      <c r="CN345" s="85">
        <f>COUNTIFS('2023년 신조차 고장관리 세부현황'!$K:$K,"128R",'2023년 신조차 고장관리 세부현황'!$P:$P,"&gt;="&amp;'트랜드 분석_15일'!CM$18,'2023년 신조차 고장관리 세부현황'!$P:$P,"&lt;"&amp;'트랜드 분석_15일'!CN$18,'2023년 신조차 고장관리 세부현황'!$BC:$BC,"완료",'2023년 신조차 고장관리 세부현황'!$CY:$CY,"주변압기")</f>
        <v>0</v>
      </c>
      <c r="CO345" s="85">
        <f>COUNTIFS('2023년 신조차 고장관리 세부현황'!$K:$K,"128R",'2023년 신조차 고장관리 세부현황'!$P:$P,"&gt;="&amp;'트랜드 분석_15일'!CN$18,'2023년 신조차 고장관리 세부현황'!$P:$P,"&lt;"&amp;'트랜드 분석_15일'!CO$18,'2023년 신조차 고장관리 세부현황'!$BC:$BC,"완료",'2023년 신조차 고장관리 세부현황'!$CY:$CY,"주변압기")</f>
        <v>0</v>
      </c>
      <c r="CP345" s="85">
        <f>COUNTIFS('2023년 신조차 고장관리 세부현황'!$K:$K,"128R",'2023년 신조차 고장관리 세부현황'!$P:$P,"&gt;="&amp;'트랜드 분석_15일'!CO$18,'2023년 신조차 고장관리 세부현황'!$P:$P,"&lt;"&amp;'트랜드 분석_15일'!CP$18,'2023년 신조차 고장관리 세부현황'!$BC:$BC,"완료",'2023년 신조차 고장관리 세부현황'!$CY:$CY,"주변압기")</f>
        <v>0</v>
      </c>
      <c r="CQ345" s="85">
        <f>COUNTIFS('2023년 신조차 고장관리 세부현황'!$K:$K,"128R",'2023년 신조차 고장관리 세부현황'!$P:$P,"&gt;="&amp;'트랜드 분석_15일'!CP$18,'2023년 신조차 고장관리 세부현황'!$P:$P,"&lt;"&amp;'트랜드 분석_15일'!CQ$18,'2023년 신조차 고장관리 세부현황'!$BC:$BC,"완료",'2023년 신조차 고장관리 세부현황'!$CY:$CY,"주변압기")</f>
        <v>0</v>
      </c>
      <c r="CR345" s="85">
        <f>COUNTIFS('2023년 신조차 고장관리 세부현황'!$K:$K,"128R",'2023년 신조차 고장관리 세부현황'!$P:$P,"&gt;="&amp;'트랜드 분석_15일'!CQ$18,'2023년 신조차 고장관리 세부현황'!$P:$P,"&lt;"&amp;'트랜드 분석_15일'!CR$18,'2023년 신조차 고장관리 세부현황'!$BC:$BC,"완료",'2023년 신조차 고장관리 세부현황'!$CY:$CY,"주변압기")</f>
        <v>0</v>
      </c>
      <c r="CS345" s="85">
        <f>COUNTIFS('2023년 신조차 고장관리 세부현황'!$K:$K,"128R",'2023년 신조차 고장관리 세부현황'!$P:$P,"&gt;="&amp;'트랜드 분석_15일'!CR$18,'2023년 신조차 고장관리 세부현황'!$P:$P,"&lt;"&amp;'트랜드 분석_15일'!CS$18,'2023년 신조차 고장관리 세부현황'!$BC:$BC,"완료",'2023년 신조차 고장관리 세부현황'!$CY:$CY,"주변압기")</f>
        <v>0</v>
      </c>
      <c r="CT345" s="85">
        <f>COUNTIFS('2023년 신조차 고장관리 세부현황'!$K:$K,"128R",'2023년 신조차 고장관리 세부현황'!$P:$P,"&gt;="&amp;'트랜드 분석_15일'!CS$18,'2023년 신조차 고장관리 세부현황'!$P:$P,"&lt;"&amp;'트랜드 분석_15일'!CT$18,'2023년 신조차 고장관리 세부현황'!$BC:$BC,"완료",'2023년 신조차 고장관리 세부현황'!$CY:$CY,"주변압기")</f>
        <v>0</v>
      </c>
      <c r="CU345" s="85">
        <f>COUNTIFS('2023년 신조차 고장관리 세부현황'!$K:$K,"128R",'2023년 신조차 고장관리 세부현황'!$P:$P,"&gt;="&amp;'트랜드 분석_15일'!CT$18,'2023년 신조차 고장관리 세부현황'!$P:$P,"&lt;"&amp;'트랜드 분석_15일'!CU$18,'2023년 신조차 고장관리 세부현황'!$BC:$BC,"완료",'2023년 신조차 고장관리 세부현황'!$CY:$CY,"주변압기")</f>
        <v>0</v>
      </c>
      <c r="CV345" s="85">
        <f>COUNTIFS('2023년 신조차 고장관리 세부현황'!$K:$K,"128R",'2023년 신조차 고장관리 세부현황'!$P:$P,"&gt;="&amp;'트랜드 분석_15일'!CU$18,'2023년 신조차 고장관리 세부현황'!$P:$P,"&lt;"&amp;'트랜드 분석_15일'!CV$18,'2023년 신조차 고장관리 세부현황'!$BC:$BC,"완료",'2023년 신조차 고장관리 세부현황'!$CY:$CY,"주변압기")</f>
        <v>0</v>
      </c>
      <c r="CW345" s="85">
        <f>COUNTIFS('2023년 신조차 고장관리 세부현황'!$K:$K,"128R",'2023년 신조차 고장관리 세부현황'!$P:$P,"&gt;="&amp;'트랜드 분석_15일'!CV$18,'2023년 신조차 고장관리 세부현황'!$P:$P,"&lt;"&amp;'트랜드 분석_15일'!CW$18,'2023년 신조차 고장관리 세부현황'!$BC:$BC,"완료",'2023년 신조차 고장관리 세부현황'!$CY:$CY,"주변압기")</f>
        <v>0</v>
      </c>
      <c r="CX345">
        <f ca="1">SUM(G345:CW345)</f>
        <v>0</v>
      </c>
    </row>
    <row r="346" spans="6:103" x14ac:dyDescent="0.4">
      <c r="F346" s="85" t="s">
        <v>164</v>
      </c>
      <c r="G346" s="85">
        <f>COUNTIFS('2023년 신조차 고장관리 세부현황'!$K:$K,"128R",'2023년 신조차 고장관리 세부현황'!$P:$P,"&gt;="&amp;$G$17,'2023년 신조차 고장관리 세부현황'!$P:$P,"&lt;"&amp;'트랜드 분석_15일'!G$18,'2023년 신조차 고장관리 세부현황'!$S:$S,'트랜드 분석_15일'!$F346,'2023년 신조차 고장관리 세부현황'!$BC:$BC,"완료",'2023년 신조차 고장관리 세부현황'!$CY:$CY,"주변압기")</f>
        <v>0</v>
      </c>
      <c r="H346"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분석_15일'!$F346,'2023년 신조차 고장관리 세부현황'!$BC:$BC,"완료",'2023년 신조차 고장관리 세부현황'!$CY:$CY,"주변압기")</f>
        <v>0</v>
      </c>
      <c r="I346"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분석_15일'!$F346,'2023년 신조차 고장관리 세부현황'!$BC:$BC,"완료",'2023년 신조차 고장관리 세부현황'!$CY:$CY,"주변압기")</f>
        <v>0</v>
      </c>
      <c r="J346"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분석_15일'!$F346,'2023년 신조차 고장관리 세부현황'!$BC:$BC,"완료",'2023년 신조차 고장관리 세부현황'!$CY:$CY,"주변압기")</f>
        <v>0</v>
      </c>
      <c r="K346"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분석_15일'!$F346,'2023년 신조차 고장관리 세부현황'!$BC:$BC,"완료",'2023년 신조차 고장관리 세부현황'!$CY:$CY,"주변압기")</f>
        <v>0</v>
      </c>
      <c r="L346"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분석_15일'!$F346,'2023년 신조차 고장관리 세부현황'!$BC:$BC,"완료",'2023년 신조차 고장관리 세부현황'!$CY:$CY,"주변압기")</f>
        <v>0</v>
      </c>
      <c r="M346"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분석_15일'!$F346,'2023년 신조차 고장관리 세부현황'!$BC:$BC,"완료",'2023년 신조차 고장관리 세부현황'!$CY:$CY,"주변압기")</f>
        <v>0</v>
      </c>
      <c r="N346"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분석_15일'!$F346,'2023년 신조차 고장관리 세부현황'!$BC:$BC,"완료",'2023년 신조차 고장관리 세부현황'!$CY:$CY,"주변압기")</f>
        <v>0</v>
      </c>
      <c r="O346"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분석_15일'!$F346,'2023년 신조차 고장관리 세부현황'!$BC:$BC,"완료",'2023년 신조차 고장관리 세부현황'!$CY:$CY,"주변압기")</f>
        <v>0</v>
      </c>
      <c r="P346"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분석_15일'!$F346,'2023년 신조차 고장관리 세부현황'!$BC:$BC,"완료",'2023년 신조차 고장관리 세부현황'!$CY:$CY,"주변압기")</f>
        <v>0</v>
      </c>
      <c r="Q346"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분석_15일'!$F346,'2023년 신조차 고장관리 세부현황'!$BC:$BC,"완료",'2023년 신조차 고장관리 세부현황'!$CY:$CY,"주변압기")</f>
        <v>0</v>
      </c>
      <c r="R346"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분석_15일'!$F346,'2023년 신조차 고장관리 세부현황'!$BC:$BC,"완료",'2023년 신조차 고장관리 세부현황'!$CY:$CY,"주변압기")</f>
        <v>0</v>
      </c>
      <c r="S346"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분석_15일'!$F346,'2023년 신조차 고장관리 세부현황'!$BC:$BC,"완료",'2023년 신조차 고장관리 세부현황'!$CY:$CY,"주변압기")</f>
        <v>0</v>
      </c>
      <c r="T346"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분석_15일'!$F346,'2023년 신조차 고장관리 세부현황'!$BC:$BC,"완료",'2023년 신조차 고장관리 세부현황'!$CY:$CY,"주변압기")</f>
        <v>0</v>
      </c>
      <c r="U346"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분석_15일'!$F346,'2023년 신조차 고장관리 세부현황'!$BC:$BC,"완료",'2023년 신조차 고장관리 세부현황'!$CY:$CY,"주변압기")</f>
        <v>0</v>
      </c>
      <c r="V346"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분석_15일'!$F346,'2023년 신조차 고장관리 세부현황'!$BC:$BC,"완료",'2023년 신조차 고장관리 세부현황'!$CY:$CY,"주변압기")</f>
        <v>0</v>
      </c>
      <c r="W346"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분석_15일'!$F346,'2023년 신조차 고장관리 세부현황'!$BC:$BC,"완료",'2023년 신조차 고장관리 세부현황'!$CY:$CY,"주변압기")</f>
        <v>0</v>
      </c>
      <c r="X346"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분석_15일'!$F346,'2023년 신조차 고장관리 세부현황'!$BC:$BC,"완료",'2023년 신조차 고장관리 세부현황'!$CY:$CY,"주변압기")</f>
        <v>0</v>
      </c>
      <c r="Y346"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분석_15일'!$F346,'2023년 신조차 고장관리 세부현황'!$BC:$BC,"완료",'2023년 신조차 고장관리 세부현황'!$CY:$CY,"주변압기")</f>
        <v>0</v>
      </c>
      <c r="Z346"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분석_15일'!$F346,'2023년 신조차 고장관리 세부현황'!$BC:$BC,"완료",'2023년 신조차 고장관리 세부현황'!$CY:$CY,"주변압기")</f>
        <v>0</v>
      </c>
      <c r="AA346"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분석_15일'!$F346,'2023년 신조차 고장관리 세부현황'!$BC:$BC,"완료",'2023년 신조차 고장관리 세부현황'!$CY:$CY,"주변압기")</f>
        <v>0</v>
      </c>
      <c r="AB346"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분석_15일'!$F346,'2023년 신조차 고장관리 세부현황'!$BC:$BC,"완료",'2023년 신조차 고장관리 세부현황'!$CY:$CY,"주변압기")</f>
        <v>0</v>
      </c>
      <c r="AC346"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분석_15일'!$F346,'2023년 신조차 고장관리 세부현황'!$BC:$BC,"완료",'2023년 신조차 고장관리 세부현황'!$CY:$CY,"주변압기")</f>
        <v>0</v>
      </c>
      <c r="AD346"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분석_15일'!$F346,'2023년 신조차 고장관리 세부현황'!$BC:$BC,"완료",'2023년 신조차 고장관리 세부현황'!$CY:$CY,"주변압기")</f>
        <v>0</v>
      </c>
      <c r="AE346"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분석_15일'!$F346,'2023년 신조차 고장관리 세부현황'!$BC:$BC,"완료",'2023년 신조차 고장관리 세부현황'!$CY:$CY,"주변압기")</f>
        <v>0</v>
      </c>
      <c r="AF346"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분석_15일'!$F346,'2023년 신조차 고장관리 세부현황'!$BC:$BC,"완료",'2023년 신조차 고장관리 세부현황'!$CY:$CY,"주변압기")</f>
        <v>0</v>
      </c>
      <c r="AG346"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분석_15일'!$F346,'2023년 신조차 고장관리 세부현황'!$BC:$BC,"완료",'2023년 신조차 고장관리 세부현황'!$CY:$CY,"주변압기")</f>
        <v>0</v>
      </c>
      <c r="AH346"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분석_15일'!$F346,'2023년 신조차 고장관리 세부현황'!$BC:$BC,"완료",'2023년 신조차 고장관리 세부현황'!$CY:$CY,"주변압기")</f>
        <v>0</v>
      </c>
      <c r="AI346"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분석_15일'!$F346,'2023년 신조차 고장관리 세부현황'!$BC:$BC,"완료",'2023년 신조차 고장관리 세부현황'!$CY:$CY,"주변압기")</f>
        <v>0</v>
      </c>
      <c r="AJ346"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분석_15일'!$F346,'2023년 신조차 고장관리 세부현황'!$BC:$BC,"완료",'2023년 신조차 고장관리 세부현황'!$CY:$CY,"주변압기")</f>
        <v>0</v>
      </c>
      <c r="AK346"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분석_15일'!$F346,'2023년 신조차 고장관리 세부현황'!$BC:$BC,"완료",'2023년 신조차 고장관리 세부현황'!$CY:$CY,"주변압기")</f>
        <v>0</v>
      </c>
      <c r="AL346"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분석_15일'!$F346,'2023년 신조차 고장관리 세부현황'!$BC:$BC,"완료",'2023년 신조차 고장관리 세부현황'!$CY:$CY,"주변압기")</f>
        <v>0</v>
      </c>
      <c r="AM346"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분석_15일'!$F346,'2023년 신조차 고장관리 세부현황'!$BC:$BC,"완료",'2023년 신조차 고장관리 세부현황'!$CY:$CY,"주변압기")</f>
        <v>0</v>
      </c>
      <c r="AN346"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분석_15일'!$F346,'2023년 신조차 고장관리 세부현황'!$BC:$BC,"완료",'2023년 신조차 고장관리 세부현황'!$CY:$CY,"주변압기")</f>
        <v>0</v>
      </c>
      <c r="AO346"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분석_15일'!$F346,'2023년 신조차 고장관리 세부현황'!$BC:$BC,"완료",'2023년 신조차 고장관리 세부현황'!$CY:$CY,"주변압기")</f>
        <v>0</v>
      </c>
      <c r="AP346"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분석_15일'!$F346,'2023년 신조차 고장관리 세부현황'!$BC:$BC,"완료",'2023년 신조차 고장관리 세부현황'!$CY:$CY,"주변압기")</f>
        <v>0</v>
      </c>
      <c r="AQ346"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분석_15일'!$F346,'2023년 신조차 고장관리 세부현황'!$BC:$BC,"완료",'2023년 신조차 고장관리 세부현황'!$CY:$CY,"주변압기")</f>
        <v>0</v>
      </c>
      <c r="AR346"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분석_15일'!$F346,'2023년 신조차 고장관리 세부현황'!$BC:$BC,"완료",'2023년 신조차 고장관리 세부현황'!$CY:$CY,"주변압기")</f>
        <v>0</v>
      </c>
      <c r="AS346"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분석_15일'!$F346,'2023년 신조차 고장관리 세부현황'!$BC:$BC,"완료",'2023년 신조차 고장관리 세부현황'!$CY:$CY,"주변압기")</f>
        <v>0</v>
      </c>
      <c r="AT346"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분석_15일'!$F346,'2023년 신조차 고장관리 세부현황'!$BC:$BC,"완료",'2023년 신조차 고장관리 세부현황'!$CY:$CY,"주변압기")</f>
        <v>0</v>
      </c>
      <c r="AU346"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분석_15일'!$F346,'2023년 신조차 고장관리 세부현황'!$BC:$BC,"완료",'2023년 신조차 고장관리 세부현황'!$CY:$CY,"주변압기")</f>
        <v>0</v>
      </c>
      <c r="AV346"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분석_15일'!$F346,'2023년 신조차 고장관리 세부현황'!$BC:$BC,"완료",'2023년 신조차 고장관리 세부현황'!$CY:$CY,"주변압기")</f>
        <v>0</v>
      </c>
      <c r="AW346"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분석_15일'!$F346,'2023년 신조차 고장관리 세부현황'!$BC:$BC,"완료",'2023년 신조차 고장관리 세부현황'!$CY:$CY,"주변압기")</f>
        <v>0</v>
      </c>
      <c r="AX346"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분석_15일'!$F346,'2023년 신조차 고장관리 세부현황'!$BC:$BC,"완료",'2023년 신조차 고장관리 세부현황'!$CY:$CY,"주변압기")</f>
        <v>0</v>
      </c>
      <c r="AY346"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분석_15일'!$F346,'2023년 신조차 고장관리 세부현황'!$BC:$BC,"완료",'2023년 신조차 고장관리 세부현황'!$CY:$CY,"주변압기")</f>
        <v>0</v>
      </c>
      <c r="AZ346"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분석_15일'!$F346,'2023년 신조차 고장관리 세부현황'!$BC:$BC,"완료",'2023년 신조차 고장관리 세부현황'!$CY:$CY,"주변압기")</f>
        <v>0</v>
      </c>
      <c r="BA346"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분석_15일'!$F346,'2023년 신조차 고장관리 세부현황'!$BC:$BC,"완료",'2023년 신조차 고장관리 세부현황'!$CY:$CY,"주변압기")</f>
        <v>0</v>
      </c>
      <c r="BB346"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분석_15일'!$F346,'2023년 신조차 고장관리 세부현황'!$BC:$BC,"완료",'2023년 신조차 고장관리 세부현황'!$CY:$CY,"주변압기")</f>
        <v>0</v>
      </c>
      <c r="BC346"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분석_15일'!$F346,'2023년 신조차 고장관리 세부현황'!$BC:$BC,"완료",'2023년 신조차 고장관리 세부현황'!$CY:$CY,"주변압기")</f>
        <v>0</v>
      </c>
      <c r="BD346"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분석_15일'!$F346,'2023년 신조차 고장관리 세부현황'!$BC:$BC,"완료",'2023년 신조차 고장관리 세부현황'!$CY:$CY,"주변압기")</f>
        <v>0</v>
      </c>
      <c r="BE346"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분석_15일'!$F346,'2023년 신조차 고장관리 세부현황'!$BC:$BC,"완료",'2023년 신조차 고장관리 세부현황'!$CY:$CY,"주변압기")</f>
        <v>0</v>
      </c>
      <c r="BF346"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분석_15일'!$F346,'2023년 신조차 고장관리 세부현황'!$BC:$BC,"완료",'2023년 신조차 고장관리 세부현황'!$CY:$CY,"주변압기")</f>
        <v>0</v>
      </c>
      <c r="BG346"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분석_15일'!$F346,'2023년 신조차 고장관리 세부현황'!$BC:$BC,"완료",'2023년 신조차 고장관리 세부현황'!$CY:$CY,"주변압기")</f>
        <v>0</v>
      </c>
      <c r="BH346"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분석_15일'!$F346,'2023년 신조차 고장관리 세부현황'!$BC:$BC,"완료",'2023년 신조차 고장관리 세부현황'!$CY:$CY,"주변압기")</f>
        <v>0</v>
      </c>
      <c r="BI346"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분석_15일'!$F346,'2023년 신조차 고장관리 세부현황'!$BC:$BC,"완료",'2023년 신조차 고장관리 세부현황'!$CY:$CY,"주변압기")</f>
        <v>0</v>
      </c>
      <c r="BJ346"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분석_15일'!$F346,'2023년 신조차 고장관리 세부현황'!$BC:$BC,"완료",'2023년 신조차 고장관리 세부현황'!$CY:$CY,"주변압기")</f>
        <v>0</v>
      </c>
      <c r="BK346"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분석_15일'!$F346,'2023년 신조차 고장관리 세부현황'!$BC:$BC,"완료",'2023년 신조차 고장관리 세부현황'!$CY:$CY,"주변압기")</f>
        <v>0</v>
      </c>
      <c r="BL346"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분석_15일'!$F346,'2023년 신조차 고장관리 세부현황'!$BC:$BC,"완료",'2023년 신조차 고장관리 세부현황'!$CY:$CY,"주변압기")</f>
        <v>0</v>
      </c>
      <c r="BM346"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분석_15일'!$F346,'2023년 신조차 고장관리 세부현황'!$BC:$BC,"완료",'2023년 신조차 고장관리 세부현황'!$CY:$CY,"주변압기")</f>
        <v>0</v>
      </c>
      <c r="BN346"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분석_15일'!$F346,'2023년 신조차 고장관리 세부현황'!$BC:$BC,"완료",'2023년 신조차 고장관리 세부현황'!$CY:$CY,"주변압기")</f>
        <v>0</v>
      </c>
      <c r="BO346"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분석_15일'!$F346,'2023년 신조차 고장관리 세부현황'!$BC:$BC,"완료",'2023년 신조차 고장관리 세부현황'!$CY:$CY,"주변압기")</f>
        <v>0</v>
      </c>
      <c r="BP346"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분석_15일'!$F346,'2023년 신조차 고장관리 세부현황'!$BC:$BC,"완료",'2023년 신조차 고장관리 세부현황'!$CY:$CY,"주변압기")</f>
        <v>0</v>
      </c>
      <c r="BQ346"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분석_15일'!$F346,'2023년 신조차 고장관리 세부현황'!$BC:$BC,"완료",'2023년 신조차 고장관리 세부현황'!$CY:$CY,"주변압기")</f>
        <v>0</v>
      </c>
      <c r="BR346"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분석_15일'!$F346,'2023년 신조차 고장관리 세부현황'!$BC:$BC,"완료",'2023년 신조차 고장관리 세부현황'!$CY:$CY,"주변압기")</f>
        <v>0</v>
      </c>
      <c r="BS346"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분석_15일'!$F346,'2023년 신조차 고장관리 세부현황'!$BC:$BC,"완료",'2023년 신조차 고장관리 세부현황'!$CY:$CY,"주변압기")</f>
        <v>0</v>
      </c>
      <c r="BT346"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분석_15일'!$F346,'2023년 신조차 고장관리 세부현황'!$BC:$BC,"완료",'2023년 신조차 고장관리 세부현황'!$CY:$CY,"주변압기")</f>
        <v>0</v>
      </c>
      <c r="BU346"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분석_15일'!$F346,'2023년 신조차 고장관리 세부현황'!$BC:$BC,"완료",'2023년 신조차 고장관리 세부현황'!$CY:$CY,"주변압기")</f>
        <v>0</v>
      </c>
      <c r="BV346"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분석_15일'!$F346,'2023년 신조차 고장관리 세부현황'!$BC:$BC,"완료",'2023년 신조차 고장관리 세부현황'!$CY:$CY,"주변압기")</f>
        <v>0</v>
      </c>
      <c r="BW346"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분석_15일'!$F346,'2023년 신조차 고장관리 세부현황'!$BC:$BC,"완료",'2023년 신조차 고장관리 세부현황'!$CY:$CY,"주변압기")</f>
        <v>0</v>
      </c>
      <c r="BX346"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분석_15일'!$F346,'2023년 신조차 고장관리 세부현황'!$BC:$BC,"완료",'2023년 신조차 고장관리 세부현황'!$CY:$CY,"주변압기")</f>
        <v>0</v>
      </c>
      <c r="BY346"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분석_15일'!$F346,'2023년 신조차 고장관리 세부현황'!$BC:$BC,"완료",'2023년 신조차 고장관리 세부현황'!$CY:$CY,"주변압기")</f>
        <v>0</v>
      </c>
      <c r="BZ346"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분석_15일'!$F346,'2023년 신조차 고장관리 세부현황'!$BC:$BC,"완료",'2023년 신조차 고장관리 세부현황'!$CY:$CY,"주변압기")</f>
        <v>0</v>
      </c>
      <c r="CA346"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분석_15일'!$F346,'2023년 신조차 고장관리 세부현황'!$BC:$BC,"완료",'2023년 신조차 고장관리 세부현황'!$CY:$CY,"주변압기")</f>
        <v>0</v>
      </c>
      <c r="CB346"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분석_15일'!$F346,'2023년 신조차 고장관리 세부현황'!$BC:$BC,"완료",'2023년 신조차 고장관리 세부현황'!$CY:$CY,"주변압기")</f>
        <v>0</v>
      </c>
      <c r="CC346"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분석_15일'!$F346,'2023년 신조차 고장관리 세부현황'!$BC:$BC,"완료",'2023년 신조차 고장관리 세부현황'!$CY:$CY,"주변압기")</f>
        <v>0</v>
      </c>
      <c r="CD346"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분석_15일'!$F346,'2023년 신조차 고장관리 세부현황'!$BC:$BC,"완료",'2023년 신조차 고장관리 세부현황'!$CY:$CY,"주변압기")</f>
        <v>0</v>
      </c>
      <c r="CE346"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분석_15일'!$F346,'2023년 신조차 고장관리 세부현황'!$BC:$BC,"완료",'2023년 신조차 고장관리 세부현황'!$CY:$CY,"주변압기")</f>
        <v>0</v>
      </c>
      <c r="CF346"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분석_15일'!$F346,'2023년 신조차 고장관리 세부현황'!$BC:$BC,"완료",'2023년 신조차 고장관리 세부현황'!$CY:$CY,"주변압기")</f>
        <v>0</v>
      </c>
      <c r="CG346"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분석_15일'!$F346,'2023년 신조차 고장관리 세부현황'!$BC:$BC,"완료",'2023년 신조차 고장관리 세부현황'!$CY:$CY,"주변압기")</f>
        <v>0</v>
      </c>
      <c r="CH346"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분석_15일'!$F346,'2023년 신조차 고장관리 세부현황'!$BC:$BC,"완료",'2023년 신조차 고장관리 세부현황'!$CY:$CY,"주변압기")</f>
        <v>0</v>
      </c>
      <c r="CI346"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분석_15일'!$F346,'2023년 신조차 고장관리 세부현황'!$BC:$BC,"완료",'2023년 신조차 고장관리 세부현황'!$CY:$CY,"주변압기")</f>
        <v>0</v>
      </c>
      <c r="CJ346"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분석_15일'!$F346,'2023년 신조차 고장관리 세부현황'!$BC:$BC,"완료",'2023년 신조차 고장관리 세부현황'!$CY:$CY,"주변압기")</f>
        <v>0</v>
      </c>
      <c r="CK346"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분석_15일'!$F346,'2023년 신조차 고장관리 세부현황'!$BC:$BC,"완료",'2023년 신조차 고장관리 세부현황'!$CY:$CY,"주변압기")</f>
        <v>0</v>
      </c>
      <c r="CL346"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분석_15일'!$F346,'2023년 신조차 고장관리 세부현황'!$BC:$BC,"완료",'2023년 신조차 고장관리 세부현황'!$CY:$CY,"주변압기")</f>
        <v>0</v>
      </c>
      <c r="CM346"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분석_15일'!$F346,'2023년 신조차 고장관리 세부현황'!$BC:$BC,"완료",'2023년 신조차 고장관리 세부현황'!$CY:$CY,"주변압기")</f>
        <v>0</v>
      </c>
      <c r="CN346"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분석_15일'!$F346,'2023년 신조차 고장관리 세부현황'!$BC:$BC,"완료",'2023년 신조차 고장관리 세부현황'!$CY:$CY,"주변압기")</f>
        <v>0</v>
      </c>
      <c r="CO346"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분석_15일'!$F346,'2023년 신조차 고장관리 세부현황'!$BC:$BC,"완료",'2023년 신조차 고장관리 세부현황'!$CY:$CY,"주변압기")</f>
        <v>0</v>
      </c>
      <c r="CP346"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분석_15일'!$F346,'2023년 신조차 고장관리 세부현황'!$BC:$BC,"완료",'2023년 신조차 고장관리 세부현황'!$CY:$CY,"주변압기")</f>
        <v>0</v>
      </c>
      <c r="CQ346"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분석_15일'!$F346,'2023년 신조차 고장관리 세부현황'!$BC:$BC,"완료",'2023년 신조차 고장관리 세부현황'!$CY:$CY,"주변압기")</f>
        <v>0</v>
      </c>
      <c r="CR346"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분석_15일'!$F346,'2023년 신조차 고장관리 세부현황'!$BC:$BC,"완료",'2023년 신조차 고장관리 세부현황'!$CY:$CY,"주변압기")</f>
        <v>0</v>
      </c>
      <c r="CS346"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분석_15일'!$F346,'2023년 신조차 고장관리 세부현황'!$BC:$BC,"완료",'2023년 신조차 고장관리 세부현황'!$CY:$CY,"주변압기")</f>
        <v>0</v>
      </c>
      <c r="CT346"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분석_15일'!$F346,'2023년 신조차 고장관리 세부현황'!$BC:$BC,"완료",'2023년 신조차 고장관리 세부현황'!$CY:$CY,"주변압기")</f>
        <v>0</v>
      </c>
      <c r="CU346"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분석_15일'!$F346,'2023년 신조차 고장관리 세부현황'!$BC:$BC,"완료",'2023년 신조차 고장관리 세부현황'!$CY:$CY,"주변압기")</f>
        <v>0</v>
      </c>
      <c r="CV346"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분석_15일'!$F346,'2023년 신조차 고장관리 세부현황'!$BC:$BC,"완료",'2023년 신조차 고장관리 세부현황'!$CY:$CY,"주변압기")</f>
        <v>0</v>
      </c>
      <c r="CW346"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분석_15일'!$F346,'2023년 신조차 고장관리 세부현황'!$BC:$BC,"완료",'2023년 신조차 고장관리 세부현황'!$CY:$CY,"주변압기")</f>
        <v>0</v>
      </c>
      <c r="CX346">
        <f>SUM(G346:CW346)</f>
        <v>0</v>
      </c>
    </row>
    <row r="347" spans="6:103" x14ac:dyDescent="0.4">
      <c r="F347" s="85" t="s">
        <v>223</v>
      </c>
      <c r="G347" s="85">
        <f>COUNTIFS('2023년 신조차 고장관리 세부현황'!$K:$K,"128R",'2023년 신조차 고장관리 세부현황'!$P:$P,"&gt;="&amp;$G$17,'2023년 신조차 고장관리 세부현황'!$P:$P,"&lt;"&amp;'트랜드 분석_15일'!G$18,'2023년 신조차 고장관리 세부현황'!$S:$S,'트랜드 분석_15일'!$F347,'2023년 신조차 고장관리 세부현황'!$BC:$BC,"완료",'2023년 신조차 고장관리 세부현황'!$CY:$CY,"주변압기")</f>
        <v>0</v>
      </c>
      <c r="H347"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분석_15일'!$F347,'2023년 신조차 고장관리 세부현황'!$BC:$BC,"완료",'2023년 신조차 고장관리 세부현황'!$CY:$CY,"주변압기")</f>
        <v>0</v>
      </c>
      <c r="I347"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분석_15일'!$F347,'2023년 신조차 고장관리 세부현황'!$BC:$BC,"완료",'2023년 신조차 고장관리 세부현황'!$CY:$CY,"주변압기")</f>
        <v>0</v>
      </c>
      <c r="J347"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분석_15일'!$F347,'2023년 신조차 고장관리 세부현황'!$BC:$BC,"완료",'2023년 신조차 고장관리 세부현황'!$CY:$CY,"주변압기")</f>
        <v>0</v>
      </c>
      <c r="K347"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분석_15일'!$F347,'2023년 신조차 고장관리 세부현황'!$BC:$BC,"완료",'2023년 신조차 고장관리 세부현황'!$CY:$CY,"주변압기")</f>
        <v>0</v>
      </c>
      <c r="L347"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분석_15일'!$F347,'2023년 신조차 고장관리 세부현황'!$BC:$BC,"완료",'2023년 신조차 고장관리 세부현황'!$CY:$CY,"주변압기")</f>
        <v>0</v>
      </c>
      <c r="M347"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분석_15일'!$F347,'2023년 신조차 고장관리 세부현황'!$BC:$BC,"완료",'2023년 신조차 고장관리 세부현황'!$CY:$CY,"주변압기")</f>
        <v>0</v>
      </c>
      <c r="N347"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분석_15일'!$F347,'2023년 신조차 고장관리 세부현황'!$BC:$BC,"완료",'2023년 신조차 고장관리 세부현황'!$CY:$CY,"주변압기")</f>
        <v>0</v>
      </c>
      <c r="O347"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분석_15일'!$F347,'2023년 신조차 고장관리 세부현황'!$BC:$BC,"완료",'2023년 신조차 고장관리 세부현황'!$CY:$CY,"주변압기")</f>
        <v>0</v>
      </c>
      <c r="P347"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분석_15일'!$F347,'2023년 신조차 고장관리 세부현황'!$BC:$BC,"완료",'2023년 신조차 고장관리 세부현황'!$CY:$CY,"주변압기")</f>
        <v>0</v>
      </c>
      <c r="Q347"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분석_15일'!$F347,'2023년 신조차 고장관리 세부현황'!$BC:$BC,"완료",'2023년 신조차 고장관리 세부현황'!$CY:$CY,"주변압기")</f>
        <v>0</v>
      </c>
      <c r="R347"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분석_15일'!$F347,'2023년 신조차 고장관리 세부현황'!$BC:$BC,"완료",'2023년 신조차 고장관리 세부현황'!$CY:$CY,"주변압기")</f>
        <v>0</v>
      </c>
      <c r="S347"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분석_15일'!$F347,'2023년 신조차 고장관리 세부현황'!$BC:$BC,"완료",'2023년 신조차 고장관리 세부현황'!$CY:$CY,"주변압기")</f>
        <v>0</v>
      </c>
      <c r="T347"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분석_15일'!$F347,'2023년 신조차 고장관리 세부현황'!$BC:$BC,"완료",'2023년 신조차 고장관리 세부현황'!$CY:$CY,"주변압기")</f>
        <v>0</v>
      </c>
      <c r="U347"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분석_15일'!$F347,'2023년 신조차 고장관리 세부현황'!$BC:$BC,"완료",'2023년 신조차 고장관리 세부현황'!$CY:$CY,"주변압기")</f>
        <v>0</v>
      </c>
      <c r="V347"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분석_15일'!$F347,'2023년 신조차 고장관리 세부현황'!$BC:$BC,"완료",'2023년 신조차 고장관리 세부현황'!$CY:$CY,"주변압기")</f>
        <v>0</v>
      </c>
      <c r="W347"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분석_15일'!$F347,'2023년 신조차 고장관리 세부현황'!$BC:$BC,"완료",'2023년 신조차 고장관리 세부현황'!$CY:$CY,"주변압기")</f>
        <v>0</v>
      </c>
      <c r="X347"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분석_15일'!$F347,'2023년 신조차 고장관리 세부현황'!$BC:$BC,"완료",'2023년 신조차 고장관리 세부현황'!$CY:$CY,"주변압기")</f>
        <v>0</v>
      </c>
      <c r="Y347"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분석_15일'!$F347,'2023년 신조차 고장관리 세부현황'!$BC:$BC,"완료",'2023년 신조차 고장관리 세부현황'!$CY:$CY,"주변압기")</f>
        <v>0</v>
      </c>
      <c r="Z347"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분석_15일'!$F347,'2023년 신조차 고장관리 세부현황'!$BC:$BC,"완료",'2023년 신조차 고장관리 세부현황'!$CY:$CY,"주변압기")</f>
        <v>0</v>
      </c>
      <c r="AA347"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분석_15일'!$F347,'2023년 신조차 고장관리 세부현황'!$BC:$BC,"완료",'2023년 신조차 고장관리 세부현황'!$CY:$CY,"주변압기")</f>
        <v>0</v>
      </c>
      <c r="AB347"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분석_15일'!$F347,'2023년 신조차 고장관리 세부현황'!$BC:$BC,"완료",'2023년 신조차 고장관리 세부현황'!$CY:$CY,"주변압기")</f>
        <v>0</v>
      </c>
      <c r="AC347"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분석_15일'!$F347,'2023년 신조차 고장관리 세부현황'!$BC:$BC,"완료",'2023년 신조차 고장관리 세부현황'!$CY:$CY,"주변압기")</f>
        <v>0</v>
      </c>
      <c r="AD347"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분석_15일'!$F347,'2023년 신조차 고장관리 세부현황'!$BC:$BC,"완료",'2023년 신조차 고장관리 세부현황'!$CY:$CY,"주변압기")</f>
        <v>0</v>
      </c>
      <c r="AE347"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분석_15일'!$F347,'2023년 신조차 고장관리 세부현황'!$BC:$BC,"완료",'2023년 신조차 고장관리 세부현황'!$CY:$CY,"주변압기")</f>
        <v>0</v>
      </c>
      <c r="AF347"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분석_15일'!$F347,'2023년 신조차 고장관리 세부현황'!$BC:$BC,"완료",'2023년 신조차 고장관리 세부현황'!$CY:$CY,"주변압기")</f>
        <v>0</v>
      </c>
      <c r="AG347"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분석_15일'!$F347,'2023년 신조차 고장관리 세부현황'!$BC:$BC,"완료",'2023년 신조차 고장관리 세부현황'!$CY:$CY,"주변압기")</f>
        <v>0</v>
      </c>
      <c r="AH347"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분석_15일'!$F347,'2023년 신조차 고장관리 세부현황'!$BC:$BC,"완료",'2023년 신조차 고장관리 세부현황'!$CY:$CY,"주변압기")</f>
        <v>0</v>
      </c>
      <c r="AI347"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분석_15일'!$F347,'2023년 신조차 고장관리 세부현황'!$BC:$BC,"완료",'2023년 신조차 고장관리 세부현황'!$CY:$CY,"주변압기")</f>
        <v>0</v>
      </c>
      <c r="AJ347"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분석_15일'!$F347,'2023년 신조차 고장관리 세부현황'!$BC:$BC,"완료",'2023년 신조차 고장관리 세부현황'!$CY:$CY,"주변압기")</f>
        <v>0</v>
      </c>
      <c r="AK347"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분석_15일'!$F347,'2023년 신조차 고장관리 세부현황'!$BC:$BC,"완료",'2023년 신조차 고장관리 세부현황'!$CY:$CY,"주변압기")</f>
        <v>0</v>
      </c>
      <c r="AL347"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분석_15일'!$F347,'2023년 신조차 고장관리 세부현황'!$BC:$BC,"완료",'2023년 신조차 고장관리 세부현황'!$CY:$CY,"주변압기")</f>
        <v>0</v>
      </c>
      <c r="AM347"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분석_15일'!$F347,'2023년 신조차 고장관리 세부현황'!$BC:$BC,"완료",'2023년 신조차 고장관리 세부현황'!$CY:$CY,"주변압기")</f>
        <v>0</v>
      </c>
      <c r="AN347"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분석_15일'!$F347,'2023년 신조차 고장관리 세부현황'!$BC:$BC,"완료",'2023년 신조차 고장관리 세부현황'!$CY:$CY,"주변압기")</f>
        <v>0</v>
      </c>
      <c r="AO347"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분석_15일'!$F347,'2023년 신조차 고장관리 세부현황'!$BC:$BC,"완료",'2023년 신조차 고장관리 세부현황'!$CY:$CY,"주변압기")</f>
        <v>0</v>
      </c>
      <c r="AP347"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분석_15일'!$F347,'2023년 신조차 고장관리 세부현황'!$BC:$BC,"완료",'2023년 신조차 고장관리 세부현황'!$CY:$CY,"주변압기")</f>
        <v>0</v>
      </c>
      <c r="AQ347"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분석_15일'!$F347,'2023년 신조차 고장관리 세부현황'!$BC:$BC,"완료",'2023년 신조차 고장관리 세부현황'!$CY:$CY,"주변압기")</f>
        <v>0</v>
      </c>
      <c r="AR347"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분석_15일'!$F347,'2023년 신조차 고장관리 세부현황'!$BC:$BC,"완료",'2023년 신조차 고장관리 세부현황'!$CY:$CY,"주변압기")</f>
        <v>0</v>
      </c>
      <c r="AS347"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분석_15일'!$F347,'2023년 신조차 고장관리 세부현황'!$BC:$BC,"완료",'2023년 신조차 고장관리 세부현황'!$CY:$CY,"주변압기")</f>
        <v>0</v>
      </c>
      <c r="AT347"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분석_15일'!$F347,'2023년 신조차 고장관리 세부현황'!$BC:$BC,"완료",'2023년 신조차 고장관리 세부현황'!$CY:$CY,"주변압기")</f>
        <v>0</v>
      </c>
      <c r="AU347"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분석_15일'!$F347,'2023년 신조차 고장관리 세부현황'!$BC:$BC,"완료",'2023년 신조차 고장관리 세부현황'!$CY:$CY,"주변압기")</f>
        <v>0</v>
      </c>
      <c r="AV347"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분석_15일'!$F347,'2023년 신조차 고장관리 세부현황'!$BC:$BC,"완료",'2023년 신조차 고장관리 세부현황'!$CY:$CY,"주변압기")</f>
        <v>0</v>
      </c>
      <c r="AW347"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분석_15일'!$F347,'2023년 신조차 고장관리 세부현황'!$BC:$BC,"완료",'2023년 신조차 고장관리 세부현황'!$CY:$CY,"주변압기")</f>
        <v>0</v>
      </c>
      <c r="AX347"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분석_15일'!$F347,'2023년 신조차 고장관리 세부현황'!$BC:$BC,"완료",'2023년 신조차 고장관리 세부현황'!$CY:$CY,"주변압기")</f>
        <v>0</v>
      </c>
      <c r="AY347"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분석_15일'!$F347,'2023년 신조차 고장관리 세부현황'!$BC:$BC,"완료",'2023년 신조차 고장관리 세부현황'!$CY:$CY,"주변압기")</f>
        <v>0</v>
      </c>
      <c r="AZ347"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분석_15일'!$F347,'2023년 신조차 고장관리 세부현황'!$BC:$BC,"완료",'2023년 신조차 고장관리 세부현황'!$CY:$CY,"주변압기")</f>
        <v>0</v>
      </c>
      <c r="BA347"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분석_15일'!$F347,'2023년 신조차 고장관리 세부현황'!$BC:$BC,"완료",'2023년 신조차 고장관리 세부현황'!$CY:$CY,"주변압기")</f>
        <v>0</v>
      </c>
      <c r="BB347"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분석_15일'!$F347,'2023년 신조차 고장관리 세부현황'!$BC:$BC,"완료",'2023년 신조차 고장관리 세부현황'!$CY:$CY,"주변압기")</f>
        <v>0</v>
      </c>
      <c r="BC347"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분석_15일'!$F347,'2023년 신조차 고장관리 세부현황'!$BC:$BC,"완료",'2023년 신조차 고장관리 세부현황'!$CY:$CY,"주변압기")</f>
        <v>0</v>
      </c>
      <c r="BD347"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분석_15일'!$F347,'2023년 신조차 고장관리 세부현황'!$BC:$BC,"완료",'2023년 신조차 고장관리 세부현황'!$CY:$CY,"주변압기")</f>
        <v>0</v>
      </c>
      <c r="BE347"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분석_15일'!$F347,'2023년 신조차 고장관리 세부현황'!$BC:$BC,"완료",'2023년 신조차 고장관리 세부현황'!$CY:$CY,"주변압기")</f>
        <v>0</v>
      </c>
      <c r="BF347"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분석_15일'!$F347,'2023년 신조차 고장관리 세부현황'!$BC:$BC,"완료",'2023년 신조차 고장관리 세부현황'!$CY:$CY,"주변압기")</f>
        <v>0</v>
      </c>
      <c r="BG347"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분석_15일'!$F347,'2023년 신조차 고장관리 세부현황'!$BC:$BC,"완료",'2023년 신조차 고장관리 세부현황'!$CY:$CY,"주변압기")</f>
        <v>0</v>
      </c>
      <c r="BH347"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분석_15일'!$F347,'2023년 신조차 고장관리 세부현황'!$BC:$BC,"완료",'2023년 신조차 고장관리 세부현황'!$CY:$CY,"주변압기")</f>
        <v>0</v>
      </c>
      <c r="BI347"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분석_15일'!$F347,'2023년 신조차 고장관리 세부현황'!$BC:$BC,"완료",'2023년 신조차 고장관리 세부현황'!$CY:$CY,"주변압기")</f>
        <v>0</v>
      </c>
      <c r="BJ347"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분석_15일'!$F347,'2023년 신조차 고장관리 세부현황'!$BC:$BC,"완료",'2023년 신조차 고장관리 세부현황'!$CY:$CY,"주변압기")</f>
        <v>0</v>
      </c>
      <c r="BK347"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분석_15일'!$F347,'2023년 신조차 고장관리 세부현황'!$BC:$BC,"완료",'2023년 신조차 고장관리 세부현황'!$CY:$CY,"주변압기")</f>
        <v>0</v>
      </c>
      <c r="BL347"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분석_15일'!$F347,'2023년 신조차 고장관리 세부현황'!$BC:$BC,"완료",'2023년 신조차 고장관리 세부현황'!$CY:$CY,"주변압기")</f>
        <v>0</v>
      </c>
      <c r="BM347"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분석_15일'!$F347,'2023년 신조차 고장관리 세부현황'!$BC:$BC,"완료",'2023년 신조차 고장관리 세부현황'!$CY:$CY,"주변압기")</f>
        <v>0</v>
      </c>
      <c r="BN347"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분석_15일'!$F347,'2023년 신조차 고장관리 세부현황'!$BC:$BC,"완료",'2023년 신조차 고장관리 세부현황'!$CY:$CY,"주변압기")</f>
        <v>0</v>
      </c>
      <c r="BO347"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분석_15일'!$F347,'2023년 신조차 고장관리 세부현황'!$BC:$BC,"완료",'2023년 신조차 고장관리 세부현황'!$CY:$CY,"주변압기")</f>
        <v>0</v>
      </c>
      <c r="BP347"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분석_15일'!$F347,'2023년 신조차 고장관리 세부현황'!$BC:$BC,"완료",'2023년 신조차 고장관리 세부현황'!$CY:$CY,"주변압기")</f>
        <v>0</v>
      </c>
      <c r="BQ347"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분석_15일'!$F347,'2023년 신조차 고장관리 세부현황'!$BC:$BC,"완료",'2023년 신조차 고장관리 세부현황'!$CY:$CY,"주변압기")</f>
        <v>0</v>
      </c>
      <c r="BR347"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분석_15일'!$F347,'2023년 신조차 고장관리 세부현황'!$BC:$BC,"완료",'2023년 신조차 고장관리 세부현황'!$CY:$CY,"주변압기")</f>
        <v>0</v>
      </c>
      <c r="BS347"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분석_15일'!$F347,'2023년 신조차 고장관리 세부현황'!$BC:$BC,"완료",'2023년 신조차 고장관리 세부현황'!$CY:$CY,"주변압기")</f>
        <v>0</v>
      </c>
      <c r="BT347"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분석_15일'!$F347,'2023년 신조차 고장관리 세부현황'!$BC:$BC,"완료",'2023년 신조차 고장관리 세부현황'!$CY:$CY,"주변압기")</f>
        <v>0</v>
      </c>
      <c r="BU347"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분석_15일'!$F347,'2023년 신조차 고장관리 세부현황'!$BC:$BC,"완료",'2023년 신조차 고장관리 세부현황'!$CY:$CY,"주변압기")</f>
        <v>0</v>
      </c>
      <c r="BV347"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분석_15일'!$F347,'2023년 신조차 고장관리 세부현황'!$BC:$BC,"완료",'2023년 신조차 고장관리 세부현황'!$CY:$CY,"주변압기")</f>
        <v>0</v>
      </c>
      <c r="BW347"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분석_15일'!$F347,'2023년 신조차 고장관리 세부현황'!$BC:$BC,"완료",'2023년 신조차 고장관리 세부현황'!$CY:$CY,"주변압기")</f>
        <v>0</v>
      </c>
      <c r="BX347"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분석_15일'!$F347,'2023년 신조차 고장관리 세부현황'!$BC:$BC,"완료",'2023년 신조차 고장관리 세부현황'!$CY:$CY,"주변압기")</f>
        <v>0</v>
      </c>
      <c r="BY347"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분석_15일'!$F347,'2023년 신조차 고장관리 세부현황'!$BC:$BC,"완료",'2023년 신조차 고장관리 세부현황'!$CY:$CY,"주변압기")</f>
        <v>0</v>
      </c>
      <c r="BZ347"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분석_15일'!$F347,'2023년 신조차 고장관리 세부현황'!$BC:$BC,"완료",'2023년 신조차 고장관리 세부현황'!$CY:$CY,"주변압기")</f>
        <v>0</v>
      </c>
      <c r="CA347"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분석_15일'!$F347,'2023년 신조차 고장관리 세부현황'!$BC:$BC,"완료",'2023년 신조차 고장관리 세부현황'!$CY:$CY,"주변압기")</f>
        <v>0</v>
      </c>
      <c r="CB347"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분석_15일'!$F347,'2023년 신조차 고장관리 세부현황'!$BC:$BC,"완료",'2023년 신조차 고장관리 세부현황'!$CY:$CY,"주변압기")</f>
        <v>0</v>
      </c>
      <c r="CC347"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분석_15일'!$F347,'2023년 신조차 고장관리 세부현황'!$BC:$BC,"완료",'2023년 신조차 고장관리 세부현황'!$CY:$CY,"주변압기")</f>
        <v>0</v>
      </c>
      <c r="CD347"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분석_15일'!$F347,'2023년 신조차 고장관리 세부현황'!$BC:$BC,"완료",'2023년 신조차 고장관리 세부현황'!$CY:$CY,"주변압기")</f>
        <v>0</v>
      </c>
      <c r="CE347"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분석_15일'!$F347,'2023년 신조차 고장관리 세부현황'!$BC:$BC,"완료",'2023년 신조차 고장관리 세부현황'!$CY:$CY,"주변압기")</f>
        <v>0</v>
      </c>
      <c r="CF347"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분석_15일'!$F347,'2023년 신조차 고장관리 세부현황'!$BC:$BC,"완료",'2023년 신조차 고장관리 세부현황'!$CY:$CY,"주변압기")</f>
        <v>0</v>
      </c>
      <c r="CG347"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분석_15일'!$F347,'2023년 신조차 고장관리 세부현황'!$BC:$BC,"완료",'2023년 신조차 고장관리 세부현황'!$CY:$CY,"주변압기")</f>
        <v>0</v>
      </c>
      <c r="CH347"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분석_15일'!$F347,'2023년 신조차 고장관리 세부현황'!$BC:$BC,"완료",'2023년 신조차 고장관리 세부현황'!$CY:$CY,"주변압기")</f>
        <v>0</v>
      </c>
      <c r="CI347"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분석_15일'!$F347,'2023년 신조차 고장관리 세부현황'!$BC:$BC,"완료",'2023년 신조차 고장관리 세부현황'!$CY:$CY,"주변압기")</f>
        <v>0</v>
      </c>
      <c r="CJ347"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분석_15일'!$F347,'2023년 신조차 고장관리 세부현황'!$BC:$BC,"완료",'2023년 신조차 고장관리 세부현황'!$CY:$CY,"주변압기")</f>
        <v>0</v>
      </c>
      <c r="CK347"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분석_15일'!$F347,'2023년 신조차 고장관리 세부현황'!$BC:$BC,"완료",'2023년 신조차 고장관리 세부현황'!$CY:$CY,"주변압기")</f>
        <v>0</v>
      </c>
      <c r="CL347"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분석_15일'!$F347,'2023년 신조차 고장관리 세부현황'!$BC:$BC,"완료",'2023년 신조차 고장관리 세부현황'!$CY:$CY,"주변압기")</f>
        <v>0</v>
      </c>
      <c r="CM347"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분석_15일'!$F347,'2023년 신조차 고장관리 세부현황'!$BC:$BC,"완료",'2023년 신조차 고장관리 세부현황'!$CY:$CY,"주변압기")</f>
        <v>0</v>
      </c>
      <c r="CN347"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분석_15일'!$F347,'2023년 신조차 고장관리 세부현황'!$BC:$BC,"완료",'2023년 신조차 고장관리 세부현황'!$CY:$CY,"주변압기")</f>
        <v>0</v>
      </c>
      <c r="CO347"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분석_15일'!$F347,'2023년 신조차 고장관리 세부현황'!$BC:$BC,"완료",'2023년 신조차 고장관리 세부현황'!$CY:$CY,"주변압기")</f>
        <v>0</v>
      </c>
      <c r="CP347"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분석_15일'!$F347,'2023년 신조차 고장관리 세부현황'!$BC:$BC,"완료",'2023년 신조차 고장관리 세부현황'!$CY:$CY,"주변압기")</f>
        <v>0</v>
      </c>
      <c r="CQ347"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분석_15일'!$F347,'2023년 신조차 고장관리 세부현황'!$BC:$BC,"완료",'2023년 신조차 고장관리 세부현황'!$CY:$CY,"주변압기")</f>
        <v>0</v>
      </c>
      <c r="CR347"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분석_15일'!$F347,'2023년 신조차 고장관리 세부현황'!$BC:$BC,"완료",'2023년 신조차 고장관리 세부현황'!$CY:$CY,"주변압기")</f>
        <v>0</v>
      </c>
      <c r="CS347"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분석_15일'!$F347,'2023년 신조차 고장관리 세부현황'!$BC:$BC,"완료",'2023년 신조차 고장관리 세부현황'!$CY:$CY,"주변압기")</f>
        <v>0</v>
      </c>
      <c r="CT347"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분석_15일'!$F347,'2023년 신조차 고장관리 세부현황'!$BC:$BC,"완료",'2023년 신조차 고장관리 세부현황'!$CY:$CY,"주변압기")</f>
        <v>0</v>
      </c>
      <c r="CU347"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분석_15일'!$F347,'2023년 신조차 고장관리 세부현황'!$BC:$BC,"완료",'2023년 신조차 고장관리 세부현황'!$CY:$CY,"주변압기")</f>
        <v>0</v>
      </c>
      <c r="CV347"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분석_15일'!$F347,'2023년 신조차 고장관리 세부현황'!$BC:$BC,"완료",'2023년 신조차 고장관리 세부현황'!$CY:$CY,"주변압기")</f>
        <v>0</v>
      </c>
      <c r="CW347"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분석_15일'!$F347,'2023년 신조차 고장관리 세부현황'!$BC:$BC,"완료",'2023년 신조차 고장관리 세부현황'!$CY:$CY,"주변압기")</f>
        <v>0</v>
      </c>
      <c r="CX347">
        <f>SUM(G347:CW347)</f>
        <v>0</v>
      </c>
    </row>
    <row r="348" spans="6:103" x14ac:dyDescent="0.4">
      <c r="F348" s="85" t="s">
        <v>243</v>
      </c>
      <c r="G348" s="85">
        <f>G346+G347</f>
        <v>0</v>
      </c>
      <c r="H348" s="85">
        <f t="shared" ref="H348" si="337">H346+H347</f>
        <v>0</v>
      </c>
      <c r="I348" s="85">
        <f t="shared" ref="I348:BT348" si="338">I346+I347</f>
        <v>0</v>
      </c>
      <c r="J348" s="85">
        <f t="shared" si="338"/>
        <v>0</v>
      </c>
      <c r="K348" s="85">
        <f t="shared" si="338"/>
        <v>0</v>
      </c>
      <c r="L348" s="85">
        <f t="shared" si="338"/>
        <v>0</v>
      </c>
      <c r="M348" s="85">
        <f t="shared" si="338"/>
        <v>0</v>
      </c>
      <c r="N348" s="85">
        <f t="shared" si="338"/>
        <v>0</v>
      </c>
      <c r="O348" s="85">
        <f t="shared" si="338"/>
        <v>0</v>
      </c>
      <c r="P348" s="85">
        <f t="shared" si="338"/>
        <v>0</v>
      </c>
      <c r="Q348" s="85">
        <f t="shared" si="338"/>
        <v>0</v>
      </c>
      <c r="R348" s="85">
        <f t="shared" si="338"/>
        <v>0</v>
      </c>
      <c r="S348" s="85">
        <f t="shared" si="338"/>
        <v>0</v>
      </c>
      <c r="T348" s="85">
        <f t="shared" si="338"/>
        <v>0</v>
      </c>
      <c r="U348" s="85">
        <f t="shared" si="338"/>
        <v>0</v>
      </c>
      <c r="V348" s="85">
        <f t="shared" si="338"/>
        <v>0</v>
      </c>
      <c r="W348" s="85">
        <f t="shared" si="338"/>
        <v>0</v>
      </c>
      <c r="X348" s="85">
        <f t="shared" si="338"/>
        <v>0</v>
      </c>
      <c r="Y348" s="85">
        <f t="shared" si="338"/>
        <v>0</v>
      </c>
      <c r="Z348" s="85">
        <f t="shared" si="338"/>
        <v>0</v>
      </c>
      <c r="AA348" s="85">
        <f t="shared" si="338"/>
        <v>0</v>
      </c>
      <c r="AB348" s="85">
        <f t="shared" si="338"/>
        <v>0</v>
      </c>
      <c r="AC348" s="85">
        <f t="shared" si="338"/>
        <v>0</v>
      </c>
      <c r="AD348" s="85">
        <f t="shared" si="338"/>
        <v>0</v>
      </c>
      <c r="AE348" s="85">
        <f t="shared" si="338"/>
        <v>0</v>
      </c>
      <c r="AF348" s="85">
        <f t="shared" si="338"/>
        <v>0</v>
      </c>
      <c r="AG348" s="85">
        <f t="shared" si="338"/>
        <v>0</v>
      </c>
      <c r="AH348" s="85">
        <f t="shared" si="338"/>
        <v>0</v>
      </c>
      <c r="AI348" s="85">
        <f t="shared" si="338"/>
        <v>0</v>
      </c>
      <c r="AJ348" s="85">
        <f t="shared" si="338"/>
        <v>0</v>
      </c>
      <c r="AK348" s="85">
        <f t="shared" si="338"/>
        <v>0</v>
      </c>
      <c r="AL348" s="85">
        <f t="shared" si="338"/>
        <v>0</v>
      </c>
      <c r="AM348" s="85">
        <f t="shared" si="338"/>
        <v>0</v>
      </c>
      <c r="AN348" s="85">
        <f t="shared" si="338"/>
        <v>0</v>
      </c>
      <c r="AO348" s="85">
        <f t="shared" si="338"/>
        <v>0</v>
      </c>
      <c r="AP348" s="85">
        <f t="shared" si="338"/>
        <v>0</v>
      </c>
      <c r="AQ348" s="85">
        <f t="shared" si="338"/>
        <v>0</v>
      </c>
      <c r="AR348" s="85">
        <f t="shared" si="338"/>
        <v>0</v>
      </c>
      <c r="AS348" s="85">
        <f t="shared" si="338"/>
        <v>0</v>
      </c>
      <c r="AT348" s="85">
        <f t="shared" si="338"/>
        <v>0</v>
      </c>
      <c r="AU348" s="85">
        <f t="shared" si="338"/>
        <v>0</v>
      </c>
      <c r="AV348" s="85">
        <f t="shared" si="338"/>
        <v>0</v>
      </c>
      <c r="AW348" s="85">
        <f t="shared" si="338"/>
        <v>0</v>
      </c>
      <c r="AX348" s="85">
        <f t="shared" si="338"/>
        <v>0</v>
      </c>
      <c r="AY348" s="85">
        <f t="shared" si="338"/>
        <v>0</v>
      </c>
      <c r="AZ348" s="85">
        <f t="shared" si="338"/>
        <v>0</v>
      </c>
      <c r="BA348" s="85">
        <f t="shared" si="338"/>
        <v>0</v>
      </c>
      <c r="BB348" s="85">
        <f t="shared" si="338"/>
        <v>0</v>
      </c>
      <c r="BC348" s="85">
        <f t="shared" si="338"/>
        <v>0</v>
      </c>
      <c r="BD348" s="85">
        <f t="shared" si="338"/>
        <v>0</v>
      </c>
      <c r="BE348" s="85">
        <f t="shared" si="338"/>
        <v>0</v>
      </c>
      <c r="BF348" s="85">
        <f t="shared" si="338"/>
        <v>0</v>
      </c>
      <c r="BG348" s="85">
        <f t="shared" si="338"/>
        <v>0</v>
      </c>
      <c r="BH348" s="85">
        <f t="shared" si="338"/>
        <v>0</v>
      </c>
      <c r="BI348" s="85">
        <f t="shared" si="338"/>
        <v>0</v>
      </c>
      <c r="BJ348" s="85">
        <f t="shared" si="338"/>
        <v>0</v>
      </c>
      <c r="BK348" s="85">
        <f t="shared" si="338"/>
        <v>0</v>
      </c>
      <c r="BL348" s="85">
        <f t="shared" si="338"/>
        <v>0</v>
      </c>
      <c r="BM348" s="85">
        <f t="shared" si="338"/>
        <v>0</v>
      </c>
      <c r="BN348" s="85">
        <f t="shared" si="338"/>
        <v>0</v>
      </c>
      <c r="BO348" s="85">
        <f t="shared" si="338"/>
        <v>0</v>
      </c>
      <c r="BP348" s="85">
        <f t="shared" si="338"/>
        <v>0</v>
      </c>
      <c r="BQ348" s="85">
        <f t="shared" si="338"/>
        <v>0</v>
      </c>
      <c r="BR348" s="85">
        <f t="shared" si="338"/>
        <v>0</v>
      </c>
      <c r="BS348" s="85">
        <f t="shared" si="338"/>
        <v>0</v>
      </c>
      <c r="BT348" s="85">
        <f t="shared" si="338"/>
        <v>0</v>
      </c>
      <c r="BU348" s="85">
        <f t="shared" ref="BU348:CW348" si="339">BU346+BU347</f>
        <v>0</v>
      </c>
      <c r="BV348" s="85">
        <f t="shared" si="339"/>
        <v>0</v>
      </c>
      <c r="BW348" s="85">
        <f t="shared" si="339"/>
        <v>0</v>
      </c>
      <c r="BX348" s="85">
        <f t="shared" si="339"/>
        <v>0</v>
      </c>
      <c r="BY348" s="85">
        <f t="shared" si="339"/>
        <v>0</v>
      </c>
      <c r="BZ348" s="85">
        <f t="shared" si="339"/>
        <v>0</v>
      </c>
      <c r="CA348" s="85">
        <f t="shared" si="339"/>
        <v>0</v>
      </c>
      <c r="CB348" s="85">
        <f t="shared" si="339"/>
        <v>0</v>
      </c>
      <c r="CC348" s="85">
        <f t="shared" si="339"/>
        <v>0</v>
      </c>
      <c r="CD348" s="85">
        <f t="shared" si="339"/>
        <v>0</v>
      </c>
      <c r="CE348" s="85">
        <f t="shared" si="339"/>
        <v>0</v>
      </c>
      <c r="CF348" s="85">
        <f t="shared" si="339"/>
        <v>0</v>
      </c>
      <c r="CG348" s="85">
        <f t="shared" si="339"/>
        <v>0</v>
      </c>
      <c r="CH348" s="85">
        <f t="shared" si="339"/>
        <v>0</v>
      </c>
      <c r="CI348" s="85">
        <f t="shared" si="339"/>
        <v>0</v>
      </c>
      <c r="CJ348" s="85">
        <f t="shared" si="339"/>
        <v>0</v>
      </c>
      <c r="CK348" s="85">
        <f t="shared" si="339"/>
        <v>0</v>
      </c>
      <c r="CL348" s="85">
        <f t="shared" si="339"/>
        <v>0</v>
      </c>
      <c r="CM348" s="85">
        <f t="shared" si="339"/>
        <v>0</v>
      </c>
      <c r="CN348" s="85">
        <f t="shared" si="339"/>
        <v>0</v>
      </c>
      <c r="CO348" s="85">
        <f t="shared" si="339"/>
        <v>0</v>
      </c>
      <c r="CP348" s="85">
        <f t="shared" si="339"/>
        <v>0</v>
      </c>
      <c r="CQ348" s="85">
        <f t="shared" si="339"/>
        <v>0</v>
      </c>
      <c r="CR348" s="85">
        <f t="shared" si="339"/>
        <v>0</v>
      </c>
      <c r="CS348" s="85">
        <f t="shared" si="339"/>
        <v>0</v>
      </c>
      <c r="CT348" s="85">
        <f t="shared" si="339"/>
        <v>0</v>
      </c>
      <c r="CU348" s="85">
        <f t="shared" si="339"/>
        <v>0</v>
      </c>
      <c r="CV348" s="85">
        <f t="shared" si="339"/>
        <v>0</v>
      </c>
      <c r="CW348" s="85">
        <f t="shared" si="339"/>
        <v>0</v>
      </c>
      <c r="CX348">
        <f>SUM(G348:CW348)</f>
        <v>0</v>
      </c>
    </row>
    <row r="349" spans="6:103" x14ac:dyDescent="0.4">
      <c r="F349" s="86" t="s">
        <v>222</v>
      </c>
      <c r="G349" s="85">
        <f>COUNTIFS('2023년 신조차 고장관리 세부현황'!$K:$K,"128R",'2023년 신조차 고장관리 세부현황'!$P:$P,"&gt;="&amp;$G$17,'2023년 신조차 고장관리 세부현황'!$P:$P,"&lt;"&amp;'트랜드 분석_15일'!G$18,'2023년 신조차 고장관리 세부현황'!$S:$S,'트랜드 분석_15일'!$F349,'2023년 신조차 고장관리 세부현황'!$BC:$BC,"완료",'2023년 신조차 고장관리 세부현황'!$CY:$CY,"주변압기")</f>
        <v>0</v>
      </c>
      <c r="H349"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분석_15일'!$F349,'2023년 신조차 고장관리 세부현황'!$BC:$BC,"완료",'2023년 신조차 고장관리 세부현황'!$CY:$CY,"주변압기")</f>
        <v>0</v>
      </c>
      <c r="I349"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분석_15일'!$F349,'2023년 신조차 고장관리 세부현황'!$BC:$BC,"완료",'2023년 신조차 고장관리 세부현황'!$CY:$CY,"주변압기")</f>
        <v>0</v>
      </c>
      <c r="J349"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분석_15일'!$F349,'2023년 신조차 고장관리 세부현황'!$BC:$BC,"완료",'2023년 신조차 고장관리 세부현황'!$CY:$CY,"주변압기")</f>
        <v>0</v>
      </c>
      <c r="K349"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분석_15일'!$F349,'2023년 신조차 고장관리 세부현황'!$BC:$BC,"완료",'2023년 신조차 고장관리 세부현황'!$CY:$CY,"주변압기")</f>
        <v>0</v>
      </c>
      <c r="L349"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분석_15일'!$F349,'2023년 신조차 고장관리 세부현황'!$BC:$BC,"완료",'2023년 신조차 고장관리 세부현황'!$CY:$CY,"주변압기")</f>
        <v>0</v>
      </c>
      <c r="M349"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분석_15일'!$F349,'2023년 신조차 고장관리 세부현황'!$BC:$BC,"완료",'2023년 신조차 고장관리 세부현황'!$CY:$CY,"주변압기")</f>
        <v>0</v>
      </c>
      <c r="N349"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분석_15일'!$F349,'2023년 신조차 고장관리 세부현황'!$BC:$BC,"완료",'2023년 신조차 고장관리 세부현황'!$CY:$CY,"주변압기")</f>
        <v>0</v>
      </c>
      <c r="O349"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분석_15일'!$F349,'2023년 신조차 고장관리 세부현황'!$BC:$BC,"완료",'2023년 신조차 고장관리 세부현황'!$CY:$CY,"주변압기")</f>
        <v>0</v>
      </c>
      <c r="P349"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분석_15일'!$F349,'2023년 신조차 고장관리 세부현황'!$BC:$BC,"완료",'2023년 신조차 고장관리 세부현황'!$CY:$CY,"주변압기")</f>
        <v>0</v>
      </c>
      <c r="Q349"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분석_15일'!$F349,'2023년 신조차 고장관리 세부현황'!$BC:$BC,"완료",'2023년 신조차 고장관리 세부현황'!$CY:$CY,"주변압기")</f>
        <v>0</v>
      </c>
      <c r="R349"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분석_15일'!$F349,'2023년 신조차 고장관리 세부현황'!$BC:$BC,"완료",'2023년 신조차 고장관리 세부현황'!$CY:$CY,"주변압기")</f>
        <v>0</v>
      </c>
      <c r="S349"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분석_15일'!$F349,'2023년 신조차 고장관리 세부현황'!$BC:$BC,"완료",'2023년 신조차 고장관리 세부현황'!$CY:$CY,"주변압기")</f>
        <v>0</v>
      </c>
      <c r="T349"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분석_15일'!$F349,'2023년 신조차 고장관리 세부현황'!$BC:$BC,"완료",'2023년 신조차 고장관리 세부현황'!$CY:$CY,"주변압기")</f>
        <v>0</v>
      </c>
      <c r="U349"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분석_15일'!$F349,'2023년 신조차 고장관리 세부현황'!$BC:$BC,"완료",'2023년 신조차 고장관리 세부현황'!$CY:$CY,"주변압기")</f>
        <v>0</v>
      </c>
      <c r="V349"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분석_15일'!$F349,'2023년 신조차 고장관리 세부현황'!$BC:$BC,"완료",'2023년 신조차 고장관리 세부현황'!$CY:$CY,"주변압기")</f>
        <v>0</v>
      </c>
      <c r="W349"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분석_15일'!$F349,'2023년 신조차 고장관리 세부현황'!$BC:$BC,"완료",'2023년 신조차 고장관리 세부현황'!$CY:$CY,"주변압기")</f>
        <v>0</v>
      </c>
      <c r="X349"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분석_15일'!$F349,'2023년 신조차 고장관리 세부현황'!$BC:$BC,"완료",'2023년 신조차 고장관리 세부현황'!$CY:$CY,"주변압기")</f>
        <v>0</v>
      </c>
      <c r="Y349"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분석_15일'!$F349,'2023년 신조차 고장관리 세부현황'!$BC:$BC,"완료",'2023년 신조차 고장관리 세부현황'!$CY:$CY,"주변압기")</f>
        <v>0</v>
      </c>
      <c r="Z349"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분석_15일'!$F349,'2023년 신조차 고장관리 세부현황'!$BC:$BC,"완료",'2023년 신조차 고장관리 세부현황'!$CY:$CY,"주변압기")</f>
        <v>0</v>
      </c>
      <c r="AA349"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분석_15일'!$F349,'2023년 신조차 고장관리 세부현황'!$BC:$BC,"완료",'2023년 신조차 고장관리 세부현황'!$CY:$CY,"주변압기")</f>
        <v>0</v>
      </c>
      <c r="AB349"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분석_15일'!$F349,'2023년 신조차 고장관리 세부현황'!$BC:$BC,"완료",'2023년 신조차 고장관리 세부현황'!$CY:$CY,"주변압기")</f>
        <v>0</v>
      </c>
      <c r="AC349"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분석_15일'!$F349,'2023년 신조차 고장관리 세부현황'!$BC:$BC,"완료",'2023년 신조차 고장관리 세부현황'!$CY:$CY,"주변압기")</f>
        <v>0</v>
      </c>
      <c r="AD349"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분석_15일'!$F349,'2023년 신조차 고장관리 세부현황'!$BC:$BC,"완료",'2023년 신조차 고장관리 세부현황'!$CY:$CY,"주변압기")</f>
        <v>0</v>
      </c>
      <c r="AE349"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분석_15일'!$F349,'2023년 신조차 고장관리 세부현황'!$BC:$BC,"완료",'2023년 신조차 고장관리 세부현황'!$CY:$CY,"주변압기")</f>
        <v>0</v>
      </c>
      <c r="AF349"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분석_15일'!$F349,'2023년 신조차 고장관리 세부현황'!$BC:$BC,"완료",'2023년 신조차 고장관리 세부현황'!$CY:$CY,"주변압기")</f>
        <v>0</v>
      </c>
      <c r="AG349"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분석_15일'!$F349,'2023년 신조차 고장관리 세부현황'!$BC:$BC,"완료",'2023년 신조차 고장관리 세부현황'!$CY:$CY,"주변압기")</f>
        <v>0</v>
      </c>
      <c r="AH349"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분석_15일'!$F349,'2023년 신조차 고장관리 세부현황'!$BC:$BC,"완료",'2023년 신조차 고장관리 세부현황'!$CY:$CY,"주변압기")</f>
        <v>0</v>
      </c>
      <c r="AI349"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분석_15일'!$F349,'2023년 신조차 고장관리 세부현황'!$BC:$BC,"완료",'2023년 신조차 고장관리 세부현황'!$CY:$CY,"주변압기")</f>
        <v>0</v>
      </c>
      <c r="AJ349"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분석_15일'!$F349,'2023년 신조차 고장관리 세부현황'!$BC:$BC,"완료",'2023년 신조차 고장관리 세부현황'!$CY:$CY,"주변압기")</f>
        <v>0</v>
      </c>
      <c r="AK349"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분석_15일'!$F349,'2023년 신조차 고장관리 세부현황'!$BC:$BC,"완료",'2023년 신조차 고장관리 세부현황'!$CY:$CY,"주변압기")</f>
        <v>0</v>
      </c>
      <c r="AL349"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분석_15일'!$F349,'2023년 신조차 고장관리 세부현황'!$BC:$BC,"완료",'2023년 신조차 고장관리 세부현황'!$CY:$CY,"주변압기")</f>
        <v>0</v>
      </c>
      <c r="AM349"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분석_15일'!$F349,'2023년 신조차 고장관리 세부현황'!$BC:$BC,"완료",'2023년 신조차 고장관리 세부현황'!$CY:$CY,"주변압기")</f>
        <v>0</v>
      </c>
      <c r="AN349"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분석_15일'!$F349,'2023년 신조차 고장관리 세부현황'!$BC:$BC,"완료",'2023년 신조차 고장관리 세부현황'!$CY:$CY,"주변압기")</f>
        <v>0</v>
      </c>
      <c r="AO349"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분석_15일'!$F349,'2023년 신조차 고장관리 세부현황'!$BC:$BC,"완료",'2023년 신조차 고장관리 세부현황'!$CY:$CY,"주변압기")</f>
        <v>0</v>
      </c>
      <c r="AP349"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분석_15일'!$F349,'2023년 신조차 고장관리 세부현황'!$BC:$BC,"완료",'2023년 신조차 고장관리 세부현황'!$CY:$CY,"주변압기")</f>
        <v>0</v>
      </c>
      <c r="AQ349"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분석_15일'!$F349,'2023년 신조차 고장관리 세부현황'!$BC:$BC,"완료",'2023년 신조차 고장관리 세부현황'!$CY:$CY,"주변압기")</f>
        <v>0</v>
      </c>
      <c r="AR349"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분석_15일'!$F349,'2023년 신조차 고장관리 세부현황'!$BC:$BC,"완료",'2023년 신조차 고장관리 세부현황'!$CY:$CY,"주변압기")</f>
        <v>0</v>
      </c>
      <c r="AS349"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분석_15일'!$F349,'2023년 신조차 고장관리 세부현황'!$BC:$BC,"완료",'2023년 신조차 고장관리 세부현황'!$CY:$CY,"주변압기")</f>
        <v>0</v>
      </c>
      <c r="AT349"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분석_15일'!$F349,'2023년 신조차 고장관리 세부현황'!$BC:$BC,"완료",'2023년 신조차 고장관리 세부현황'!$CY:$CY,"주변압기")</f>
        <v>0</v>
      </c>
      <c r="AU349"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분석_15일'!$F349,'2023년 신조차 고장관리 세부현황'!$BC:$BC,"완료",'2023년 신조차 고장관리 세부현황'!$CY:$CY,"주변압기")</f>
        <v>0</v>
      </c>
      <c r="AV349"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분석_15일'!$F349,'2023년 신조차 고장관리 세부현황'!$BC:$BC,"완료",'2023년 신조차 고장관리 세부현황'!$CY:$CY,"주변압기")</f>
        <v>0</v>
      </c>
      <c r="AW349"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분석_15일'!$F349,'2023년 신조차 고장관리 세부현황'!$BC:$BC,"완료",'2023년 신조차 고장관리 세부현황'!$CY:$CY,"주변압기")</f>
        <v>0</v>
      </c>
      <c r="AX349"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분석_15일'!$F349,'2023년 신조차 고장관리 세부현황'!$BC:$BC,"완료",'2023년 신조차 고장관리 세부현황'!$CY:$CY,"주변압기")</f>
        <v>0</v>
      </c>
      <c r="AY349"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분석_15일'!$F349,'2023년 신조차 고장관리 세부현황'!$BC:$BC,"완료",'2023년 신조차 고장관리 세부현황'!$CY:$CY,"주변압기")</f>
        <v>0</v>
      </c>
      <c r="AZ349"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분석_15일'!$F349,'2023년 신조차 고장관리 세부현황'!$BC:$BC,"완료",'2023년 신조차 고장관리 세부현황'!$CY:$CY,"주변압기")</f>
        <v>0</v>
      </c>
      <c r="BA349"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분석_15일'!$F349,'2023년 신조차 고장관리 세부현황'!$BC:$BC,"완료",'2023년 신조차 고장관리 세부현황'!$CY:$CY,"주변압기")</f>
        <v>0</v>
      </c>
      <c r="BB349"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분석_15일'!$F349,'2023년 신조차 고장관리 세부현황'!$BC:$BC,"완료",'2023년 신조차 고장관리 세부현황'!$CY:$CY,"주변압기")</f>
        <v>0</v>
      </c>
      <c r="BC349"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분석_15일'!$F349,'2023년 신조차 고장관리 세부현황'!$BC:$BC,"완료",'2023년 신조차 고장관리 세부현황'!$CY:$CY,"주변압기")</f>
        <v>0</v>
      </c>
      <c r="BD349"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분석_15일'!$F349,'2023년 신조차 고장관리 세부현황'!$BC:$BC,"완료",'2023년 신조차 고장관리 세부현황'!$CY:$CY,"주변압기")</f>
        <v>0</v>
      </c>
      <c r="BE349"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분석_15일'!$F349,'2023년 신조차 고장관리 세부현황'!$BC:$BC,"완료",'2023년 신조차 고장관리 세부현황'!$CY:$CY,"주변압기")</f>
        <v>0</v>
      </c>
      <c r="BF349"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분석_15일'!$F349,'2023년 신조차 고장관리 세부현황'!$BC:$BC,"완료",'2023년 신조차 고장관리 세부현황'!$CY:$CY,"주변압기")</f>
        <v>0</v>
      </c>
      <c r="BG349"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분석_15일'!$F349,'2023년 신조차 고장관리 세부현황'!$BC:$BC,"완료",'2023년 신조차 고장관리 세부현황'!$CY:$CY,"주변압기")</f>
        <v>0</v>
      </c>
      <c r="BH349"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분석_15일'!$F349,'2023년 신조차 고장관리 세부현황'!$BC:$BC,"완료",'2023년 신조차 고장관리 세부현황'!$CY:$CY,"주변압기")</f>
        <v>0</v>
      </c>
      <c r="BI349"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분석_15일'!$F349,'2023년 신조차 고장관리 세부현황'!$BC:$BC,"완료",'2023년 신조차 고장관리 세부현황'!$CY:$CY,"주변압기")</f>
        <v>0</v>
      </c>
      <c r="BJ349"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분석_15일'!$F349,'2023년 신조차 고장관리 세부현황'!$BC:$BC,"완료",'2023년 신조차 고장관리 세부현황'!$CY:$CY,"주변압기")</f>
        <v>0</v>
      </c>
      <c r="BK349"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분석_15일'!$F349,'2023년 신조차 고장관리 세부현황'!$BC:$BC,"완료",'2023년 신조차 고장관리 세부현황'!$CY:$CY,"주변압기")</f>
        <v>0</v>
      </c>
      <c r="BL349"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분석_15일'!$F349,'2023년 신조차 고장관리 세부현황'!$BC:$BC,"완료",'2023년 신조차 고장관리 세부현황'!$CY:$CY,"주변압기")</f>
        <v>0</v>
      </c>
      <c r="BM349"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분석_15일'!$F349,'2023년 신조차 고장관리 세부현황'!$BC:$BC,"완료",'2023년 신조차 고장관리 세부현황'!$CY:$CY,"주변압기")</f>
        <v>0</v>
      </c>
      <c r="BN349"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분석_15일'!$F349,'2023년 신조차 고장관리 세부현황'!$BC:$BC,"완료",'2023년 신조차 고장관리 세부현황'!$CY:$CY,"주변압기")</f>
        <v>0</v>
      </c>
      <c r="BO349"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분석_15일'!$F349,'2023년 신조차 고장관리 세부현황'!$BC:$BC,"완료",'2023년 신조차 고장관리 세부현황'!$CY:$CY,"주변압기")</f>
        <v>0</v>
      </c>
      <c r="BP349"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분석_15일'!$F349,'2023년 신조차 고장관리 세부현황'!$BC:$BC,"완료",'2023년 신조차 고장관리 세부현황'!$CY:$CY,"주변압기")</f>
        <v>0</v>
      </c>
      <c r="BQ349"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분석_15일'!$F349,'2023년 신조차 고장관리 세부현황'!$BC:$BC,"완료",'2023년 신조차 고장관리 세부현황'!$CY:$CY,"주변압기")</f>
        <v>0</v>
      </c>
      <c r="BR349"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분석_15일'!$F349,'2023년 신조차 고장관리 세부현황'!$BC:$BC,"완료",'2023년 신조차 고장관리 세부현황'!$CY:$CY,"주변압기")</f>
        <v>0</v>
      </c>
      <c r="BS349"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분석_15일'!$F349,'2023년 신조차 고장관리 세부현황'!$BC:$BC,"완료",'2023년 신조차 고장관리 세부현황'!$CY:$CY,"주변압기")</f>
        <v>0</v>
      </c>
      <c r="BT349"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분석_15일'!$F349,'2023년 신조차 고장관리 세부현황'!$BC:$BC,"완료",'2023년 신조차 고장관리 세부현황'!$CY:$CY,"주변압기")</f>
        <v>0</v>
      </c>
      <c r="BU349"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분석_15일'!$F349,'2023년 신조차 고장관리 세부현황'!$BC:$BC,"완료",'2023년 신조차 고장관리 세부현황'!$CY:$CY,"주변압기")</f>
        <v>0</v>
      </c>
      <c r="BV349"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분석_15일'!$F349,'2023년 신조차 고장관리 세부현황'!$BC:$BC,"완료",'2023년 신조차 고장관리 세부현황'!$CY:$CY,"주변압기")</f>
        <v>0</v>
      </c>
      <c r="BW349"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분석_15일'!$F349,'2023년 신조차 고장관리 세부현황'!$BC:$BC,"완료",'2023년 신조차 고장관리 세부현황'!$CY:$CY,"주변압기")</f>
        <v>0</v>
      </c>
      <c r="BX349"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분석_15일'!$F349,'2023년 신조차 고장관리 세부현황'!$BC:$BC,"완료",'2023년 신조차 고장관리 세부현황'!$CY:$CY,"주변압기")</f>
        <v>0</v>
      </c>
      <c r="BY349"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분석_15일'!$F349,'2023년 신조차 고장관리 세부현황'!$BC:$BC,"완료",'2023년 신조차 고장관리 세부현황'!$CY:$CY,"주변압기")</f>
        <v>0</v>
      </c>
      <c r="BZ349"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분석_15일'!$F349,'2023년 신조차 고장관리 세부현황'!$BC:$BC,"완료",'2023년 신조차 고장관리 세부현황'!$CY:$CY,"주변압기")</f>
        <v>0</v>
      </c>
      <c r="CA349"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분석_15일'!$F349,'2023년 신조차 고장관리 세부현황'!$BC:$BC,"완료",'2023년 신조차 고장관리 세부현황'!$CY:$CY,"주변압기")</f>
        <v>0</v>
      </c>
      <c r="CB349"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분석_15일'!$F349,'2023년 신조차 고장관리 세부현황'!$BC:$BC,"완료",'2023년 신조차 고장관리 세부현황'!$CY:$CY,"주변압기")</f>
        <v>0</v>
      </c>
      <c r="CC349"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분석_15일'!$F349,'2023년 신조차 고장관리 세부현황'!$BC:$BC,"완료",'2023년 신조차 고장관리 세부현황'!$CY:$CY,"주변압기")</f>
        <v>0</v>
      </c>
      <c r="CD349"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분석_15일'!$F349,'2023년 신조차 고장관리 세부현황'!$BC:$BC,"완료",'2023년 신조차 고장관리 세부현황'!$CY:$CY,"주변압기")</f>
        <v>0</v>
      </c>
      <c r="CE349"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분석_15일'!$F349,'2023년 신조차 고장관리 세부현황'!$BC:$BC,"완료",'2023년 신조차 고장관리 세부현황'!$CY:$CY,"주변압기")</f>
        <v>0</v>
      </c>
      <c r="CF349"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분석_15일'!$F349,'2023년 신조차 고장관리 세부현황'!$BC:$BC,"완료",'2023년 신조차 고장관리 세부현황'!$CY:$CY,"주변압기")</f>
        <v>0</v>
      </c>
      <c r="CG349"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분석_15일'!$F349,'2023년 신조차 고장관리 세부현황'!$BC:$BC,"완료",'2023년 신조차 고장관리 세부현황'!$CY:$CY,"주변압기")</f>
        <v>0</v>
      </c>
      <c r="CH349"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분석_15일'!$F349,'2023년 신조차 고장관리 세부현황'!$BC:$BC,"완료",'2023년 신조차 고장관리 세부현황'!$CY:$CY,"주변압기")</f>
        <v>0</v>
      </c>
      <c r="CI349"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분석_15일'!$F349,'2023년 신조차 고장관리 세부현황'!$BC:$BC,"완료",'2023년 신조차 고장관리 세부현황'!$CY:$CY,"주변압기")</f>
        <v>0</v>
      </c>
      <c r="CJ349"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분석_15일'!$F349,'2023년 신조차 고장관리 세부현황'!$BC:$BC,"완료",'2023년 신조차 고장관리 세부현황'!$CY:$CY,"주변압기")</f>
        <v>0</v>
      </c>
      <c r="CK349"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분석_15일'!$F349,'2023년 신조차 고장관리 세부현황'!$BC:$BC,"완료",'2023년 신조차 고장관리 세부현황'!$CY:$CY,"주변압기")</f>
        <v>0</v>
      </c>
      <c r="CL349"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분석_15일'!$F349,'2023년 신조차 고장관리 세부현황'!$BC:$BC,"완료",'2023년 신조차 고장관리 세부현황'!$CY:$CY,"주변압기")</f>
        <v>0</v>
      </c>
      <c r="CM349"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분석_15일'!$F349,'2023년 신조차 고장관리 세부현황'!$BC:$BC,"완료",'2023년 신조차 고장관리 세부현황'!$CY:$CY,"주변압기")</f>
        <v>0</v>
      </c>
      <c r="CN349"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분석_15일'!$F349,'2023년 신조차 고장관리 세부현황'!$BC:$BC,"완료",'2023년 신조차 고장관리 세부현황'!$CY:$CY,"주변압기")</f>
        <v>0</v>
      </c>
      <c r="CO349"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분석_15일'!$F349,'2023년 신조차 고장관리 세부현황'!$BC:$BC,"완료",'2023년 신조차 고장관리 세부현황'!$CY:$CY,"주변압기")</f>
        <v>0</v>
      </c>
      <c r="CP349"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분석_15일'!$F349,'2023년 신조차 고장관리 세부현황'!$BC:$BC,"완료",'2023년 신조차 고장관리 세부현황'!$CY:$CY,"주변압기")</f>
        <v>0</v>
      </c>
      <c r="CQ349"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분석_15일'!$F349,'2023년 신조차 고장관리 세부현황'!$BC:$BC,"완료",'2023년 신조차 고장관리 세부현황'!$CY:$CY,"주변압기")</f>
        <v>0</v>
      </c>
      <c r="CR349"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분석_15일'!$F349,'2023년 신조차 고장관리 세부현황'!$BC:$BC,"완료",'2023년 신조차 고장관리 세부현황'!$CY:$CY,"주변압기")</f>
        <v>0</v>
      </c>
      <c r="CS349"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분석_15일'!$F349,'2023년 신조차 고장관리 세부현황'!$BC:$BC,"완료",'2023년 신조차 고장관리 세부현황'!$CY:$CY,"주변압기")</f>
        <v>0</v>
      </c>
      <c r="CT349"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분석_15일'!$F349,'2023년 신조차 고장관리 세부현황'!$BC:$BC,"완료",'2023년 신조차 고장관리 세부현황'!$CY:$CY,"주변압기")</f>
        <v>0</v>
      </c>
      <c r="CU349"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분석_15일'!$F349,'2023년 신조차 고장관리 세부현황'!$BC:$BC,"완료",'2023년 신조차 고장관리 세부현황'!$CY:$CY,"주변압기")</f>
        <v>0</v>
      </c>
      <c r="CV349"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분석_15일'!$F349,'2023년 신조차 고장관리 세부현황'!$BC:$BC,"완료",'2023년 신조차 고장관리 세부현황'!$CY:$CY,"주변압기")</f>
        <v>0</v>
      </c>
      <c r="CW349"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분석_15일'!$F349,'2023년 신조차 고장관리 세부현황'!$BC:$BC,"완료",'2023년 신조차 고장관리 세부현황'!$CY:$CY,"주변압기")</f>
        <v>0</v>
      </c>
      <c r="CX349">
        <f>SUM(G349:CW349)</f>
        <v>0</v>
      </c>
    </row>
    <row r="350" spans="6:103" x14ac:dyDescent="0.4">
      <c r="F350" s="200"/>
    </row>
    <row r="351" spans="6:103" x14ac:dyDescent="0.4">
      <c r="F351" t="s">
        <v>349</v>
      </c>
      <c r="CS351" t="s">
        <v>399</v>
      </c>
    </row>
    <row r="352" spans="6:103" x14ac:dyDescent="0.4">
      <c r="F352" s="85" t="s">
        <v>242</v>
      </c>
      <c r="G352" s="85">
        <v>1</v>
      </c>
      <c r="H352" s="85">
        <v>2</v>
      </c>
      <c r="I352" s="85">
        <v>3</v>
      </c>
      <c r="J352" s="85">
        <v>4</v>
      </c>
      <c r="K352" s="85">
        <v>5</v>
      </c>
      <c r="L352" s="85">
        <v>6</v>
      </c>
      <c r="M352" s="85">
        <v>7</v>
      </c>
      <c r="N352" s="85">
        <v>8</v>
      </c>
      <c r="O352" s="85">
        <v>9</v>
      </c>
      <c r="P352" s="85">
        <v>10</v>
      </c>
      <c r="Q352" s="85">
        <v>11</v>
      </c>
      <c r="R352" s="85">
        <v>12</v>
      </c>
      <c r="S352" s="85">
        <v>13</v>
      </c>
      <c r="T352" s="85">
        <v>14</v>
      </c>
      <c r="U352" s="85">
        <v>15</v>
      </c>
      <c r="V352" s="85">
        <v>16</v>
      </c>
      <c r="W352" s="85">
        <v>17</v>
      </c>
      <c r="X352" s="85">
        <v>18</v>
      </c>
      <c r="Y352" s="85">
        <v>19</v>
      </c>
      <c r="Z352" s="85">
        <v>20</v>
      </c>
      <c r="AA352" s="85">
        <v>21</v>
      </c>
      <c r="AB352" s="85">
        <v>22</v>
      </c>
      <c r="AC352" s="85">
        <v>23</v>
      </c>
      <c r="AD352" s="85">
        <v>24</v>
      </c>
      <c r="AE352" s="85">
        <v>25</v>
      </c>
      <c r="AF352" s="85">
        <v>26</v>
      </c>
      <c r="AG352" s="85">
        <v>27</v>
      </c>
      <c r="AH352" s="85">
        <v>28</v>
      </c>
      <c r="AI352" s="85">
        <v>29</v>
      </c>
      <c r="AJ352" s="85">
        <v>30</v>
      </c>
      <c r="AK352" s="85">
        <v>31</v>
      </c>
      <c r="AL352" s="85">
        <v>32</v>
      </c>
      <c r="AM352" s="85">
        <v>33</v>
      </c>
      <c r="AN352" s="85">
        <v>34</v>
      </c>
      <c r="AO352" s="85">
        <v>35</v>
      </c>
      <c r="AP352" s="85">
        <v>36</v>
      </c>
      <c r="AQ352" s="85">
        <v>37</v>
      </c>
      <c r="AR352" s="85">
        <v>38</v>
      </c>
      <c r="AS352" s="85">
        <v>39</v>
      </c>
      <c r="AT352" s="85">
        <v>40</v>
      </c>
      <c r="AU352" s="85">
        <v>41</v>
      </c>
      <c r="AV352" s="85">
        <v>42</v>
      </c>
      <c r="AW352" s="85">
        <v>43</v>
      </c>
      <c r="AX352" s="85">
        <v>44</v>
      </c>
      <c r="AY352" s="85">
        <v>45</v>
      </c>
      <c r="AZ352" s="85">
        <v>46</v>
      </c>
      <c r="BA352" s="85">
        <v>47</v>
      </c>
      <c r="BB352" s="85">
        <v>48</v>
      </c>
      <c r="BC352" s="85">
        <v>49</v>
      </c>
      <c r="BD352" s="85">
        <v>50</v>
      </c>
      <c r="BE352" s="85">
        <v>51</v>
      </c>
      <c r="BF352" s="85">
        <v>52</v>
      </c>
      <c r="BG352" s="85">
        <v>53</v>
      </c>
      <c r="BH352" s="85">
        <v>54</v>
      </c>
      <c r="BI352" s="85">
        <v>55</v>
      </c>
      <c r="BJ352" s="85">
        <v>56</v>
      </c>
      <c r="BK352" s="85">
        <v>57</v>
      </c>
      <c r="BL352" s="85">
        <v>58</v>
      </c>
      <c r="BM352" s="85">
        <v>59</v>
      </c>
      <c r="BN352" s="85">
        <v>60</v>
      </c>
      <c r="BO352" s="85">
        <v>61</v>
      </c>
      <c r="BP352" s="85">
        <v>62</v>
      </c>
      <c r="BQ352" s="85">
        <v>63</v>
      </c>
      <c r="BR352" s="85">
        <v>64</v>
      </c>
      <c r="BS352" s="85">
        <v>65</v>
      </c>
      <c r="BT352" s="85">
        <v>66</v>
      </c>
      <c r="BU352" s="85">
        <v>67</v>
      </c>
      <c r="BV352" s="85">
        <v>68</v>
      </c>
      <c r="BW352" s="85">
        <v>69</v>
      </c>
      <c r="BX352" s="85">
        <v>70</v>
      </c>
      <c r="BY352" s="85">
        <v>71</v>
      </c>
      <c r="BZ352" s="85">
        <v>72</v>
      </c>
      <c r="CA352" s="85">
        <v>73</v>
      </c>
      <c r="CB352" s="85">
        <v>74</v>
      </c>
      <c r="CC352" s="85">
        <v>75</v>
      </c>
      <c r="CD352" s="85">
        <v>76</v>
      </c>
      <c r="CE352" s="85">
        <v>77</v>
      </c>
      <c r="CF352" s="85">
        <v>78</v>
      </c>
      <c r="CG352" s="85">
        <v>79</v>
      </c>
      <c r="CH352" s="85">
        <v>80</v>
      </c>
      <c r="CI352" s="85">
        <v>81</v>
      </c>
      <c r="CJ352" s="85">
        <v>82</v>
      </c>
      <c r="CK352" s="85">
        <v>83</v>
      </c>
      <c r="CL352" s="85">
        <v>84</v>
      </c>
      <c r="CM352" s="85">
        <v>85</v>
      </c>
      <c r="CN352" s="85">
        <v>86</v>
      </c>
      <c r="CO352" s="85">
        <v>87</v>
      </c>
      <c r="CP352" s="85">
        <v>88</v>
      </c>
      <c r="CQ352" s="85">
        <v>89</v>
      </c>
      <c r="CR352" s="85">
        <v>90</v>
      </c>
      <c r="CS352" s="85">
        <v>91</v>
      </c>
      <c r="CT352" s="85">
        <v>92</v>
      </c>
      <c r="CU352" s="85">
        <v>93</v>
      </c>
      <c r="CV352" s="85">
        <v>94</v>
      </c>
      <c r="CW352" s="85">
        <v>95</v>
      </c>
    </row>
    <row r="353" spans="6:103" x14ac:dyDescent="0.4">
      <c r="F353" s="85" t="s">
        <v>239</v>
      </c>
      <c r="G353" s="139">
        <f>15*G352</f>
        <v>15</v>
      </c>
      <c r="H353" s="139">
        <f t="shared" ref="H353:BS353" si="340">15*H352</f>
        <v>30</v>
      </c>
      <c r="I353" s="139">
        <f t="shared" si="340"/>
        <v>45</v>
      </c>
      <c r="J353" s="139">
        <f t="shared" si="340"/>
        <v>60</v>
      </c>
      <c r="K353" s="139">
        <f t="shared" si="340"/>
        <v>75</v>
      </c>
      <c r="L353" s="139">
        <f t="shared" si="340"/>
        <v>90</v>
      </c>
      <c r="M353" s="139">
        <f t="shared" si="340"/>
        <v>105</v>
      </c>
      <c r="N353" s="139">
        <f t="shared" si="340"/>
        <v>120</v>
      </c>
      <c r="O353" s="139">
        <f t="shared" si="340"/>
        <v>135</v>
      </c>
      <c r="P353" s="139">
        <f t="shared" si="340"/>
        <v>150</v>
      </c>
      <c r="Q353" s="139">
        <f t="shared" si="340"/>
        <v>165</v>
      </c>
      <c r="R353" s="139">
        <f t="shared" si="340"/>
        <v>180</v>
      </c>
      <c r="S353" s="139">
        <f t="shared" si="340"/>
        <v>195</v>
      </c>
      <c r="T353" s="139">
        <f t="shared" si="340"/>
        <v>210</v>
      </c>
      <c r="U353" s="139">
        <f t="shared" si="340"/>
        <v>225</v>
      </c>
      <c r="V353" s="139">
        <f t="shared" si="340"/>
        <v>240</v>
      </c>
      <c r="W353" s="139">
        <f t="shared" si="340"/>
        <v>255</v>
      </c>
      <c r="X353" s="139">
        <f t="shared" si="340"/>
        <v>270</v>
      </c>
      <c r="Y353" s="139">
        <f t="shared" si="340"/>
        <v>285</v>
      </c>
      <c r="Z353" s="139">
        <f t="shared" si="340"/>
        <v>300</v>
      </c>
      <c r="AA353" s="139">
        <f t="shared" si="340"/>
        <v>315</v>
      </c>
      <c r="AB353" s="139">
        <f t="shared" si="340"/>
        <v>330</v>
      </c>
      <c r="AC353" s="139">
        <f t="shared" si="340"/>
        <v>345</v>
      </c>
      <c r="AD353" s="139">
        <f t="shared" si="340"/>
        <v>360</v>
      </c>
      <c r="AE353" s="139">
        <f t="shared" si="340"/>
        <v>375</v>
      </c>
      <c r="AF353" s="139">
        <f t="shared" si="340"/>
        <v>390</v>
      </c>
      <c r="AG353" s="139">
        <f t="shared" si="340"/>
        <v>405</v>
      </c>
      <c r="AH353" s="139">
        <f t="shared" si="340"/>
        <v>420</v>
      </c>
      <c r="AI353" s="139">
        <f t="shared" si="340"/>
        <v>435</v>
      </c>
      <c r="AJ353" s="139">
        <f t="shared" si="340"/>
        <v>450</v>
      </c>
      <c r="AK353" s="139">
        <f t="shared" si="340"/>
        <v>465</v>
      </c>
      <c r="AL353" s="139">
        <f t="shared" si="340"/>
        <v>480</v>
      </c>
      <c r="AM353" s="139">
        <f t="shared" si="340"/>
        <v>495</v>
      </c>
      <c r="AN353" s="139">
        <f t="shared" si="340"/>
        <v>510</v>
      </c>
      <c r="AO353" s="139">
        <f t="shared" si="340"/>
        <v>525</v>
      </c>
      <c r="AP353" s="139">
        <f t="shared" si="340"/>
        <v>540</v>
      </c>
      <c r="AQ353" s="139">
        <f t="shared" si="340"/>
        <v>555</v>
      </c>
      <c r="AR353" s="139">
        <f t="shared" si="340"/>
        <v>570</v>
      </c>
      <c r="AS353" s="139">
        <f t="shared" si="340"/>
        <v>585</v>
      </c>
      <c r="AT353" s="139">
        <f t="shared" si="340"/>
        <v>600</v>
      </c>
      <c r="AU353" s="139">
        <f t="shared" si="340"/>
        <v>615</v>
      </c>
      <c r="AV353" s="139">
        <f t="shared" si="340"/>
        <v>630</v>
      </c>
      <c r="AW353" s="139">
        <f t="shared" si="340"/>
        <v>645</v>
      </c>
      <c r="AX353" s="139">
        <f t="shared" si="340"/>
        <v>660</v>
      </c>
      <c r="AY353" s="139">
        <f t="shared" si="340"/>
        <v>675</v>
      </c>
      <c r="AZ353" s="139">
        <f t="shared" si="340"/>
        <v>690</v>
      </c>
      <c r="BA353" s="139">
        <f t="shared" si="340"/>
        <v>705</v>
      </c>
      <c r="BB353" s="139">
        <f t="shared" si="340"/>
        <v>720</v>
      </c>
      <c r="BC353" s="139">
        <f t="shared" si="340"/>
        <v>735</v>
      </c>
      <c r="BD353" s="139">
        <f t="shared" si="340"/>
        <v>750</v>
      </c>
      <c r="BE353" s="139">
        <f t="shared" si="340"/>
        <v>765</v>
      </c>
      <c r="BF353" s="139">
        <f t="shared" si="340"/>
        <v>780</v>
      </c>
      <c r="BG353" s="139">
        <f t="shared" si="340"/>
        <v>795</v>
      </c>
      <c r="BH353" s="139">
        <f t="shared" si="340"/>
        <v>810</v>
      </c>
      <c r="BI353" s="139">
        <f t="shared" si="340"/>
        <v>825</v>
      </c>
      <c r="BJ353" s="139">
        <f t="shared" si="340"/>
        <v>840</v>
      </c>
      <c r="BK353" s="139">
        <f t="shared" si="340"/>
        <v>855</v>
      </c>
      <c r="BL353" s="139">
        <f t="shared" si="340"/>
        <v>870</v>
      </c>
      <c r="BM353" s="139">
        <f t="shared" si="340"/>
        <v>885</v>
      </c>
      <c r="BN353" s="139">
        <f t="shared" si="340"/>
        <v>900</v>
      </c>
      <c r="BO353" s="139">
        <f t="shared" si="340"/>
        <v>915</v>
      </c>
      <c r="BP353" s="139">
        <f t="shared" si="340"/>
        <v>930</v>
      </c>
      <c r="BQ353" s="139">
        <f t="shared" si="340"/>
        <v>945</v>
      </c>
      <c r="BR353" s="139">
        <f t="shared" si="340"/>
        <v>960</v>
      </c>
      <c r="BS353" s="139">
        <f t="shared" si="340"/>
        <v>975</v>
      </c>
      <c r="BT353" s="139">
        <f t="shared" ref="BT353:CW353" si="341">15*BT352</f>
        <v>990</v>
      </c>
      <c r="BU353" s="139">
        <f t="shared" si="341"/>
        <v>1005</v>
      </c>
      <c r="BV353" s="139">
        <f t="shared" si="341"/>
        <v>1020</v>
      </c>
      <c r="BW353" s="139">
        <f t="shared" si="341"/>
        <v>1035</v>
      </c>
      <c r="BX353" s="139">
        <f t="shared" si="341"/>
        <v>1050</v>
      </c>
      <c r="BY353" s="139">
        <f t="shared" si="341"/>
        <v>1065</v>
      </c>
      <c r="BZ353" s="139">
        <f t="shared" si="341"/>
        <v>1080</v>
      </c>
      <c r="CA353" s="139">
        <f t="shared" si="341"/>
        <v>1095</v>
      </c>
      <c r="CB353" s="139">
        <f t="shared" si="341"/>
        <v>1110</v>
      </c>
      <c r="CC353" s="139">
        <f t="shared" si="341"/>
        <v>1125</v>
      </c>
      <c r="CD353" s="139">
        <f t="shared" si="341"/>
        <v>1140</v>
      </c>
      <c r="CE353" s="139">
        <f t="shared" si="341"/>
        <v>1155</v>
      </c>
      <c r="CF353" s="139">
        <f t="shared" si="341"/>
        <v>1170</v>
      </c>
      <c r="CG353" s="139">
        <f t="shared" si="341"/>
        <v>1185</v>
      </c>
      <c r="CH353" s="139">
        <f t="shared" si="341"/>
        <v>1200</v>
      </c>
      <c r="CI353" s="139">
        <f t="shared" si="341"/>
        <v>1215</v>
      </c>
      <c r="CJ353" s="139">
        <f t="shared" si="341"/>
        <v>1230</v>
      </c>
      <c r="CK353" s="139">
        <f t="shared" si="341"/>
        <v>1245</v>
      </c>
      <c r="CL353" s="139">
        <f t="shared" si="341"/>
        <v>1260</v>
      </c>
      <c r="CM353" s="139">
        <f t="shared" si="341"/>
        <v>1275</v>
      </c>
      <c r="CN353" s="139">
        <f t="shared" si="341"/>
        <v>1290</v>
      </c>
      <c r="CO353" s="139">
        <f t="shared" si="341"/>
        <v>1305</v>
      </c>
      <c r="CP353" s="139">
        <f t="shared" si="341"/>
        <v>1320</v>
      </c>
      <c r="CQ353" s="139">
        <f t="shared" si="341"/>
        <v>1335</v>
      </c>
      <c r="CR353" s="139">
        <f t="shared" si="341"/>
        <v>1350</v>
      </c>
      <c r="CS353" s="139">
        <f t="shared" si="341"/>
        <v>1365</v>
      </c>
      <c r="CT353" s="139">
        <f t="shared" si="341"/>
        <v>1380</v>
      </c>
      <c r="CU353" s="139">
        <f t="shared" si="341"/>
        <v>1395</v>
      </c>
      <c r="CV353" s="139">
        <f t="shared" si="341"/>
        <v>1410</v>
      </c>
      <c r="CW353" s="139">
        <f t="shared" si="341"/>
        <v>1425</v>
      </c>
    </row>
    <row r="354" spans="6:103" x14ac:dyDescent="0.4">
      <c r="F354" s="85" t="s">
        <v>154</v>
      </c>
      <c r="G354" s="85">
        <f>COUNTIFS('2023년 신조차 고장관리 세부현황'!$K:$K,"448R",'2023년 신조차 고장관리 세부현황'!$P:$P,"&gt;="&amp;G352,'2023년 신조차 고장관리 세부현황'!$P:$P,"&lt;"&amp;'트랜드 분석_15일'!G353,'2023년 신조차 고장관리 세부현황'!$BC:$BC,"완료",'2023년 신조차 고장관리 세부현황'!$CY:$CY,"주변압기")</f>
        <v>0</v>
      </c>
      <c r="H354" s="85">
        <f>COUNTIFS('2023년 신조차 고장관리 세부현황'!$K:$K,"448R",'2023년 신조차 고장관리 세부현황'!$P:$P,"&gt;="&amp;'트랜드 분석_15일'!G$27,'2023년 신조차 고장관리 세부현황'!$P:$P,"&lt;"&amp;'트랜드 분석_15일'!H$27,'2023년 신조차 고장관리 세부현황'!$BC:$BC,"완료",'2023년 신조차 고장관리 세부현황'!$CY:$CY,"주변압기")</f>
        <v>0</v>
      </c>
      <c r="I354" s="85">
        <f>COUNTIFS('2023년 신조차 고장관리 세부현황'!$K:$K,"448R",'2023년 신조차 고장관리 세부현황'!$P:$P,"&gt;="&amp;'트랜드 분석_15일'!H$27,'2023년 신조차 고장관리 세부현황'!$P:$P,"&lt;"&amp;'트랜드 분석_15일'!I$27,'2023년 신조차 고장관리 세부현황'!$BC:$BC,"완료",'2023년 신조차 고장관리 세부현황'!$CY:$CY,"주변압기")</f>
        <v>0</v>
      </c>
      <c r="J354" s="85">
        <f>COUNTIFS('2023년 신조차 고장관리 세부현황'!$K:$K,"448R",'2023년 신조차 고장관리 세부현황'!$P:$P,"&gt;="&amp;'트랜드 분석_15일'!I$27,'2023년 신조차 고장관리 세부현황'!$P:$P,"&lt;"&amp;'트랜드 분석_15일'!J$27,'2023년 신조차 고장관리 세부현황'!$BC:$BC,"완료",'2023년 신조차 고장관리 세부현황'!$CY:$CY,"주변압기")</f>
        <v>0</v>
      </c>
      <c r="K354" s="85">
        <f>COUNTIFS('2023년 신조차 고장관리 세부현황'!$K:$K,"448R",'2023년 신조차 고장관리 세부현황'!$P:$P,"&gt;="&amp;'트랜드 분석_15일'!J$27,'2023년 신조차 고장관리 세부현황'!$P:$P,"&lt;"&amp;'트랜드 분석_15일'!K$27,'2023년 신조차 고장관리 세부현황'!$BC:$BC,"완료",'2023년 신조차 고장관리 세부현황'!$CY:$CY,"주변압기")</f>
        <v>0</v>
      </c>
      <c r="L354" s="85">
        <f>COUNTIFS('2023년 신조차 고장관리 세부현황'!$K:$K,"448R",'2023년 신조차 고장관리 세부현황'!$P:$P,"&gt;="&amp;'트랜드 분석_15일'!K$27,'2023년 신조차 고장관리 세부현황'!$P:$P,"&lt;"&amp;'트랜드 분석_15일'!L$27,'2023년 신조차 고장관리 세부현황'!$BC:$BC,"완료",'2023년 신조차 고장관리 세부현황'!$CY:$CY,"주변압기")</f>
        <v>0</v>
      </c>
      <c r="M354" s="85">
        <f>COUNTIFS('2023년 신조차 고장관리 세부현황'!$K:$K,"448R",'2023년 신조차 고장관리 세부현황'!$P:$P,"&gt;="&amp;'트랜드 분석_15일'!L$27,'2023년 신조차 고장관리 세부현황'!$P:$P,"&lt;"&amp;'트랜드 분석_15일'!M$27,'2023년 신조차 고장관리 세부현황'!$BC:$BC,"완료",'2023년 신조차 고장관리 세부현황'!$CY:$CY,"주변압기")</f>
        <v>0</v>
      </c>
      <c r="N354" s="85">
        <f>COUNTIFS('2023년 신조차 고장관리 세부현황'!$K:$K,"448R",'2023년 신조차 고장관리 세부현황'!$P:$P,"&gt;="&amp;'트랜드 분석_15일'!M$27,'2023년 신조차 고장관리 세부현황'!$P:$P,"&lt;"&amp;'트랜드 분석_15일'!N$27,'2023년 신조차 고장관리 세부현황'!$BC:$BC,"완료",'2023년 신조차 고장관리 세부현황'!$CY:$CY,"주변압기")</f>
        <v>0</v>
      </c>
      <c r="O354" s="85">
        <f>COUNTIFS('2023년 신조차 고장관리 세부현황'!$K:$K,"448R",'2023년 신조차 고장관리 세부현황'!$P:$P,"&gt;="&amp;'트랜드 분석_15일'!N$27,'2023년 신조차 고장관리 세부현황'!$P:$P,"&lt;"&amp;'트랜드 분석_15일'!O$27,'2023년 신조차 고장관리 세부현황'!$BC:$BC,"완료",'2023년 신조차 고장관리 세부현황'!$CY:$CY,"주변압기")</f>
        <v>0</v>
      </c>
      <c r="P354" s="85">
        <f ca="1">COUNTIFS('2023년 신조차 고장관리 세부현황'!$K:$K,"448R",'2023년 신조차 고장관리 세부현황'!$P:$P,"&gt;="&amp;'트랜드 분석_15일'!O$27,'2023년 신조차 고장관리 세부현황'!$P:$P,"&lt;"&amp;'트랜드 분석_15일'!P$27,'2023년 신조차 고장관리 세부현황'!$BC:$BC,"완료",'2023년 신조차 고장관리 세부현황'!$CY:$CY,"주변압기")</f>
        <v>0</v>
      </c>
      <c r="Q354" s="85">
        <f ca="1">COUNTIFS('2023년 신조차 고장관리 세부현황'!$K:$K,"448R",'2023년 신조차 고장관리 세부현황'!$P:$P,"&gt;="&amp;'트랜드 분석_15일'!P$27,'2023년 신조차 고장관리 세부현황'!$P:$P,"&lt;"&amp;'트랜드 분석_15일'!Q$27,'2023년 신조차 고장관리 세부현황'!$BC:$BC,"완료",'2023년 신조차 고장관리 세부현황'!$CY:$CY,"주변압기")</f>
        <v>0</v>
      </c>
      <c r="R354" s="85">
        <f ca="1">COUNTIFS('2023년 신조차 고장관리 세부현황'!$K:$K,"448R",'2023년 신조차 고장관리 세부현황'!$P:$P,"&gt;="&amp;'트랜드 분석_15일'!Q$27,'2023년 신조차 고장관리 세부현황'!$P:$P,"&lt;"&amp;'트랜드 분석_15일'!R$27,'2023년 신조차 고장관리 세부현황'!$BC:$BC,"완료",'2023년 신조차 고장관리 세부현황'!$CY:$CY,"주변압기")</f>
        <v>0</v>
      </c>
      <c r="S354" s="85">
        <f ca="1">COUNTIFS('2023년 신조차 고장관리 세부현황'!$K:$K,"448R",'2023년 신조차 고장관리 세부현황'!$P:$P,"&gt;="&amp;'트랜드 분석_15일'!R$27,'2023년 신조차 고장관리 세부현황'!$P:$P,"&lt;"&amp;'트랜드 분석_15일'!S$27,'2023년 신조차 고장관리 세부현황'!$BC:$BC,"완료",'2023년 신조차 고장관리 세부현황'!$CY:$CY,"주변압기")</f>
        <v>0</v>
      </c>
      <c r="T354" s="85">
        <f ca="1">COUNTIFS('2023년 신조차 고장관리 세부현황'!$K:$K,"448R",'2023년 신조차 고장관리 세부현황'!$P:$P,"&gt;="&amp;'트랜드 분석_15일'!S$27,'2023년 신조차 고장관리 세부현황'!$P:$P,"&lt;"&amp;'트랜드 분석_15일'!T$27,'2023년 신조차 고장관리 세부현황'!$BC:$BC,"완료",'2023년 신조차 고장관리 세부현황'!$CY:$CY,"주변압기")</f>
        <v>0</v>
      </c>
      <c r="U354" s="85">
        <f>COUNTIFS('2023년 신조차 고장관리 세부현황'!$K:$K,"448R",'2023년 신조차 고장관리 세부현황'!$P:$P,"&gt;="&amp;'트랜드 분석_15일'!T$27,'2023년 신조차 고장관리 세부현황'!$P:$P,"&lt;"&amp;'트랜드 분석_15일'!U$27,'2023년 신조차 고장관리 세부현황'!$BC:$BC,"완료",'2023년 신조차 고장관리 세부현황'!$CY:$CY,"주변압기")</f>
        <v>0</v>
      </c>
      <c r="V354" s="85">
        <f>COUNTIFS('2023년 신조차 고장관리 세부현황'!$K:$K,"448R",'2023년 신조차 고장관리 세부현황'!$P:$P,"&gt;="&amp;'트랜드 분석_15일'!U$27,'2023년 신조차 고장관리 세부현황'!$P:$P,"&lt;"&amp;'트랜드 분석_15일'!V$27,'2023년 신조차 고장관리 세부현황'!$BC:$BC,"완료",'2023년 신조차 고장관리 세부현황'!$CY:$CY,"주변압기")</f>
        <v>0</v>
      </c>
      <c r="W354" s="85">
        <f ca="1">COUNTIFS('2023년 신조차 고장관리 세부현황'!$K:$K,"448R",'2023년 신조차 고장관리 세부현황'!$P:$P,"&gt;="&amp;'트랜드 분석_15일'!V$27,'2023년 신조차 고장관리 세부현황'!$P:$P,"&lt;"&amp;'트랜드 분석_15일'!W$27,'2023년 신조차 고장관리 세부현황'!$BC:$BC,"완료",'2023년 신조차 고장관리 세부현황'!$CY:$CY,"주변압기")</f>
        <v>0</v>
      </c>
      <c r="X354" s="85">
        <f ca="1">COUNTIFS('2023년 신조차 고장관리 세부현황'!$K:$K,"448R",'2023년 신조차 고장관리 세부현황'!$P:$P,"&gt;="&amp;'트랜드 분석_15일'!W$27,'2023년 신조차 고장관리 세부현황'!$P:$P,"&lt;"&amp;'트랜드 분석_15일'!X$27,'2023년 신조차 고장관리 세부현황'!$BC:$BC,"완료",'2023년 신조차 고장관리 세부현황'!$CY:$CY,"주변압기")</f>
        <v>0</v>
      </c>
      <c r="Y354" s="85">
        <f ca="1">COUNTIFS('2023년 신조차 고장관리 세부현황'!$K:$K,"448R",'2023년 신조차 고장관리 세부현황'!$P:$P,"&gt;="&amp;'트랜드 분석_15일'!X$27,'2023년 신조차 고장관리 세부현황'!$P:$P,"&lt;"&amp;'트랜드 분석_15일'!Y$27,'2023년 신조차 고장관리 세부현황'!$BC:$BC,"완료",'2023년 신조차 고장관리 세부현황'!$CY:$CY,"주변압기")</f>
        <v>0</v>
      </c>
      <c r="Z354" s="85">
        <f ca="1">COUNTIFS('2023년 신조차 고장관리 세부현황'!$K:$K,"448R",'2023년 신조차 고장관리 세부현황'!$P:$P,"&gt;="&amp;'트랜드 분석_15일'!Y$27,'2023년 신조차 고장관리 세부현황'!$P:$P,"&lt;"&amp;'트랜드 분석_15일'!Z$27,'2023년 신조차 고장관리 세부현황'!$BC:$BC,"완료",'2023년 신조차 고장관리 세부현황'!$CY:$CY,"주변압기")</f>
        <v>0</v>
      </c>
      <c r="AA354" s="85">
        <f ca="1">COUNTIFS('2023년 신조차 고장관리 세부현황'!$K:$K,"448R",'2023년 신조차 고장관리 세부현황'!$P:$P,"&gt;="&amp;'트랜드 분석_15일'!Z$27,'2023년 신조차 고장관리 세부현황'!$P:$P,"&lt;"&amp;'트랜드 분석_15일'!AA$27,'2023년 신조차 고장관리 세부현황'!$BC:$BC,"완료",'2023년 신조차 고장관리 세부현황'!$CY:$CY,"주변압기")</f>
        <v>0</v>
      </c>
      <c r="AB354" s="85">
        <f ca="1">COUNTIFS('2023년 신조차 고장관리 세부현황'!$K:$K,"448R",'2023년 신조차 고장관리 세부현황'!$P:$P,"&gt;="&amp;'트랜드 분석_15일'!AA$27,'2023년 신조차 고장관리 세부현황'!$P:$P,"&lt;"&amp;'트랜드 분석_15일'!AB$27,'2023년 신조차 고장관리 세부현황'!$BC:$BC,"완료",'2023년 신조차 고장관리 세부현황'!$CY:$CY,"주변압기")</f>
        <v>0</v>
      </c>
      <c r="AC354" s="85">
        <f ca="1">COUNTIFS('2023년 신조차 고장관리 세부현황'!$K:$K,"448R",'2023년 신조차 고장관리 세부현황'!$P:$P,"&gt;="&amp;'트랜드 분석_15일'!AB$27,'2023년 신조차 고장관리 세부현황'!$P:$P,"&lt;"&amp;'트랜드 분석_15일'!AC$27,'2023년 신조차 고장관리 세부현황'!$BC:$BC,"완료",'2023년 신조차 고장관리 세부현황'!$CY:$CY,"주변압기")</f>
        <v>0</v>
      </c>
      <c r="AD354" s="85">
        <f ca="1">COUNTIFS('2023년 신조차 고장관리 세부현황'!$K:$K,"448R",'2023년 신조차 고장관리 세부현황'!$P:$P,"&gt;="&amp;'트랜드 분석_15일'!AC$27,'2023년 신조차 고장관리 세부현황'!$P:$P,"&lt;"&amp;'트랜드 분석_15일'!AD$27,'2023년 신조차 고장관리 세부현황'!$BC:$BC,"완료",'2023년 신조차 고장관리 세부현황'!$CY:$CY,"주변압기")</f>
        <v>0</v>
      </c>
      <c r="AE354" s="85">
        <f ca="1">COUNTIFS('2023년 신조차 고장관리 세부현황'!$K:$K,"448R",'2023년 신조차 고장관리 세부현황'!$P:$P,"&gt;="&amp;'트랜드 분석_15일'!AD$27,'2023년 신조차 고장관리 세부현황'!$P:$P,"&lt;"&amp;'트랜드 분석_15일'!AE$27,'2023년 신조차 고장관리 세부현황'!$BC:$BC,"완료",'2023년 신조차 고장관리 세부현황'!$CY:$CY,"주변압기")</f>
        <v>0</v>
      </c>
      <c r="AF354" s="85">
        <f ca="1">COUNTIFS('2023년 신조차 고장관리 세부현황'!$K:$K,"448R",'2023년 신조차 고장관리 세부현황'!$P:$P,"&gt;="&amp;'트랜드 분석_15일'!AE$27,'2023년 신조차 고장관리 세부현황'!$P:$P,"&lt;"&amp;'트랜드 분석_15일'!AF$27,'2023년 신조차 고장관리 세부현황'!$BC:$BC,"완료",'2023년 신조차 고장관리 세부현황'!$CY:$CY,"주변압기")</f>
        <v>0</v>
      </c>
      <c r="AG354" s="85">
        <f ca="1">COUNTIFS('2023년 신조차 고장관리 세부현황'!$K:$K,"448R",'2023년 신조차 고장관리 세부현황'!$P:$P,"&gt;="&amp;'트랜드 분석_15일'!AF$27,'2023년 신조차 고장관리 세부현황'!$P:$P,"&lt;"&amp;'트랜드 분석_15일'!AG$27,'2023년 신조차 고장관리 세부현황'!$BC:$BC,"완료",'2023년 신조차 고장관리 세부현황'!$CY:$CY,"주변압기")</f>
        <v>0</v>
      </c>
      <c r="AH354" s="85">
        <f>COUNTIFS('2023년 신조차 고장관리 세부현황'!$K:$K,"448R",'2023년 신조차 고장관리 세부현황'!$P:$P,"&gt;="&amp;'트랜드 분석_15일'!AG$27,'2023년 신조차 고장관리 세부현황'!$P:$P,"&lt;"&amp;'트랜드 분석_15일'!AH$27,'2023년 신조차 고장관리 세부현황'!$BC:$BC,"완료",'2023년 신조차 고장관리 세부현황'!$CY:$CY,"주변압기")</f>
        <v>0</v>
      </c>
      <c r="AI354" s="85">
        <f>COUNTIFS('2023년 신조차 고장관리 세부현황'!$K:$K,"448R",'2023년 신조차 고장관리 세부현황'!$P:$P,"&gt;="&amp;'트랜드 분석_15일'!AH$27,'2023년 신조차 고장관리 세부현황'!$P:$P,"&lt;"&amp;'트랜드 분석_15일'!AI$27,'2023년 신조차 고장관리 세부현황'!$BC:$BC,"완료",'2023년 신조차 고장관리 세부현황'!$CY:$CY,"주변압기")</f>
        <v>0</v>
      </c>
      <c r="AJ354" s="85">
        <f>COUNTIFS('2023년 신조차 고장관리 세부현황'!$K:$K,"448R",'2023년 신조차 고장관리 세부현황'!$P:$P,"&gt;="&amp;'트랜드 분석_15일'!AI$27,'2023년 신조차 고장관리 세부현황'!$P:$P,"&lt;"&amp;'트랜드 분석_15일'!AJ$27,'2023년 신조차 고장관리 세부현황'!$BC:$BC,"완료",'2023년 신조차 고장관리 세부현황'!$CY:$CY,"주변압기")</f>
        <v>0</v>
      </c>
      <c r="AK354" s="85">
        <f ca="1">COUNTIFS('2023년 신조차 고장관리 세부현황'!$K:$K,"448R",'2023년 신조차 고장관리 세부현황'!$P:$P,"&gt;="&amp;'트랜드 분석_15일'!AJ$27,'2023년 신조차 고장관리 세부현황'!$P:$P,"&lt;"&amp;'트랜드 분석_15일'!AK$27,'2023년 신조차 고장관리 세부현황'!$BC:$BC,"완료",'2023년 신조차 고장관리 세부현황'!$CY:$CY,"주변압기")</f>
        <v>0</v>
      </c>
      <c r="AL354" s="85">
        <f ca="1">COUNTIFS('2023년 신조차 고장관리 세부현황'!$K:$K,"448R",'2023년 신조차 고장관리 세부현황'!$P:$P,"&gt;="&amp;'트랜드 분석_15일'!AK$27,'2023년 신조차 고장관리 세부현황'!$P:$P,"&lt;"&amp;'트랜드 분석_15일'!AL$27,'2023년 신조차 고장관리 세부현황'!$BC:$BC,"완료",'2023년 신조차 고장관리 세부현황'!$CY:$CY,"주변압기")</f>
        <v>0</v>
      </c>
      <c r="AM354" s="85">
        <f>COUNTIFS('2023년 신조차 고장관리 세부현황'!$K:$K,"448R",'2023년 신조차 고장관리 세부현황'!$P:$P,"&gt;="&amp;'트랜드 분석_15일'!AL$27,'2023년 신조차 고장관리 세부현황'!$P:$P,"&lt;"&amp;'트랜드 분석_15일'!AM$27,'2023년 신조차 고장관리 세부현황'!$BC:$BC,"완료",'2023년 신조차 고장관리 세부현황'!$CY:$CY,"주변압기")</f>
        <v>0</v>
      </c>
      <c r="AN354" s="85">
        <f>COUNTIFS('2023년 신조차 고장관리 세부현황'!$K:$K,"448R",'2023년 신조차 고장관리 세부현황'!$P:$P,"&gt;="&amp;'트랜드 분석_15일'!AM$27,'2023년 신조차 고장관리 세부현황'!$P:$P,"&lt;"&amp;'트랜드 분석_15일'!AN$27,'2023년 신조차 고장관리 세부현황'!$BC:$BC,"완료",'2023년 신조차 고장관리 세부현황'!$CY:$CY,"주변압기")</f>
        <v>0</v>
      </c>
      <c r="AO354" s="85">
        <f ca="1">COUNTIFS('2023년 신조차 고장관리 세부현황'!$K:$K,"448R",'2023년 신조차 고장관리 세부현황'!$P:$P,"&gt;="&amp;'트랜드 분석_15일'!AN$27,'2023년 신조차 고장관리 세부현황'!$P:$P,"&lt;"&amp;'트랜드 분석_15일'!AO$27,'2023년 신조차 고장관리 세부현황'!$BC:$BC,"완료",'2023년 신조차 고장관리 세부현황'!$CY:$CY,"주변압기")</f>
        <v>0</v>
      </c>
      <c r="AP354" s="85">
        <f>COUNTIFS('2023년 신조차 고장관리 세부현황'!$K:$K,"448R",'2023년 신조차 고장관리 세부현황'!$P:$P,"&gt;="&amp;'트랜드 분석_15일'!AO$27,'2023년 신조차 고장관리 세부현황'!$P:$P,"&lt;"&amp;'트랜드 분석_15일'!AP$27,'2023년 신조차 고장관리 세부현황'!$BC:$BC,"완료",'2023년 신조차 고장관리 세부현황'!$CY:$CY,"주변압기")</f>
        <v>0</v>
      </c>
      <c r="AQ354" s="85">
        <f ca="1">COUNTIFS('2023년 신조차 고장관리 세부현황'!$K:$K,"448R",'2023년 신조차 고장관리 세부현황'!$P:$P,"&gt;="&amp;'트랜드 분석_15일'!AP$27,'2023년 신조차 고장관리 세부현황'!$P:$P,"&lt;"&amp;'트랜드 분석_15일'!AQ$27,'2023년 신조차 고장관리 세부현황'!$BC:$BC,"완료",'2023년 신조차 고장관리 세부현황'!$CY:$CY,"주변압기")</f>
        <v>0</v>
      </c>
      <c r="AR354" s="85">
        <f>COUNTIFS('2023년 신조차 고장관리 세부현황'!$K:$K,"448R",'2023년 신조차 고장관리 세부현황'!$P:$P,"&gt;="&amp;'트랜드 분석_15일'!AQ$27,'2023년 신조차 고장관리 세부현황'!$P:$P,"&lt;"&amp;'트랜드 분석_15일'!AR$27,'2023년 신조차 고장관리 세부현황'!$BC:$BC,"완료",'2023년 신조차 고장관리 세부현황'!$CY:$CY,"주변압기")</f>
        <v>0</v>
      </c>
      <c r="AS354" s="85">
        <f>COUNTIFS('2023년 신조차 고장관리 세부현황'!$K:$K,"448R",'2023년 신조차 고장관리 세부현황'!$P:$P,"&gt;="&amp;'트랜드 분석_15일'!AR$27,'2023년 신조차 고장관리 세부현황'!$P:$P,"&lt;"&amp;'트랜드 분석_15일'!AS$27,'2023년 신조차 고장관리 세부현황'!$BC:$BC,"완료",'2023년 신조차 고장관리 세부현황'!$CY:$CY,"주변압기")</f>
        <v>0</v>
      </c>
      <c r="AT354" s="85">
        <f>COUNTIFS('2023년 신조차 고장관리 세부현황'!$K:$K,"448R",'2023년 신조차 고장관리 세부현황'!$P:$P,"&gt;="&amp;'트랜드 분석_15일'!AS$27,'2023년 신조차 고장관리 세부현황'!$P:$P,"&lt;"&amp;'트랜드 분석_15일'!AT$27,'2023년 신조차 고장관리 세부현황'!$BC:$BC,"완료",'2023년 신조차 고장관리 세부현황'!$CY:$CY,"주변압기")</f>
        <v>0</v>
      </c>
      <c r="AU354" s="85">
        <f>COUNTIFS('2023년 신조차 고장관리 세부현황'!$K:$K,"448R",'2023년 신조차 고장관리 세부현황'!$P:$P,"&gt;="&amp;'트랜드 분석_15일'!AT$27,'2023년 신조차 고장관리 세부현황'!$P:$P,"&lt;"&amp;'트랜드 분석_15일'!AU$27,'2023년 신조차 고장관리 세부현황'!$BC:$BC,"완료",'2023년 신조차 고장관리 세부현황'!$CY:$CY,"주변압기")</f>
        <v>0</v>
      </c>
      <c r="AV354" s="85">
        <f>COUNTIFS('2023년 신조차 고장관리 세부현황'!$K:$K,"448R",'2023년 신조차 고장관리 세부현황'!$P:$P,"&gt;="&amp;'트랜드 분석_15일'!AU$27,'2023년 신조차 고장관리 세부현황'!$P:$P,"&lt;"&amp;'트랜드 분석_15일'!AV$27,'2023년 신조차 고장관리 세부현황'!$BC:$BC,"완료",'2023년 신조차 고장관리 세부현황'!$CY:$CY,"주변압기")</f>
        <v>0</v>
      </c>
      <c r="AW354" s="85">
        <f>COUNTIFS('2023년 신조차 고장관리 세부현황'!$K:$K,"448R",'2023년 신조차 고장관리 세부현황'!$P:$P,"&gt;="&amp;'트랜드 분석_15일'!AV$27,'2023년 신조차 고장관리 세부현황'!$P:$P,"&lt;"&amp;'트랜드 분석_15일'!AW$27,'2023년 신조차 고장관리 세부현황'!$BC:$BC,"완료",'2023년 신조차 고장관리 세부현황'!$CY:$CY,"주변압기")</f>
        <v>0</v>
      </c>
      <c r="AX354" s="85">
        <f>COUNTIFS('2023년 신조차 고장관리 세부현황'!$K:$K,"448R",'2023년 신조차 고장관리 세부현황'!$P:$P,"&gt;="&amp;'트랜드 분석_15일'!AW$27,'2023년 신조차 고장관리 세부현황'!$P:$P,"&lt;"&amp;'트랜드 분석_15일'!AX$27,'2023년 신조차 고장관리 세부현황'!$BC:$BC,"완료",'2023년 신조차 고장관리 세부현황'!$CY:$CY,"주변압기")</f>
        <v>0</v>
      </c>
      <c r="AY354" s="85">
        <f>COUNTIFS('2023년 신조차 고장관리 세부현황'!$K:$K,"448R",'2023년 신조차 고장관리 세부현황'!$P:$P,"&gt;="&amp;'트랜드 분석_15일'!AX$27,'2023년 신조차 고장관리 세부현황'!$P:$P,"&lt;"&amp;'트랜드 분석_15일'!AY$27,'2023년 신조차 고장관리 세부현황'!$BC:$BC,"완료",'2023년 신조차 고장관리 세부현황'!$CY:$CY,"주변압기")</f>
        <v>0</v>
      </c>
      <c r="AZ354" s="85">
        <f>COUNTIFS('2023년 신조차 고장관리 세부현황'!$K:$K,"448R",'2023년 신조차 고장관리 세부현황'!$P:$P,"&gt;="&amp;'트랜드 분석_15일'!AY$27,'2023년 신조차 고장관리 세부현황'!$P:$P,"&lt;"&amp;'트랜드 분석_15일'!AZ$27,'2023년 신조차 고장관리 세부현황'!$BC:$BC,"완료",'2023년 신조차 고장관리 세부현황'!$CY:$CY,"주변압기")</f>
        <v>0</v>
      </c>
      <c r="BA354" s="85">
        <f>COUNTIFS('2023년 신조차 고장관리 세부현황'!$K:$K,"448R",'2023년 신조차 고장관리 세부현황'!$P:$P,"&gt;="&amp;'트랜드 분석_15일'!AZ$27,'2023년 신조차 고장관리 세부현황'!$P:$P,"&lt;"&amp;'트랜드 분석_15일'!BA$27,'2023년 신조차 고장관리 세부현황'!$BC:$BC,"완료",'2023년 신조차 고장관리 세부현황'!$CY:$CY,"주변압기")</f>
        <v>0</v>
      </c>
      <c r="BB354" s="85">
        <f>COUNTIFS('2023년 신조차 고장관리 세부현황'!$K:$K,"448R",'2023년 신조차 고장관리 세부현황'!$P:$P,"&gt;="&amp;'트랜드 분석_15일'!BA$27,'2023년 신조차 고장관리 세부현황'!$P:$P,"&lt;"&amp;'트랜드 분석_15일'!BB$27,'2023년 신조차 고장관리 세부현황'!$BC:$BC,"완료",'2023년 신조차 고장관리 세부현황'!$CY:$CY,"주변압기")</f>
        <v>0</v>
      </c>
      <c r="BC354" s="85">
        <f>COUNTIFS('2023년 신조차 고장관리 세부현황'!$K:$K,"448R",'2023년 신조차 고장관리 세부현황'!$P:$P,"&gt;="&amp;'트랜드 분석_15일'!BB$27,'2023년 신조차 고장관리 세부현황'!$P:$P,"&lt;"&amp;'트랜드 분석_15일'!BC$27,'2023년 신조차 고장관리 세부현황'!$BC:$BC,"완료",'2023년 신조차 고장관리 세부현황'!$CY:$CY,"주변압기")</f>
        <v>0</v>
      </c>
      <c r="BD354" s="85">
        <f>COUNTIFS('2023년 신조차 고장관리 세부현황'!$K:$K,"448R",'2023년 신조차 고장관리 세부현황'!$P:$P,"&gt;="&amp;'트랜드 분석_15일'!BC$27,'2023년 신조차 고장관리 세부현황'!$P:$P,"&lt;"&amp;'트랜드 분석_15일'!BD$27,'2023년 신조차 고장관리 세부현황'!$BC:$BC,"완료",'2023년 신조차 고장관리 세부현황'!$CY:$CY,"주변압기")</f>
        <v>0</v>
      </c>
      <c r="BE354" s="85">
        <f>COUNTIFS('2023년 신조차 고장관리 세부현황'!$K:$K,"448R",'2023년 신조차 고장관리 세부현황'!$P:$P,"&gt;="&amp;'트랜드 분석_15일'!BD$27,'2023년 신조차 고장관리 세부현황'!$P:$P,"&lt;"&amp;'트랜드 분석_15일'!BE$27,'2023년 신조차 고장관리 세부현황'!$BC:$BC,"완료",'2023년 신조차 고장관리 세부현황'!$CY:$CY,"주변압기")</f>
        <v>0</v>
      </c>
      <c r="BF354" s="85">
        <f>COUNTIFS('2023년 신조차 고장관리 세부현황'!$K:$K,"448R",'2023년 신조차 고장관리 세부현황'!$P:$P,"&gt;="&amp;'트랜드 분석_15일'!BE$27,'2023년 신조차 고장관리 세부현황'!$P:$P,"&lt;"&amp;'트랜드 분석_15일'!BF$27,'2023년 신조차 고장관리 세부현황'!$BC:$BC,"완료",'2023년 신조차 고장관리 세부현황'!$CY:$CY,"주변압기")</f>
        <v>0</v>
      </c>
      <c r="BG354" s="85">
        <f>COUNTIFS('2023년 신조차 고장관리 세부현황'!$K:$K,"448R",'2023년 신조차 고장관리 세부현황'!$P:$P,"&gt;="&amp;'트랜드 분석_15일'!BF$27,'2023년 신조차 고장관리 세부현황'!$P:$P,"&lt;"&amp;'트랜드 분석_15일'!BG$27,'2023년 신조차 고장관리 세부현황'!$BC:$BC,"완료",'2023년 신조차 고장관리 세부현황'!$CY:$CY,"주변압기")</f>
        <v>0</v>
      </c>
      <c r="BH354" s="85">
        <f>COUNTIFS('2023년 신조차 고장관리 세부현황'!$K:$K,"448R",'2023년 신조차 고장관리 세부현황'!$P:$P,"&gt;="&amp;'트랜드 분석_15일'!BG$27,'2023년 신조차 고장관리 세부현황'!$P:$P,"&lt;"&amp;'트랜드 분석_15일'!BH$27,'2023년 신조차 고장관리 세부현황'!$BC:$BC,"완료",'2023년 신조차 고장관리 세부현황'!$CY:$CY,"주변압기")</f>
        <v>0</v>
      </c>
      <c r="BI354" s="85">
        <f>COUNTIFS('2023년 신조차 고장관리 세부현황'!$K:$K,"448R",'2023년 신조차 고장관리 세부현황'!$P:$P,"&gt;="&amp;'트랜드 분석_15일'!BH$27,'2023년 신조차 고장관리 세부현황'!$P:$P,"&lt;"&amp;'트랜드 분석_15일'!BI$27,'2023년 신조차 고장관리 세부현황'!$BC:$BC,"완료",'2023년 신조차 고장관리 세부현황'!$CY:$CY,"주변압기")</f>
        <v>0</v>
      </c>
      <c r="BJ354" s="85">
        <f>COUNTIFS('2023년 신조차 고장관리 세부현황'!$K:$K,"448R",'2023년 신조차 고장관리 세부현황'!$P:$P,"&gt;="&amp;'트랜드 분석_15일'!BI$27,'2023년 신조차 고장관리 세부현황'!$P:$P,"&lt;"&amp;'트랜드 분석_15일'!BJ$27,'2023년 신조차 고장관리 세부현황'!$BC:$BC,"완료",'2023년 신조차 고장관리 세부현황'!$CY:$CY,"주변압기")</f>
        <v>0</v>
      </c>
      <c r="BK354" s="85">
        <f>COUNTIFS('2023년 신조차 고장관리 세부현황'!$K:$K,"448R",'2023년 신조차 고장관리 세부현황'!$P:$P,"&gt;="&amp;'트랜드 분석_15일'!BJ$27,'2023년 신조차 고장관리 세부현황'!$P:$P,"&lt;"&amp;'트랜드 분석_15일'!BK$27,'2023년 신조차 고장관리 세부현황'!$BC:$BC,"완료",'2023년 신조차 고장관리 세부현황'!$CY:$CY,"주변압기")</f>
        <v>0</v>
      </c>
      <c r="BL354" s="85">
        <f>COUNTIFS('2023년 신조차 고장관리 세부현황'!$K:$K,"448R",'2023년 신조차 고장관리 세부현황'!$P:$P,"&gt;="&amp;'트랜드 분석_15일'!BK$27,'2023년 신조차 고장관리 세부현황'!$P:$P,"&lt;"&amp;'트랜드 분석_15일'!BL$27,'2023년 신조차 고장관리 세부현황'!$BC:$BC,"완료",'2023년 신조차 고장관리 세부현황'!$CY:$CY,"주변압기")</f>
        <v>0</v>
      </c>
      <c r="BM354" s="85">
        <f>COUNTIFS('2023년 신조차 고장관리 세부현황'!$K:$K,"448R",'2023년 신조차 고장관리 세부현황'!$P:$P,"&gt;="&amp;'트랜드 분석_15일'!BL$27,'2023년 신조차 고장관리 세부현황'!$P:$P,"&lt;"&amp;'트랜드 분석_15일'!BM$27,'2023년 신조차 고장관리 세부현황'!$BC:$BC,"완료",'2023년 신조차 고장관리 세부현황'!$CY:$CY,"주변압기")</f>
        <v>0</v>
      </c>
      <c r="BN354" s="85">
        <f>COUNTIFS('2023년 신조차 고장관리 세부현황'!$K:$K,"448R",'2023년 신조차 고장관리 세부현황'!$P:$P,"&gt;="&amp;'트랜드 분석_15일'!BM$27,'2023년 신조차 고장관리 세부현황'!$P:$P,"&lt;"&amp;'트랜드 분석_15일'!BN$27,'2023년 신조차 고장관리 세부현황'!$BC:$BC,"완료",'2023년 신조차 고장관리 세부현황'!$CY:$CY,"주변압기")</f>
        <v>0</v>
      </c>
      <c r="BO354" s="85">
        <f>COUNTIFS('2023년 신조차 고장관리 세부현황'!$K:$K,"448R",'2023년 신조차 고장관리 세부현황'!$P:$P,"&gt;="&amp;'트랜드 분석_15일'!BN$27,'2023년 신조차 고장관리 세부현황'!$P:$P,"&lt;"&amp;'트랜드 분석_15일'!BO$27,'2023년 신조차 고장관리 세부현황'!$BC:$BC,"완료",'2023년 신조차 고장관리 세부현황'!$CY:$CY,"주변압기")</f>
        <v>0</v>
      </c>
      <c r="BP354" s="85">
        <f>COUNTIFS('2023년 신조차 고장관리 세부현황'!$K:$K,"448R",'2023년 신조차 고장관리 세부현황'!$P:$P,"&gt;="&amp;'트랜드 분석_15일'!BO$27,'2023년 신조차 고장관리 세부현황'!$P:$P,"&lt;"&amp;'트랜드 분석_15일'!BP$27,'2023년 신조차 고장관리 세부현황'!$BC:$BC,"완료",'2023년 신조차 고장관리 세부현황'!$CY:$CY,"주변압기")</f>
        <v>0</v>
      </c>
      <c r="BQ354" s="85">
        <f>COUNTIFS('2023년 신조차 고장관리 세부현황'!$K:$K,"448R",'2023년 신조차 고장관리 세부현황'!$P:$P,"&gt;="&amp;'트랜드 분석_15일'!BP$27,'2023년 신조차 고장관리 세부현황'!$P:$P,"&lt;"&amp;'트랜드 분석_15일'!BQ$27,'2023년 신조차 고장관리 세부현황'!$BC:$BC,"완료",'2023년 신조차 고장관리 세부현황'!$CY:$CY,"주변압기")</f>
        <v>0</v>
      </c>
      <c r="BR354" s="85">
        <f>COUNTIFS('2023년 신조차 고장관리 세부현황'!$K:$K,"448R",'2023년 신조차 고장관리 세부현황'!$P:$P,"&gt;="&amp;'트랜드 분석_15일'!BQ$27,'2023년 신조차 고장관리 세부현황'!$P:$P,"&lt;"&amp;'트랜드 분석_15일'!BR$27,'2023년 신조차 고장관리 세부현황'!$BC:$BC,"완료",'2023년 신조차 고장관리 세부현황'!$CY:$CY,"주변압기")</f>
        <v>0</v>
      </c>
      <c r="BS354" s="85">
        <f>COUNTIFS('2023년 신조차 고장관리 세부현황'!$K:$K,"448R",'2023년 신조차 고장관리 세부현황'!$P:$P,"&gt;="&amp;'트랜드 분석_15일'!BR$27,'2023년 신조차 고장관리 세부현황'!$P:$P,"&lt;"&amp;'트랜드 분석_15일'!BS$27,'2023년 신조차 고장관리 세부현황'!$BC:$BC,"완료",'2023년 신조차 고장관리 세부현황'!$CY:$CY,"주변압기")</f>
        <v>0</v>
      </c>
      <c r="BT354" s="85">
        <f>COUNTIFS('2023년 신조차 고장관리 세부현황'!$K:$K,"448R",'2023년 신조차 고장관리 세부현황'!$P:$P,"&gt;="&amp;'트랜드 분석_15일'!BS$27,'2023년 신조차 고장관리 세부현황'!$P:$P,"&lt;"&amp;'트랜드 분석_15일'!BT$27,'2023년 신조차 고장관리 세부현황'!$BC:$BC,"완료",'2023년 신조차 고장관리 세부현황'!$CY:$CY,"주변압기")</f>
        <v>0</v>
      </c>
      <c r="BU354" s="85">
        <f>COUNTIFS('2023년 신조차 고장관리 세부현황'!$K:$K,"448R",'2023년 신조차 고장관리 세부현황'!$P:$P,"&gt;="&amp;'트랜드 분석_15일'!BT$27,'2023년 신조차 고장관리 세부현황'!$P:$P,"&lt;"&amp;'트랜드 분석_15일'!BU$27,'2023년 신조차 고장관리 세부현황'!$BC:$BC,"완료",'2023년 신조차 고장관리 세부현황'!$CY:$CY,"주변압기")</f>
        <v>0</v>
      </c>
      <c r="BV354" s="85">
        <f>COUNTIFS('2023년 신조차 고장관리 세부현황'!$K:$K,"448R",'2023년 신조차 고장관리 세부현황'!$P:$P,"&gt;="&amp;'트랜드 분석_15일'!BU$27,'2023년 신조차 고장관리 세부현황'!$P:$P,"&lt;"&amp;'트랜드 분석_15일'!BV$27,'2023년 신조차 고장관리 세부현황'!$BC:$BC,"완료",'2023년 신조차 고장관리 세부현황'!$CY:$CY,"주변압기")</f>
        <v>0</v>
      </c>
      <c r="BW354" s="85">
        <f>COUNTIFS('2023년 신조차 고장관리 세부현황'!$K:$K,"448R",'2023년 신조차 고장관리 세부현황'!$P:$P,"&gt;="&amp;'트랜드 분석_15일'!BV$27,'2023년 신조차 고장관리 세부현황'!$P:$P,"&lt;"&amp;'트랜드 분석_15일'!BW$27,'2023년 신조차 고장관리 세부현황'!$BC:$BC,"완료",'2023년 신조차 고장관리 세부현황'!$CY:$CY,"주변압기")</f>
        <v>0</v>
      </c>
      <c r="BX354" s="85">
        <f>COUNTIFS('2023년 신조차 고장관리 세부현황'!$K:$K,"448R",'2023년 신조차 고장관리 세부현황'!$P:$P,"&gt;="&amp;'트랜드 분석_15일'!BW$27,'2023년 신조차 고장관리 세부현황'!$P:$P,"&lt;"&amp;'트랜드 분석_15일'!BX$27,'2023년 신조차 고장관리 세부현황'!$BC:$BC,"완료",'2023년 신조차 고장관리 세부현황'!$CY:$CY,"주변압기")</f>
        <v>0</v>
      </c>
      <c r="BY354" s="85">
        <f>COUNTIFS('2023년 신조차 고장관리 세부현황'!$K:$K,"448R",'2023년 신조차 고장관리 세부현황'!$P:$P,"&gt;="&amp;'트랜드 분석_15일'!BX$27,'2023년 신조차 고장관리 세부현황'!$P:$P,"&lt;"&amp;'트랜드 분석_15일'!BY$27,'2023년 신조차 고장관리 세부현황'!$BC:$BC,"완료",'2023년 신조차 고장관리 세부현황'!$CY:$CY,"주변압기")</f>
        <v>0</v>
      </c>
      <c r="BZ354" s="85">
        <f>COUNTIFS('2023년 신조차 고장관리 세부현황'!$K:$K,"448R",'2023년 신조차 고장관리 세부현황'!$P:$P,"&gt;="&amp;'트랜드 분석_15일'!BY$27,'2023년 신조차 고장관리 세부현황'!$P:$P,"&lt;"&amp;'트랜드 분석_15일'!BZ$27,'2023년 신조차 고장관리 세부현황'!$BC:$BC,"완료",'2023년 신조차 고장관리 세부현황'!$CY:$CY,"주변압기")</f>
        <v>0</v>
      </c>
      <c r="CA354" s="85">
        <f>COUNTIFS('2023년 신조차 고장관리 세부현황'!$K:$K,"448R",'2023년 신조차 고장관리 세부현황'!$P:$P,"&gt;="&amp;'트랜드 분석_15일'!BZ$27,'2023년 신조차 고장관리 세부현황'!$P:$P,"&lt;"&amp;'트랜드 분석_15일'!CA$27,'2023년 신조차 고장관리 세부현황'!$BC:$BC,"완료",'2023년 신조차 고장관리 세부현황'!$CY:$CY,"주변압기")</f>
        <v>0</v>
      </c>
      <c r="CB354" s="85">
        <f>COUNTIFS('2023년 신조차 고장관리 세부현황'!$K:$K,"448R",'2023년 신조차 고장관리 세부현황'!$P:$P,"&gt;="&amp;'트랜드 분석_15일'!CA$27,'2023년 신조차 고장관리 세부현황'!$P:$P,"&lt;"&amp;'트랜드 분석_15일'!CB$27,'2023년 신조차 고장관리 세부현황'!$BC:$BC,"완료",'2023년 신조차 고장관리 세부현황'!$CY:$CY,"주변압기")</f>
        <v>0</v>
      </c>
      <c r="CC354" s="85">
        <f>COUNTIFS('2023년 신조차 고장관리 세부현황'!$K:$K,"448R",'2023년 신조차 고장관리 세부현황'!$P:$P,"&gt;="&amp;'트랜드 분석_15일'!CB$27,'2023년 신조차 고장관리 세부현황'!$P:$P,"&lt;"&amp;'트랜드 분석_15일'!CC$27,'2023년 신조차 고장관리 세부현황'!$BC:$BC,"완료",'2023년 신조차 고장관리 세부현황'!$CY:$CY,"주변압기")</f>
        <v>0</v>
      </c>
      <c r="CD354" s="85">
        <f>COUNTIFS('2023년 신조차 고장관리 세부현황'!$K:$K,"448R",'2023년 신조차 고장관리 세부현황'!$P:$P,"&gt;="&amp;'트랜드 분석_15일'!CC$27,'2023년 신조차 고장관리 세부현황'!$P:$P,"&lt;"&amp;'트랜드 분석_15일'!CD$27,'2023년 신조차 고장관리 세부현황'!$BC:$BC,"완료",'2023년 신조차 고장관리 세부현황'!$CY:$CY,"주변압기")</f>
        <v>0</v>
      </c>
      <c r="CE354" s="85">
        <f>COUNTIFS('2023년 신조차 고장관리 세부현황'!$K:$K,"448R",'2023년 신조차 고장관리 세부현황'!$P:$P,"&gt;="&amp;'트랜드 분석_15일'!CD$27,'2023년 신조차 고장관리 세부현황'!$P:$P,"&lt;"&amp;'트랜드 분석_15일'!CE$27,'2023년 신조차 고장관리 세부현황'!$BC:$BC,"완료",'2023년 신조차 고장관리 세부현황'!$CY:$CY,"주변압기")</f>
        <v>0</v>
      </c>
      <c r="CF354" s="85">
        <f>COUNTIFS('2023년 신조차 고장관리 세부현황'!$K:$K,"448R",'2023년 신조차 고장관리 세부현황'!$P:$P,"&gt;="&amp;'트랜드 분석_15일'!CE$27,'2023년 신조차 고장관리 세부현황'!$P:$P,"&lt;"&amp;'트랜드 분석_15일'!CF$27,'2023년 신조차 고장관리 세부현황'!$BC:$BC,"완료",'2023년 신조차 고장관리 세부현황'!$CY:$CY,"주변압기")</f>
        <v>0</v>
      </c>
      <c r="CG354" s="85">
        <f>COUNTIFS('2023년 신조차 고장관리 세부현황'!$K:$K,"448R",'2023년 신조차 고장관리 세부현황'!$P:$P,"&gt;="&amp;'트랜드 분석_15일'!CF$27,'2023년 신조차 고장관리 세부현황'!$P:$P,"&lt;"&amp;'트랜드 분석_15일'!CG$27,'2023년 신조차 고장관리 세부현황'!$BC:$BC,"완료",'2023년 신조차 고장관리 세부현황'!$CY:$CY,"주변압기")</f>
        <v>0</v>
      </c>
      <c r="CH354" s="85">
        <f>COUNTIFS('2023년 신조차 고장관리 세부현황'!$K:$K,"448R",'2023년 신조차 고장관리 세부현황'!$P:$P,"&gt;="&amp;'트랜드 분석_15일'!CG$27,'2023년 신조차 고장관리 세부현황'!$P:$P,"&lt;"&amp;'트랜드 분석_15일'!CH$27,'2023년 신조차 고장관리 세부현황'!$BC:$BC,"완료",'2023년 신조차 고장관리 세부현황'!$CY:$CY,"주변압기")</f>
        <v>0</v>
      </c>
      <c r="CI354" s="85">
        <f>COUNTIFS('2023년 신조차 고장관리 세부현황'!$K:$K,"448R",'2023년 신조차 고장관리 세부현황'!$P:$P,"&gt;="&amp;'트랜드 분석_15일'!CH$27,'2023년 신조차 고장관리 세부현황'!$P:$P,"&lt;"&amp;'트랜드 분석_15일'!CI$27,'2023년 신조차 고장관리 세부현황'!$BC:$BC,"완료",'2023년 신조차 고장관리 세부현황'!$CY:$CY,"주변압기")</f>
        <v>0</v>
      </c>
      <c r="CJ354" s="85">
        <f>COUNTIFS('2023년 신조차 고장관리 세부현황'!$K:$K,"448R",'2023년 신조차 고장관리 세부현황'!$P:$P,"&gt;="&amp;'트랜드 분석_15일'!CI$27,'2023년 신조차 고장관리 세부현황'!$P:$P,"&lt;"&amp;'트랜드 분석_15일'!CJ$27,'2023년 신조차 고장관리 세부현황'!$BC:$BC,"완료",'2023년 신조차 고장관리 세부현황'!$CY:$CY,"주변압기")</f>
        <v>0</v>
      </c>
      <c r="CK354" s="85">
        <f>COUNTIFS('2023년 신조차 고장관리 세부현황'!$K:$K,"448R",'2023년 신조차 고장관리 세부현황'!$P:$P,"&gt;="&amp;'트랜드 분석_15일'!CJ$27,'2023년 신조차 고장관리 세부현황'!$P:$P,"&lt;"&amp;'트랜드 분석_15일'!CK$27,'2023년 신조차 고장관리 세부현황'!$BC:$BC,"완료",'2023년 신조차 고장관리 세부현황'!$CY:$CY,"주변압기")</f>
        <v>0</v>
      </c>
      <c r="CL354" s="85">
        <f>COUNTIFS('2023년 신조차 고장관리 세부현황'!$K:$K,"448R",'2023년 신조차 고장관리 세부현황'!$P:$P,"&gt;="&amp;'트랜드 분석_15일'!CK$27,'2023년 신조차 고장관리 세부현황'!$P:$P,"&lt;"&amp;'트랜드 분석_15일'!CL$27,'2023년 신조차 고장관리 세부현황'!$BC:$BC,"완료",'2023년 신조차 고장관리 세부현황'!$CY:$CY,"주변압기")</f>
        <v>0</v>
      </c>
      <c r="CM354" s="85">
        <f>COUNTIFS('2023년 신조차 고장관리 세부현황'!$K:$K,"448R",'2023년 신조차 고장관리 세부현황'!$P:$P,"&gt;="&amp;'트랜드 분석_15일'!CL$27,'2023년 신조차 고장관리 세부현황'!$P:$P,"&lt;"&amp;'트랜드 분석_15일'!CM$27,'2023년 신조차 고장관리 세부현황'!$BC:$BC,"완료",'2023년 신조차 고장관리 세부현황'!$CY:$CY,"주변압기")</f>
        <v>0</v>
      </c>
      <c r="CN354" s="85">
        <f>COUNTIFS('2023년 신조차 고장관리 세부현황'!$K:$K,"448R",'2023년 신조차 고장관리 세부현황'!$P:$P,"&gt;="&amp;'트랜드 분석_15일'!CM$27,'2023년 신조차 고장관리 세부현황'!$P:$P,"&lt;"&amp;'트랜드 분석_15일'!CN$27,'2023년 신조차 고장관리 세부현황'!$BC:$BC,"완료",'2023년 신조차 고장관리 세부현황'!$CY:$CY,"주변압기")</f>
        <v>0</v>
      </c>
      <c r="CO354" s="85">
        <f>COUNTIFS('2023년 신조차 고장관리 세부현황'!$K:$K,"448R",'2023년 신조차 고장관리 세부현황'!$P:$P,"&gt;="&amp;'트랜드 분석_15일'!CN$27,'2023년 신조차 고장관리 세부현황'!$P:$P,"&lt;"&amp;'트랜드 분석_15일'!CO$27,'2023년 신조차 고장관리 세부현황'!$BC:$BC,"완료",'2023년 신조차 고장관리 세부현황'!$CY:$CY,"주변압기")</f>
        <v>0</v>
      </c>
      <c r="CP354" s="85">
        <f>COUNTIFS('2023년 신조차 고장관리 세부현황'!$K:$K,"448R",'2023년 신조차 고장관리 세부현황'!$P:$P,"&gt;="&amp;'트랜드 분석_15일'!CO$27,'2023년 신조차 고장관리 세부현황'!$P:$P,"&lt;"&amp;'트랜드 분석_15일'!CP$27,'2023년 신조차 고장관리 세부현황'!$BC:$BC,"완료",'2023년 신조차 고장관리 세부현황'!$CY:$CY,"주변압기")</f>
        <v>0</v>
      </c>
      <c r="CQ354" s="85">
        <f>COUNTIFS('2023년 신조차 고장관리 세부현황'!$K:$K,"448R",'2023년 신조차 고장관리 세부현황'!$P:$P,"&gt;="&amp;'트랜드 분석_15일'!CP$27,'2023년 신조차 고장관리 세부현황'!$P:$P,"&lt;"&amp;'트랜드 분석_15일'!CQ$27,'2023년 신조차 고장관리 세부현황'!$BC:$BC,"완료",'2023년 신조차 고장관리 세부현황'!$CY:$CY,"주변압기")</f>
        <v>0</v>
      </c>
      <c r="CR354" s="85">
        <f>COUNTIFS('2023년 신조차 고장관리 세부현황'!$K:$K,"448R",'2023년 신조차 고장관리 세부현황'!$P:$P,"&gt;="&amp;'트랜드 분석_15일'!CQ$27,'2023년 신조차 고장관리 세부현황'!$P:$P,"&lt;"&amp;'트랜드 분석_15일'!CR$27,'2023년 신조차 고장관리 세부현황'!$BC:$BC,"완료",'2023년 신조차 고장관리 세부현황'!$CY:$CY,"주변압기")</f>
        <v>0</v>
      </c>
      <c r="CS354" s="85">
        <f>COUNTIFS('2023년 신조차 고장관리 세부현황'!$K:$K,"448R",'2023년 신조차 고장관리 세부현황'!$P:$P,"&gt;="&amp;'트랜드 분석_15일'!CR$27,'2023년 신조차 고장관리 세부현황'!$P:$P,"&lt;"&amp;'트랜드 분석_15일'!CS$27,'2023년 신조차 고장관리 세부현황'!$BC:$BC,"완료",'2023년 신조차 고장관리 세부현황'!$CY:$CY,"주변압기")</f>
        <v>0</v>
      </c>
      <c r="CT354" s="85">
        <f>COUNTIFS('2023년 신조차 고장관리 세부현황'!$K:$K,"448R",'2023년 신조차 고장관리 세부현황'!$P:$P,"&gt;="&amp;'트랜드 분석_15일'!CS$27,'2023년 신조차 고장관리 세부현황'!$P:$P,"&lt;"&amp;'트랜드 분석_15일'!CT$27,'2023년 신조차 고장관리 세부현황'!$BC:$BC,"완료",'2023년 신조차 고장관리 세부현황'!$CY:$CY,"주변압기")</f>
        <v>0</v>
      </c>
      <c r="CU354" s="85">
        <f>COUNTIFS('2023년 신조차 고장관리 세부현황'!$K:$K,"448R",'2023년 신조차 고장관리 세부현황'!$P:$P,"&gt;="&amp;'트랜드 분석_15일'!CT$27,'2023년 신조차 고장관리 세부현황'!$P:$P,"&lt;"&amp;'트랜드 분석_15일'!CU$27,'2023년 신조차 고장관리 세부현황'!$BC:$BC,"완료",'2023년 신조차 고장관리 세부현황'!$CY:$CY,"주변압기")</f>
        <v>0</v>
      </c>
      <c r="CV354" s="85">
        <f>COUNTIFS('2023년 신조차 고장관리 세부현황'!$K:$K,"448R",'2023년 신조차 고장관리 세부현황'!$P:$P,"&gt;="&amp;'트랜드 분석_15일'!CU$27,'2023년 신조차 고장관리 세부현황'!$P:$P,"&lt;"&amp;'트랜드 분석_15일'!CV$27,'2023년 신조차 고장관리 세부현황'!$BC:$BC,"완료",'2023년 신조차 고장관리 세부현황'!$CY:$CY,"주변압기")</f>
        <v>0</v>
      </c>
      <c r="CW354" s="85">
        <f>COUNTIFS('2023년 신조차 고장관리 세부현황'!$K:$K,"448R",'2023년 신조차 고장관리 세부현황'!$P:$P,"&gt;="&amp;'트랜드 분석_15일'!CV$27,'2023년 신조차 고장관리 세부현황'!$P:$P,"&lt;"&amp;'트랜드 분석_15일'!CW$27,'2023년 신조차 고장관리 세부현황'!$BC:$BC,"완료",'2023년 신조차 고장관리 세부현황'!$CY:$CY,"주변압기")</f>
        <v>0</v>
      </c>
      <c r="CX354">
        <f ca="1">SUM(G354:CW354)</f>
        <v>0</v>
      </c>
    </row>
    <row r="355" spans="6:103" x14ac:dyDescent="0.4">
      <c r="F355" s="85" t="s">
        <v>164</v>
      </c>
      <c r="G355" s="85">
        <f>COUNTIFS('2023년 신조차 고장관리 세부현황'!$K:$K,"448R",'2023년 신조차 고장관리 세부현황'!$P:$P,"&gt;="&amp;$G$26,'2023년 신조차 고장관리 세부현황'!$P:$P,"&lt;"&amp;'트랜드 분석_15일'!G$27,'2023년 신조차 고장관리 세부현황'!$S:$S,'트랜드 분석_15일'!$F355,'2023년 신조차 고장관리 세부현황'!$BC:$BC,"완료",'2023년 신조차 고장관리 세부현황'!$CY:$CY,"주변압기")</f>
        <v>0</v>
      </c>
      <c r="H355"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분석_15일'!$F355,'2023년 신조차 고장관리 세부현황'!$BC:$BC,"완료",'2023년 신조차 고장관리 세부현황'!$CY:$CY,"주변압기")</f>
        <v>0</v>
      </c>
      <c r="I355"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분석_15일'!$F355,'2023년 신조차 고장관리 세부현황'!$BC:$BC,"완료",'2023년 신조차 고장관리 세부현황'!$CY:$CY,"주변압기")</f>
        <v>0</v>
      </c>
      <c r="J355"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분석_15일'!$F355,'2023년 신조차 고장관리 세부현황'!$BC:$BC,"완료",'2023년 신조차 고장관리 세부현황'!$CY:$CY,"주변압기")</f>
        <v>0</v>
      </c>
      <c r="K355"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분석_15일'!$F355,'2023년 신조차 고장관리 세부현황'!$BC:$BC,"완료",'2023년 신조차 고장관리 세부현황'!$CY:$CY,"주변압기")</f>
        <v>0</v>
      </c>
      <c r="L355"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분석_15일'!$F355,'2023년 신조차 고장관리 세부현황'!$BC:$BC,"완료",'2023년 신조차 고장관리 세부현황'!$CY:$CY,"주변압기")</f>
        <v>0</v>
      </c>
      <c r="M355"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분석_15일'!$F355,'2023년 신조차 고장관리 세부현황'!$BC:$BC,"완료",'2023년 신조차 고장관리 세부현황'!$CY:$CY,"주변압기")</f>
        <v>0</v>
      </c>
      <c r="N355"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분석_15일'!$F355,'2023년 신조차 고장관리 세부현황'!$BC:$BC,"완료",'2023년 신조차 고장관리 세부현황'!$CY:$CY,"주변압기")</f>
        <v>0</v>
      </c>
      <c r="O355"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분석_15일'!$F355,'2023년 신조차 고장관리 세부현황'!$BC:$BC,"완료",'2023년 신조차 고장관리 세부현황'!$CY:$CY,"주변압기")</f>
        <v>0</v>
      </c>
      <c r="P355"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분석_15일'!$F355,'2023년 신조차 고장관리 세부현황'!$BC:$BC,"완료",'2023년 신조차 고장관리 세부현황'!$CY:$CY,"주변압기")</f>
        <v>0</v>
      </c>
      <c r="Q355"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분석_15일'!$F355,'2023년 신조차 고장관리 세부현황'!$BC:$BC,"완료",'2023년 신조차 고장관리 세부현황'!$CY:$CY,"주변압기")</f>
        <v>0</v>
      </c>
      <c r="R355"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분석_15일'!$F355,'2023년 신조차 고장관리 세부현황'!$BC:$BC,"완료",'2023년 신조차 고장관리 세부현황'!$CY:$CY,"주변압기")</f>
        <v>0</v>
      </c>
      <c r="S355"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분석_15일'!$F355,'2023년 신조차 고장관리 세부현황'!$BC:$BC,"완료",'2023년 신조차 고장관리 세부현황'!$CY:$CY,"주변압기")</f>
        <v>0</v>
      </c>
      <c r="T355"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분석_15일'!$F355,'2023년 신조차 고장관리 세부현황'!$BC:$BC,"완료",'2023년 신조차 고장관리 세부현황'!$CY:$CY,"주변압기")</f>
        <v>0</v>
      </c>
      <c r="U355"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분석_15일'!$F355,'2023년 신조차 고장관리 세부현황'!$BC:$BC,"완료",'2023년 신조차 고장관리 세부현황'!$CY:$CY,"주변압기")</f>
        <v>0</v>
      </c>
      <c r="V355"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분석_15일'!$F355,'2023년 신조차 고장관리 세부현황'!$BC:$BC,"완료",'2023년 신조차 고장관리 세부현황'!$CY:$CY,"주변압기")</f>
        <v>0</v>
      </c>
      <c r="W355"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분석_15일'!$F355,'2023년 신조차 고장관리 세부현황'!$BC:$BC,"완료",'2023년 신조차 고장관리 세부현황'!$CY:$CY,"주변압기")</f>
        <v>0</v>
      </c>
      <c r="X355"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분석_15일'!$F355,'2023년 신조차 고장관리 세부현황'!$BC:$BC,"완료",'2023년 신조차 고장관리 세부현황'!$CY:$CY,"주변압기")</f>
        <v>0</v>
      </c>
      <c r="Y355"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분석_15일'!$F355,'2023년 신조차 고장관리 세부현황'!$BC:$BC,"완료",'2023년 신조차 고장관리 세부현황'!$CY:$CY,"주변압기")</f>
        <v>0</v>
      </c>
      <c r="Z355"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분석_15일'!$F355,'2023년 신조차 고장관리 세부현황'!$BC:$BC,"완료",'2023년 신조차 고장관리 세부현황'!$CY:$CY,"주변압기")</f>
        <v>0</v>
      </c>
      <c r="AA355"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분석_15일'!$F355,'2023년 신조차 고장관리 세부현황'!$BC:$BC,"완료",'2023년 신조차 고장관리 세부현황'!$CY:$CY,"주변압기")</f>
        <v>0</v>
      </c>
      <c r="AB355"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분석_15일'!$F355,'2023년 신조차 고장관리 세부현황'!$BC:$BC,"완료",'2023년 신조차 고장관리 세부현황'!$CY:$CY,"주변압기")</f>
        <v>0</v>
      </c>
      <c r="AC355"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분석_15일'!$F355,'2023년 신조차 고장관리 세부현황'!$BC:$BC,"완료",'2023년 신조차 고장관리 세부현황'!$CY:$CY,"주변압기")</f>
        <v>0</v>
      </c>
      <c r="AD355"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분석_15일'!$F355,'2023년 신조차 고장관리 세부현황'!$BC:$BC,"완료",'2023년 신조차 고장관리 세부현황'!$CY:$CY,"주변압기")</f>
        <v>0</v>
      </c>
      <c r="AE355"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분석_15일'!$F355,'2023년 신조차 고장관리 세부현황'!$BC:$BC,"완료",'2023년 신조차 고장관리 세부현황'!$CY:$CY,"주변압기")</f>
        <v>0</v>
      </c>
      <c r="AF355"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분석_15일'!$F355,'2023년 신조차 고장관리 세부현황'!$BC:$BC,"완료",'2023년 신조차 고장관리 세부현황'!$CY:$CY,"주변압기")</f>
        <v>0</v>
      </c>
      <c r="AG355"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분석_15일'!$F355,'2023년 신조차 고장관리 세부현황'!$BC:$BC,"완료",'2023년 신조차 고장관리 세부현황'!$CY:$CY,"주변압기")</f>
        <v>0</v>
      </c>
      <c r="AH355"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분석_15일'!$F355,'2023년 신조차 고장관리 세부현황'!$BC:$BC,"완료",'2023년 신조차 고장관리 세부현황'!$CY:$CY,"주변압기")</f>
        <v>0</v>
      </c>
      <c r="AI355"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분석_15일'!$F355,'2023년 신조차 고장관리 세부현황'!$BC:$BC,"완료",'2023년 신조차 고장관리 세부현황'!$CY:$CY,"주변압기")</f>
        <v>0</v>
      </c>
      <c r="AJ355"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분석_15일'!$F355,'2023년 신조차 고장관리 세부현황'!$BC:$BC,"완료",'2023년 신조차 고장관리 세부현황'!$CY:$CY,"주변압기")</f>
        <v>0</v>
      </c>
      <c r="AK355"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분석_15일'!$F355,'2023년 신조차 고장관리 세부현황'!$BC:$BC,"완료",'2023년 신조차 고장관리 세부현황'!$CY:$CY,"주변압기")</f>
        <v>0</v>
      </c>
      <c r="AL355"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분석_15일'!$F355,'2023년 신조차 고장관리 세부현황'!$BC:$BC,"완료",'2023년 신조차 고장관리 세부현황'!$CY:$CY,"주변압기")</f>
        <v>0</v>
      </c>
      <c r="AM355"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분석_15일'!$F355,'2023년 신조차 고장관리 세부현황'!$BC:$BC,"완료",'2023년 신조차 고장관리 세부현황'!$CY:$CY,"주변압기")</f>
        <v>0</v>
      </c>
      <c r="AN355"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분석_15일'!$F355,'2023년 신조차 고장관리 세부현황'!$BC:$BC,"완료",'2023년 신조차 고장관리 세부현황'!$CY:$CY,"주변압기")</f>
        <v>0</v>
      </c>
      <c r="AO355"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분석_15일'!$F355,'2023년 신조차 고장관리 세부현황'!$BC:$BC,"완료",'2023년 신조차 고장관리 세부현황'!$CY:$CY,"주변압기")</f>
        <v>0</v>
      </c>
      <c r="AP355"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분석_15일'!$F355,'2023년 신조차 고장관리 세부현황'!$BC:$BC,"완료",'2023년 신조차 고장관리 세부현황'!$CY:$CY,"주변압기")</f>
        <v>0</v>
      </c>
      <c r="AQ355"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분석_15일'!$F355,'2023년 신조차 고장관리 세부현황'!$BC:$BC,"완료",'2023년 신조차 고장관리 세부현황'!$CY:$CY,"주변압기")</f>
        <v>0</v>
      </c>
      <c r="AR355"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분석_15일'!$F355,'2023년 신조차 고장관리 세부현황'!$BC:$BC,"완료",'2023년 신조차 고장관리 세부현황'!$CY:$CY,"주변압기")</f>
        <v>0</v>
      </c>
      <c r="AS355"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분석_15일'!$F355,'2023년 신조차 고장관리 세부현황'!$BC:$BC,"완료",'2023년 신조차 고장관리 세부현황'!$CY:$CY,"주변압기")</f>
        <v>0</v>
      </c>
      <c r="AT355"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분석_15일'!$F355,'2023년 신조차 고장관리 세부현황'!$BC:$BC,"완료",'2023년 신조차 고장관리 세부현황'!$CY:$CY,"주변압기")</f>
        <v>0</v>
      </c>
      <c r="AU355"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분석_15일'!$F355,'2023년 신조차 고장관리 세부현황'!$BC:$BC,"완료",'2023년 신조차 고장관리 세부현황'!$CY:$CY,"주변압기")</f>
        <v>0</v>
      </c>
      <c r="AV355"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분석_15일'!$F355,'2023년 신조차 고장관리 세부현황'!$BC:$BC,"완료",'2023년 신조차 고장관리 세부현황'!$CY:$CY,"주변압기")</f>
        <v>0</v>
      </c>
      <c r="AW355"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분석_15일'!$F355,'2023년 신조차 고장관리 세부현황'!$BC:$BC,"완료",'2023년 신조차 고장관리 세부현황'!$CY:$CY,"주변압기")</f>
        <v>0</v>
      </c>
      <c r="AX355"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분석_15일'!$F355,'2023년 신조차 고장관리 세부현황'!$BC:$BC,"완료",'2023년 신조차 고장관리 세부현황'!$CY:$CY,"주변압기")</f>
        <v>0</v>
      </c>
      <c r="AY355"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분석_15일'!$F355,'2023년 신조차 고장관리 세부현황'!$BC:$BC,"완료",'2023년 신조차 고장관리 세부현황'!$CY:$CY,"주변압기")</f>
        <v>0</v>
      </c>
      <c r="AZ355"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분석_15일'!$F355,'2023년 신조차 고장관리 세부현황'!$BC:$BC,"완료",'2023년 신조차 고장관리 세부현황'!$CY:$CY,"주변압기")</f>
        <v>0</v>
      </c>
      <c r="BA355"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분석_15일'!$F355,'2023년 신조차 고장관리 세부현황'!$BC:$BC,"완료",'2023년 신조차 고장관리 세부현황'!$CY:$CY,"주변압기")</f>
        <v>0</v>
      </c>
      <c r="BB355"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분석_15일'!$F355,'2023년 신조차 고장관리 세부현황'!$BC:$BC,"완료",'2023년 신조차 고장관리 세부현황'!$CY:$CY,"주변압기")</f>
        <v>0</v>
      </c>
      <c r="BC355"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분석_15일'!$F355,'2023년 신조차 고장관리 세부현황'!$BC:$BC,"완료",'2023년 신조차 고장관리 세부현황'!$CY:$CY,"주변압기")</f>
        <v>0</v>
      </c>
      <c r="BD355"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분석_15일'!$F355,'2023년 신조차 고장관리 세부현황'!$BC:$BC,"완료",'2023년 신조차 고장관리 세부현황'!$CY:$CY,"주변압기")</f>
        <v>0</v>
      </c>
      <c r="BE355"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분석_15일'!$F355,'2023년 신조차 고장관리 세부현황'!$BC:$BC,"완료",'2023년 신조차 고장관리 세부현황'!$CY:$CY,"주변압기")</f>
        <v>0</v>
      </c>
      <c r="BF355"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분석_15일'!$F355,'2023년 신조차 고장관리 세부현황'!$BC:$BC,"완료",'2023년 신조차 고장관리 세부현황'!$CY:$CY,"주변압기")</f>
        <v>0</v>
      </c>
      <c r="BG355"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분석_15일'!$F355,'2023년 신조차 고장관리 세부현황'!$BC:$BC,"완료",'2023년 신조차 고장관리 세부현황'!$CY:$CY,"주변압기")</f>
        <v>0</v>
      </c>
      <c r="BH355"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분석_15일'!$F355,'2023년 신조차 고장관리 세부현황'!$BC:$BC,"완료",'2023년 신조차 고장관리 세부현황'!$CY:$CY,"주변압기")</f>
        <v>0</v>
      </c>
      <c r="BI355"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분석_15일'!$F355,'2023년 신조차 고장관리 세부현황'!$BC:$BC,"완료",'2023년 신조차 고장관리 세부현황'!$CY:$CY,"주변압기")</f>
        <v>0</v>
      </c>
      <c r="BJ355"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분석_15일'!$F355,'2023년 신조차 고장관리 세부현황'!$BC:$BC,"완료",'2023년 신조차 고장관리 세부현황'!$CY:$CY,"주변압기")</f>
        <v>0</v>
      </c>
      <c r="BK355"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분석_15일'!$F355,'2023년 신조차 고장관리 세부현황'!$BC:$BC,"완료",'2023년 신조차 고장관리 세부현황'!$CY:$CY,"주변압기")</f>
        <v>0</v>
      </c>
      <c r="BL355"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분석_15일'!$F355,'2023년 신조차 고장관리 세부현황'!$BC:$BC,"완료",'2023년 신조차 고장관리 세부현황'!$CY:$CY,"주변압기")</f>
        <v>0</v>
      </c>
      <c r="BM355"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분석_15일'!$F355,'2023년 신조차 고장관리 세부현황'!$BC:$BC,"완료",'2023년 신조차 고장관리 세부현황'!$CY:$CY,"주변압기")</f>
        <v>0</v>
      </c>
      <c r="BN355"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분석_15일'!$F355,'2023년 신조차 고장관리 세부현황'!$BC:$BC,"완료",'2023년 신조차 고장관리 세부현황'!$CY:$CY,"주변압기")</f>
        <v>0</v>
      </c>
      <c r="BO355"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분석_15일'!$F355,'2023년 신조차 고장관리 세부현황'!$BC:$BC,"완료",'2023년 신조차 고장관리 세부현황'!$CY:$CY,"주변압기")</f>
        <v>0</v>
      </c>
      <c r="BP355"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분석_15일'!$F355,'2023년 신조차 고장관리 세부현황'!$BC:$BC,"완료",'2023년 신조차 고장관리 세부현황'!$CY:$CY,"주변압기")</f>
        <v>0</v>
      </c>
      <c r="BQ355"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분석_15일'!$F355,'2023년 신조차 고장관리 세부현황'!$BC:$BC,"완료",'2023년 신조차 고장관리 세부현황'!$CY:$CY,"주변압기")</f>
        <v>0</v>
      </c>
      <c r="BR355"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분석_15일'!$F355,'2023년 신조차 고장관리 세부현황'!$BC:$BC,"완료",'2023년 신조차 고장관리 세부현황'!$CY:$CY,"주변압기")</f>
        <v>0</v>
      </c>
      <c r="BS355"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분석_15일'!$F355,'2023년 신조차 고장관리 세부현황'!$BC:$BC,"완료",'2023년 신조차 고장관리 세부현황'!$CY:$CY,"주변압기")</f>
        <v>0</v>
      </c>
      <c r="BT355"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분석_15일'!$F355,'2023년 신조차 고장관리 세부현황'!$BC:$BC,"완료",'2023년 신조차 고장관리 세부현황'!$CY:$CY,"주변압기")</f>
        <v>0</v>
      </c>
      <c r="BU355"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분석_15일'!$F355,'2023년 신조차 고장관리 세부현황'!$BC:$BC,"완료",'2023년 신조차 고장관리 세부현황'!$CY:$CY,"주변압기")</f>
        <v>0</v>
      </c>
      <c r="BV355"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분석_15일'!$F355,'2023년 신조차 고장관리 세부현황'!$BC:$BC,"완료",'2023년 신조차 고장관리 세부현황'!$CY:$CY,"주변압기")</f>
        <v>0</v>
      </c>
      <c r="BW355"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분석_15일'!$F355,'2023년 신조차 고장관리 세부현황'!$BC:$BC,"완료",'2023년 신조차 고장관리 세부현황'!$CY:$CY,"주변압기")</f>
        <v>0</v>
      </c>
      <c r="BX355"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분석_15일'!$F355,'2023년 신조차 고장관리 세부현황'!$BC:$BC,"완료",'2023년 신조차 고장관리 세부현황'!$CY:$CY,"주변압기")</f>
        <v>0</v>
      </c>
      <c r="BY355"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분석_15일'!$F355,'2023년 신조차 고장관리 세부현황'!$BC:$BC,"완료",'2023년 신조차 고장관리 세부현황'!$CY:$CY,"주변압기")</f>
        <v>0</v>
      </c>
      <c r="BZ355"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분석_15일'!$F355,'2023년 신조차 고장관리 세부현황'!$BC:$BC,"완료",'2023년 신조차 고장관리 세부현황'!$CY:$CY,"주변압기")</f>
        <v>0</v>
      </c>
      <c r="CA355"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분석_15일'!$F355,'2023년 신조차 고장관리 세부현황'!$BC:$BC,"완료",'2023년 신조차 고장관리 세부현황'!$CY:$CY,"주변압기")</f>
        <v>0</v>
      </c>
      <c r="CB355"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분석_15일'!$F355,'2023년 신조차 고장관리 세부현황'!$BC:$BC,"완료",'2023년 신조차 고장관리 세부현황'!$CY:$CY,"주변압기")</f>
        <v>0</v>
      </c>
      <c r="CC355"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분석_15일'!$F355,'2023년 신조차 고장관리 세부현황'!$BC:$BC,"완료",'2023년 신조차 고장관리 세부현황'!$CY:$CY,"주변압기")</f>
        <v>0</v>
      </c>
      <c r="CD355"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분석_15일'!$F355,'2023년 신조차 고장관리 세부현황'!$BC:$BC,"완료",'2023년 신조차 고장관리 세부현황'!$CY:$CY,"주변압기")</f>
        <v>0</v>
      </c>
      <c r="CE355"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분석_15일'!$F355,'2023년 신조차 고장관리 세부현황'!$BC:$BC,"완료",'2023년 신조차 고장관리 세부현황'!$CY:$CY,"주변압기")</f>
        <v>0</v>
      </c>
      <c r="CF355"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분석_15일'!$F355,'2023년 신조차 고장관리 세부현황'!$BC:$BC,"완료",'2023년 신조차 고장관리 세부현황'!$CY:$CY,"주변압기")</f>
        <v>0</v>
      </c>
      <c r="CG355"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분석_15일'!$F355,'2023년 신조차 고장관리 세부현황'!$BC:$BC,"완료",'2023년 신조차 고장관리 세부현황'!$CY:$CY,"주변압기")</f>
        <v>0</v>
      </c>
      <c r="CH355"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분석_15일'!$F355,'2023년 신조차 고장관리 세부현황'!$BC:$BC,"완료",'2023년 신조차 고장관리 세부현황'!$CY:$CY,"주변압기")</f>
        <v>0</v>
      </c>
      <c r="CI355"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분석_15일'!$F355,'2023년 신조차 고장관리 세부현황'!$BC:$BC,"완료",'2023년 신조차 고장관리 세부현황'!$CY:$CY,"주변압기")</f>
        <v>0</v>
      </c>
      <c r="CJ355"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분석_15일'!$F355,'2023년 신조차 고장관리 세부현황'!$BC:$BC,"완료",'2023년 신조차 고장관리 세부현황'!$CY:$CY,"주변압기")</f>
        <v>0</v>
      </c>
      <c r="CK355"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분석_15일'!$F355,'2023년 신조차 고장관리 세부현황'!$BC:$BC,"완료",'2023년 신조차 고장관리 세부현황'!$CY:$CY,"주변압기")</f>
        <v>0</v>
      </c>
      <c r="CL355"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분석_15일'!$F355,'2023년 신조차 고장관리 세부현황'!$BC:$BC,"완료",'2023년 신조차 고장관리 세부현황'!$CY:$CY,"주변압기")</f>
        <v>0</v>
      </c>
      <c r="CM355"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분석_15일'!$F355,'2023년 신조차 고장관리 세부현황'!$BC:$BC,"완료",'2023년 신조차 고장관리 세부현황'!$CY:$CY,"주변압기")</f>
        <v>0</v>
      </c>
      <c r="CN355"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분석_15일'!$F355,'2023년 신조차 고장관리 세부현황'!$BC:$BC,"완료",'2023년 신조차 고장관리 세부현황'!$CY:$CY,"주변압기")</f>
        <v>0</v>
      </c>
      <c r="CO355"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분석_15일'!$F355,'2023년 신조차 고장관리 세부현황'!$BC:$BC,"완료",'2023년 신조차 고장관리 세부현황'!$CY:$CY,"주변압기")</f>
        <v>0</v>
      </c>
      <c r="CP355"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분석_15일'!$F355,'2023년 신조차 고장관리 세부현황'!$BC:$BC,"완료",'2023년 신조차 고장관리 세부현황'!$CY:$CY,"주변압기")</f>
        <v>0</v>
      </c>
      <c r="CQ355"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분석_15일'!$F355,'2023년 신조차 고장관리 세부현황'!$BC:$BC,"완료",'2023년 신조차 고장관리 세부현황'!$CY:$CY,"주변압기")</f>
        <v>0</v>
      </c>
      <c r="CR355"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분석_15일'!$F355,'2023년 신조차 고장관리 세부현황'!$BC:$BC,"완료",'2023년 신조차 고장관리 세부현황'!$CY:$CY,"주변압기")</f>
        <v>0</v>
      </c>
      <c r="CS355"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분석_15일'!$F355,'2023년 신조차 고장관리 세부현황'!$BC:$BC,"완료",'2023년 신조차 고장관리 세부현황'!$CY:$CY,"주변압기")</f>
        <v>0</v>
      </c>
      <c r="CT355"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분석_15일'!$F355,'2023년 신조차 고장관리 세부현황'!$BC:$BC,"완료",'2023년 신조차 고장관리 세부현황'!$CY:$CY,"주변압기")</f>
        <v>0</v>
      </c>
      <c r="CU355"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분석_15일'!$F355,'2023년 신조차 고장관리 세부현황'!$BC:$BC,"완료",'2023년 신조차 고장관리 세부현황'!$CY:$CY,"주변압기")</f>
        <v>0</v>
      </c>
      <c r="CV355"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분석_15일'!$F355,'2023년 신조차 고장관리 세부현황'!$BC:$BC,"완료",'2023년 신조차 고장관리 세부현황'!$CY:$CY,"주변압기")</f>
        <v>0</v>
      </c>
      <c r="CW355"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분석_15일'!$F355,'2023년 신조차 고장관리 세부현황'!$BC:$BC,"완료",'2023년 신조차 고장관리 세부현황'!$CY:$CY,"주변압기")</f>
        <v>0</v>
      </c>
      <c r="CX355">
        <f>SUM(G355:CW355)</f>
        <v>0</v>
      </c>
    </row>
    <row r="356" spans="6:103" x14ac:dyDescent="0.4">
      <c r="F356" s="85" t="s">
        <v>223</v>
      </c>
      <c r="G356" s="85">
        <f>COUNTIFS('2023년 신조차 고장관리 세부현황'!$K:$K,"448R",'2023년 신조차 고장관리 세부현황'!$P:$P,"&gt;="&amp;$G$26,'2023년 신조차 고장관리 세부현황'!$P:$P,"&lt;"&amp;'트랜드 분석_15일'!G$27,'2023년 신조차 고장관리 세부현황'!$S:$S,'트랜드 분석_15일'!$F356,'2023년 신조차 고장관리 세부현황'!$BC:$BC,"완료",'2023년 신조차 고장관리 세부현황'!$CY:$CY,"주변압기")</f>
        <v>0</v>
      </c>
      <c r="H356"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분석_15일'!$F356,'2023년 신조차 고장관리 세부현황'!$BC:$BC,"완료",'2023년 신조차 고장관리 세부현황'!$CY:$CY,"주변압기")</f>
        <v>0</v>
      </c>
      <c r="I356"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분석_15일'!$F356,'2023년 신조차 고장관리 세부현황'!$BC:$BC,"완료",'2023년 신조차 고장관리 세부현황'!$CY:$CY,"주변압기")</f>
        <v>0</v>
      </c>
      <c r="J356"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분석_15일'!$F356,'2023년 신조차 고장관리 세부현황'!$BC:$BC,"완료",'2023년 신조차 고장관리 세부현황'!$CY:$CY,"주변압기")</f>
        <v>0</v>
      </c>
      <c r="K356"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분석_15일'!$F356,'2023년 신조차 고장관리 세부현황'!$BC:$BC,"완료",'2023년 신조차 고장관리 세부현황'!$CY:$CY,"주변압기")</f>
        <v>0</v>
      </c>
      <c r="L356"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분석_15일'!$F356,'2023년 신조차 고장관리 세부현황'!$BC:$BC,"완료",'2023년 신조차 고장관리 세부현황'!$CY:$CY,"주변압기")</f>
        <v>0</v>
      </c>
      <c r="M356"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분석_15일'!$F356,'2023년 신조차 고장관리 세부현황'!$BC:$BC,"완료",'2023년 신조차 고장관리 세부현황'!$CY:$CY,"주변압기")</f>
        <v>0</v>
      </c>
      <c r="N356"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분석_15일'!$F356,'2023년 신조차 고장관리 세부현황'!$BC:$BC,"완료",'2023년 신조차 고장관리 세부현황'!$CY:$CY,"주변압기")</f>
        <v>0</v>
      </c>
      <c r="O356"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분석_15일'!$F356,'2023년 신조차 고장관리 세부현황'!$BC:$BC,"완료",'2023년 신조차 고장관리 세부현황'!$CY:$CY,"주변압기")</f>
        <v>0</v>
      </c>
      <c r="P356" s="85">
        <f ca="1">COUNTIFS('2023년 신조차 고장관리 세부현황'!$K:$K,"448R",'2023년 신조차 고장관리 세부현황'!$P:$P,"&gt;="&amp;'트랜드 분석_15일'!O$27,'2023년 신조차 고장관리 세부현황'!$P:$P,"&lt;"&amp;'트랜드 분석_15일'!P$27,'2023년 신조차 고장관리 세부현황'!$S:$S,'트랜드 분석_15일'!$F356,'2023년 신조차 고장관리 세부현황'!$BC:$BC,"완료",'2023년 신조차 고장관리 세부현황'!$CY:$CY,"주변압기")</f>
        <v>0</v>
      </c>
      <c r="Q356"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분석_15일'!$F356,'2023년 신조차 고장관리 세부현황'!$BC:$BC,"완료",'2023년 신조차 고장관리 세부현황'!$CY:$CY,"주변압기")</f>
        <v>0</v>
      </c>
      <c r="R356" s="85">
        <f ca="1">COUNTIFS('2023년 신조차 고장관리 세부현황'!$K:$K,"448R",'2023년 신조차 고장관리 세부현황'!$P:$P,"&gt;="&amp;'트랜드 분석_15일'!Q$27,'2023년 신조차 고장관리 세부현황'!$P:$P,"&lt;"&amp;'트랜드 분석_15일'!R$27,'2023년 신조차 고장관리 세부현황'!$S:$S,'트랜드 분석_15일'!$F356,'2023년 신조차 고장관리 세부현황'!$BC:$BC,"완료",'2023년 신조차 고장관리 세부현황'!$CY:$CY,"주변압기")</f>
        <v>0</v>
      </c>
      <c r="S356" s="85">
        <f ca="1">COUNTIFS('2023년 신조차 고장관리 세부현황'!$K:$K,"448R",'2023년 신조차 고장관리 세부현황'!$P:$P,"&gt;="&amp;'트랜드 분석_15일'!R$27,'2023년 신조차 고장관리 세부현황'!$P:$P,"&lt;"&amp;'트랜드 분석_15일'!S$27,'2023년 신조차 고장관리 세부현황'!$S:$S,'트랜드 분석_15일'!$F356,'2023년 신조차 고장관리 세부현황'!$BC:$BC,"완료",'2023년 신조차 고장관리 세부현황'!$CY:$CY,"주변압기")</f>
        <v>0</v>
      </c>
      <c r="T356"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분석_15일'!$F356,'2023년 신조차 고장관리 세부현황'!$BC:$BC,"완료",'2023년 신조차 고장관리 세부현황'!$CY:$CY,"주변압기")</f>
        <v>0</v>
      </c>
      <c r="U356"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분석_15일'!$F356,'2023년 신조차 고장관리 세부현황'!$BC:$BC,"완료",'2023년 신조차 고장관리 세부현황'!$CY:$CY,"주변압기")</f>
        <v>0</v>
      </c>
      <c r="V356"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분석_15일'!$F356,'2023년 신조차 고장관리 세부현황'!$BC:$BC,"완료",'2023년 신조차 고장관리 세부현황'!$CY:$CY,"주변압기")</f>
        <v>0</v>
      </c>
      <c r="W356" s="85">
        <f ca="1">COUNTIFS('2023년 신조차 고장관리 세부현황'!$K:$K,"448R",'2023년 신조차 고장관리 세부현황'!$P:$P,"&gt;="&amp;'트랜드 분석_15일'!V$27,'2023년 신조차 고장관리 세부현황'!$P:$P,"&lt;"&amp;'트랜드 분석_15일'!W$27,'2023년 신조차 고장관리 세부현황'!$S:$S,'트랜드 분석_15일'!$F356,'2023년 신조차 고장관리 세부현황'!$BC:$BC,"완료",'2023년 신조차 고장관리 세부현황'!$CY:$CY,"주변압기")</f>
        <v>0</v>
      </c>
      <c r="X356"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분석_15일'!$F356,'2023년 신조차 고장관리 세부현황'!$BC:$BC,"완료",'2023년 신조차 고장관리 세부현황'!$CY:$CY,"주변압기")</f>
        <v>0</v>
      </c>
      <c r="Y356" s="85">
        <f ca="1">COUNTIFS('2023년 신조차 고장관리 세부현황'!$K:$K,"448R",'2023년 신조차 고장관리 세부현황'!$P:$P,"&gt;="&amp;'트랜드 분석_15일'!X$27,'2023년 신조차 고장관리 세부현황'!$P:$P,"&lt;"&amp;'트랜드 분석_15일'!Y$27,'2023년 신조차 고장관리 세부현황'!$S:$S,'트랜드 분석_15일'!$F356,'2023년 신조차 고장관리 세부현황'!$BC:$BC,"완료",'2023년 신조차 고장관리 세부현황'!$CY:$CY,"주변압기")</f>
        <v>0</v>
      </c>
      <c r="Z356" s="85">
        <f ca="1">COUNTIFS('2023년 신조차 고장관리 세부현황'!$K:$K,"448R",'2023년 신조차 고장관리 세부현황'!$P:$P,"&gt;="&amp;'트랜드 분석_15일'!Y$27,'2023년 신조차 고장관리 세부현황'!$P:$P,"&lt;"&amp;'트랜드 분석_15일'!Z$27,'2023년 신조차 고장관리 세부현황'!$S:$S,'트랜드 분석_15일'!$F356,'2023년 신조차 고장관리 세부현황'!$BC:$BC,"완료",'2023년 신조차 고장관리 세부현황'!$CY:$CY,"주변압기")</f>
        <v>0</v>
      </c>
      <c r="AA356"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분석_15일'!$F356,'2023년 신조차 고장관리 세부현황'!$BC:$BC,"완료",'2023년 신조차 고장관리 세부현황'!$CY:$CY,"주변압기")</f>
        <v>0</v>
      </c>
      <c r="AB356" s="85">
        <f ca="1">COUNTIFS('2023년 신조차 고장관리 세부현황'!$K:$K,"448R",'2023년 신조차 고장관리 세부현황'!$P:$P,"&gt;="&amp;'트랜드 분석_15일'!AA$27,'2023년 신조차 고장관리 세부현황'!$P:$P,"&lt;"&amp;'트랜드 분석_15일'!AB$27,'2023년 신조차 고장관리 세부현황'!$S:$S,'트랜드 분석_15일'!$F356,'2023년 신조차 고장관리 세부현황'!$BC:$BC,"완료",'2023년 신조차 고장관리 세부현황'!$CY:$CY,"주변압기")</f>
        <v>0</v>
      </c>
      <c r="AC356" s="85">
        <f ca="1">COUNTIFS('2023년 신조차 고장관리 세부현황'!$K:$K,"448R",'2023년 신조차 고장관리 세부현황'!$P:$P,"&gt;="&amp;'트랜드 분석_15일'!AB$27,'2023년 신조차 고장관리 세부현황'!$P:$P,"&lt;"&amp;'트랜드 분석_15일'!AC$27,'2023년 신조차 고장관리 세부현황'!$S:$S,'트랜드 분석_15일'!$F356,'2023년 신조차 고장관리 세부현황'!$BC:$BC,"완료",'2023년 신조차 고장관리 세부현황'!$CY:$CY,"주변압기")</f>
        <v>0</v>
      </c>
      <c r="AD356"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분석_15일'!$F356,'2023년 신조차 고장관리 세부현황'!$BC:$BC,"완료",'2023년 신조차 고장관리 세부현황'!$CY:$CY,"주변압기")</f>
        <v>0</v>
      </c>
      <c r="AE356" s="85">
        <f ca="1">COUNTIFS('2023년 신조차 고장관리 세부현황'!$K:$K,"448R",'2023년 신조차 고장관리 세부현황'!$P:$P,"&gt;="&amp;'트랜드 분석_15일'!AD$27,'2023년 신조차 고장관리 세부현황'!$P:$P,"&lt;"&amp;'트랜드 분석_15일'!AE$27,'2023년 신조차 고장관리 세부현황'!$S:$S,'트랜드 분석_15일'!$F356,'2023년 신조차 고장관리 세부현황'!$BC:$BC,"완료",'2023년 신조차 고장관리 세부현황'!$CY:$CY,"주변압기")</f>
        <v>0</v>
      </c>
      <c r="AF356" s="85">
        <f ca="1">COUNTIFS('2023년 신조차 고장관리 세부현황'!$K:$K,"448R",'2023년 신조차 고장관리 세부현황'!$P:$P,"&gt;="&amp;'트랜드 분석_15일'!AE$27,'2023년 신조차 고장관리 세부현황'!$P:$P,"&lt;"&amp;'트랜드 분석_15일'!AF$27,'2023년 신조차 고장관리 세부현황'!$S:$S,'트랜드 분석_15일'!$F356,'2023년 신조차 고장관리 세부현황'!$BC:$BC,"완료",'2023년 신조차 고장관리 세부현황'!$CY:$CY,"주변압기")</f>
        <v>0</v>
      </c>
      <c r="AG356"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분석_15일'!$F356,'2023년 신조차 고장관리 세부현황'!$BC:$BC,"완료",'2023년 신조차 고장관리 세부현황'!$CY:$CY,"주변압기")</f>
        <v>0</v>
      </c>
      <c r="AH356"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분석_15일'!$F356,'2023년 신조차 고장관리 세부현황'!$BC:$BC,"완료",'2023년 신조차 고장관리 세부현황'!$CY:$CY,"주변압기")</f>
        <v>0</v>
      </c>
      <c r="AI356"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분석_15일'!$F356,'2023년 신조차 고장관리 세부현황'!$BC:$BC,"완료",'2023년 신조차 고장관리 세부현황'!$CY:$CY,"주변압기")</f>
        <v>0</v>
      </c>
      <c r="AJ356"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분석_15일'!$F356,'2023년 신조차 고장관리 세부현황'!$BC:$BC,"완료",'2023년 신조차 고장관리 세부현황'!$CY:$CY,"주변압기")</f>
        <v>0</v>
      </c>
      <c r="AK356"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분석_15일'!$F356,'2023년 신조차 고장관리 세부현황'!$BC:$BC,"완료",'2023년 신조차 고장관리 세부현황'!$CY:$CY,"주변압기")</f>
        <v>0</v>
      </c>
      <c r="AL356"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분석_15일'!$F356,'2023년 신조차 고장관리 세부현황'!$BC:$BC,"완료",'2023년 신조차 고장관리 세부현황'!$CY:$CY,"주변압기")</f>
        <v>0</v>
      </c>
      <c r="AM356"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분석_15일'!$F356,'2023년 신조차 고장관리 세부현황'!$BC:$BC,"완료",'2023년 신조차 고장관리 세부현황'!$CY:$CY,"주변압기")</f>
        <v>0</v>
      </c>
      <c r="AN356"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분석_15일'!$F356,'2023년 신조차 고장관리 세부현황'!$BC:$BC,"완료",'2023년 신조차 고장관리 세부현황'!$CY:$CY,"주변압기")</f>
        <v>0</v>
      </c>
      <c r="AO356"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분석_15일'!$F356,'2023년 신조차 고장관리 세부현황'!$BC:$BC,"완료",'2023년 신조차 고장관리 세부현황'!$CY:$CY,"주변압기")</f>
        <v>0</v>
      </c>
      <c r="AP356"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분석_15일'!$F356,'2023년 신조차 고장관리 세부현황'!$BC:$BC,"완료",'2023년 신조차 고장관리 세부현황'!$CY:$CY,"주변압기")</f>
        <v>0</v>
      </c>
      <c r="AQ356"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분석_15일'!$F356,'2023년 신조차 고장관리 세부현황'!$BC:$BC,"완료",'2023년 신조차 고장관리 세부현황'!$CY:$CY,"주변압기")</f>
        <v>0</v>
      </c>
      <c r="AR356"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분석_15일'!$F356,'2023년 신조차 고장관리 세부현황'!$BC:$BC,"완료",'2023년 신조차 고장관리 세부현황'!$CY:$CY,"주변압기")</f>
        <v>0</v>
      </c>
      <c r="AS356"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분석_15일'!$F356,'2023년 신조차 고장관리 세부현황'!$BC:$BC,"완료",'2023년 신조차 고장관리 세부현황'!$CY:$CY,"주변압기")</f>
        <v>0</v>
      </c>
      <c r="AT356"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분석_15일'!$F356,'2023년 신조차 고장관리 세부현황'!$BC:$BC,"완료",'2023년 신조차 고장관리 세부현황'!$CY:$CY,"주변압기")</f>
        <v>0</v>
      </c>
      <c r="AU356"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분석_15일'!$F356,'2023년 신조차 고장관리 세부현황'!$BC:$BC,"완료",'2023년 신조차 고장관리 세부현황'!$CY:$CY,"주변압기")</f>
        <v>0</v>
      </c>
      <c r="AV356"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분석_15일'!$F356,'2023년 신조차 고장관리 세부현황'!$BC:$BC,"완료",'2023년 신조차 고장관리 세부현황'!$CY:$CY,"주변압기")</f>
        <v>0</v>
      </c>
      <c r="AW356"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분석_15일'!$F356,'2023년 신조차 고장관리 세부현황'!$BC:$BC,"완료",'2023년 신조차 고장관리 세부현황'!$CY:$CY,"주변압기")</f>
        <v>0</v>
      </c>
      <c r="AX356"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분석_15일'!$F356,'2023년 신조차 고장관리 세부현황'!$BC:$BC,"완료",'2023년 신조차 고장관리 세부현황'!$CY:$CY,"주변압기")</f>
        <v>0</v>
      </c>
      <c r="AY356"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분석_15일'!$F356,'2023년 신조차 고장관리 세부현황'!$BC:$BC,"완료",'2023년 신조차 고장관리 세부현황'!$CY:$CY,"주변압기")</f>
        <v>0</v>
      </c>
      <c r="AZ356"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분석_15일'!$F356,'2023년 신조차 고장관리 세부현황'!$BC:$BC,"완료",'2023년 신조차 고장관리 세부현황'!$CY:$CY,"주변압기")</f>
        <v>0</v>
      </c>
      <c r="BA356"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분석_15일'!$F356,'2023년 신조차 고장관리 세부현황'!$BC:$BC,"완료",'2023년 신조차 고장관리 세부현황'!$CY:$CY,"주변압기")</f>
        <v>0</v>
      </c>
      <c r="BB356"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분석_15일'!$F356,'2023년 신조차 고장관리 세부현황'!$BC:$BC,"완료",'2023년 신조차 고장관리 세부현황'!$CY:$CY,"주변압기")</f>
        <v>0</v>
      </c>
      <c r="BC356"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분석_15일'!$F356,'2023년 신조차 고장관리 세부현황'!$BC:$BC,"완료",'2023년 신조차 고장관리 세부현황'!$CY:$CY,"주변압기")</f>
        <v>0</v>
      </c>
      <c r="BD356"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분석_15일'!$F356,'2023년 신조차 고장관리 세부현황'!$BC:$BC,"완료",'2023년 신조차 고장관리 세부현황'!$CY:$CY,"주변압기")</f>
        <v>0</v>
      </c>
      <c r="BE356"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분석_15일'!$F356,'2023년 신조차 고장관리 세부현황'!$BC:$BC,"완료",'2023년 신조차 고장관리 세부현황'!$CY:$CY,"주변압기")</f>
        <v>0</v>
      </c>
      <c r="BF356"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분석_15일'!$F356,'2023년 신조차 고장관리 세부현황'!$BC:$BC,"완료",'2023년 신조차 고장관리 세부현황'!$CY:$CY,"주변압기")</f>
        <v>0</v>
      </c>
      <c r="BG356"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분석_15일'!$F356,'2023년 신조차 고장관리 세부현황'!$BC:$BC,"완료",'2023년 신조차 고장관리 세부현황'!$CY:$CY,"주변압기")</f>
        <v>0</v>
      </c>
      <c r="BH356"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분석_15일'!$F356,'2023년 신조차 고장관리 세부현황'!$BC:$BC,"완료",'2023년 신조차 고장관리 세부현황'!$CY:$CY,"주변압기")</f>
        <v>0</v>
      </c>
      <c r="BI356"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분석_15일'!$F356,'2023년 신조차 고장관리 세부현황'!$BC:$BC,"완료",'2023년 신조차 고장관리 세부현황'!$CY:$CY,"주변압기")</f>
        <v>0</v>
      </c>
      <c r="BJ356"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분석_15일'!$F356,'2023년 신조차 고장관리 세부현황'!$BC:$BC,"완료",'2023년 신조차 고장관리 세부현황'!$CY:$CY,"주변압기")</f>
        <v>0</v>
      </c>
      <c r="BK356"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분석_15일'!$F356,'2023년 신조차 고장관리 세부현황'!$BC:$BC,"완료",'2023년 신조차 고장관리 세부현황'!$CY:$CY,"주변압기")</f>
        <v>0</v>
      </c>
      <c r="BL356"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분석_15일'!$F356,'2023년 신조차 고장관리 세부현황'!$BC:$BC,"완료",'2023년 신조차 고장관리 세부현황'!$CY:$CY,"주변압기")</f>
        <v>0</v>
      </c>
      <c r="BM356"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분석_15일'!$F356,'2023년 신조차 고장관리 세부현황'!$BC:$BC,"완료",'2023년 신조차 고장관리 세부현황'!$CY:$CY,"주변압기")</f>
        <v>0</v>
      </c>
      <c r="BN356"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분석_15일'!$F356,'2023년 신조차 고장관리 세부현황'!$BC:$BC,"완료",'2023년 신조차 고장관리 세부현황'!$CY:$CY,"주변압기")</f>
        <v>0</v>
      </c>
      <c r="BO356"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분석_15일'!$F356,'2023년 신조차 고장관리 세부현황'!$BC:$BC,"완료",'2023년 신조차 고장관리 세부현황'!$CY:$CY,"주변압기")</f>
        <v>0</v>
      </c>
      <c r="BP356"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분석_15일'!$F356,'2023년 신조차 고장관리 세부현황'!$BC:$BC,"완료",'2023년 신조차 고장관리 세부현황'!$CY:$CY,"주변압기")</f>
        <v>0</v>
      </c>
      <c r="BQ356"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분석_15일'!$F356,'2023년 신조차 고장관리 세부현황'!$BC:$BC,"완료",'2023년 신조차 고장관리 세부현황'!$CY:$CY,"주변압기")</f>
        <v>0</v>
      </c>
      <c r="BR356"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분석_15일'!$F356,'2023년 신조차 고장관리 세부현황'!$BC:$BC,"완료",'2023년 신조차 고장관리 세부현황'!$CY:$CY,"주변압기")</f>
        <v>0</v>
      </c>
      <c r="BS356"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분석_15일'!$F356,'2023년 신조차 고장관리 세부현황'!$BC:$BC,"완료",'2023년 신조차 고장관리 세부현황'!$CY:$CY,"주변압기")</f>
        <v>0</v>
      </c>
      <c r="BT356"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분석_15일'!$F356,'2023년 신조차 고장관리 세부현황'!$BC:$BC,"완료",'2023년 신조차 고장관리 세부현황'!$CY:$CY,"주변압기")</f>
        <v>0</v>
      </c>
      <c r="BU356"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분석_15일'!$F356,'2023년 신조차 고장관리 세부현황'!$BC:$BC,"완료",'2023년 신조차 고장관리 세부현황'!$CY:$CY,"주변압기")</f>
        <v>0</v>
      </c>
      <c r="BV356"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분석_15일'!$F356,'2023년 신조차 고장관리 세부현황'!$BC:$BC,"완료",'2023년 신조차 고장관리 세부현황'!$CY:$CY,"주변압기")</f>
        <v>0</v>
      </c>
      <c r="BW356"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분석_15일'!$F356,'2023년 신조차 고장관리 세부현황'!$BC:$BC,"완료",'2023년 신조차 고장관리 세부현황'!$CY:$CY,"주변압기")</f>
        <v>0</v>
      </c>
      <c r="BX356"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분석_15일'!$F356,'2023년 신조차 고장관리 세부현황'!$BC:$BC,"완료",'2023년 신조차 고장관리 세부현황'!$CY:$CY,"주변압기")</f>
        <v>0</v>
      </c>
      <c r="BY356"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분석_15일'!$F356,'2023년 신조차 고장관리 세부현황'!$BC:$BC,"완료",'2023년 신조차 고장관리 세부현황'!$CY:$CY,"주변압기")</f>
        <v>0</v>
      </c>
      <c r="BZ356"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분석_15일'!$F356,'2023년 신조차 고장관리 세부현황'!$BC:$BC,"완료",'2023년 신조차 고장관리 세부현황'!$CY:$CY,"주변압기")</f>
        <v>0</v>
      </c>
      <c r="CA356"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분석_15일'!$F356,'2023년 신조차 고장관리 세부현황'!$BC:$BC,"완료",'2023년 신조차 고장관리 세부현황'!$CY:$CY,"주변압기")</f>
        <v>0</v>
      </c>
      <c r="CB356"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분석_15일'!$F356,'2023년 신조차 고장관리 세부현황'!$BC:$BC,"완료",'2023년 신조차 고장관리 세부현황'!$CY:$CY,"주변압기")</f>
        <v>0</v>
      </c>
      <c r="CC356"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분석_15일'!$F356,'2023년 신조차 고장관리 세부현황'!$BC:$BC,"완료",'2023년 신조차 고장관리 세부현황'!$CY:$CY,"주변압기")</f>
        <v>0</v>
      </c>
      <c r="CD356"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분석_15일'!$F356,'2023년 신조차 고장관리 세부현황'!$BC:$BC,"완료",'2023년 신조차 고장관리 세부현황'!$CY:$CY,"주변압기")</f>
        <v>0</v>
      </c>
      <c r="CE356"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분석_15일'!$F356,'2023년 신조차 고장관리 세부현황'!$BC:$BC,"완료",'2023년 신조차 고장관리 세부현황'!$CY:$CY,"주변압기")</f>
        <v>0</v>
      </c>
      <c r="CF356"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분석_15일'!$F356,'2023년 신조차 고장관리 세부현황'!$BC:$BC,"완료",'2023년 신조차 고장관리 세부현황'!$CY:$CY,"주변압기")</f>
        <v>0</v>
      </c>
      <c r="CG356"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분석_15일'!$F356,'2023년 신조차 고장관리 세부현황'!$BC:$BC,"완료",'2023년 신조차 고장관리 세부현황'!$CY:$CY,"주변압기")</f>
        <v>0</v>
      </c>
      <c r="CH356"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분석_15일'!$F356,'2023년 신조차 고장관리 세부현황'!$BC:$BC,"완료",'2023년 신조차 고장관리 세부현황'!$CY:$CY,"주변압기")</f>
        <v>0</v>
      </c>
      <c r="CI356"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분석_15일'!$F356,'2023년 신조차 고장관리 세부현황'!$BC:$BC,"완료",'2023년 신조차 고장관리 세부현황'!$CY:$CY,"주변압기")</f>
        <v>0</v>
      </c>
      <c r="CJ356"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분석_15일'!$F356,'2023년 신조차 고장관리 세부현황'!$BC:$BC,"완료",'2023년 신조차 고장관리 세부현황'!$CY:$CY,"주변압기")</f>
        <v>0</v>
      </c>
      <c r="CK356"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분석_15일'!$F356,'2023년 신조차 고장관리 세부현황'!$BC:$BC,"완료",'2023년 신조차 고장관리 세부현황'!$CY:$CY,"주변압기")</f>
        <v>0</v>
      </c>
      <c r="CL356"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분석_15일'!$F356,'2023년 신조차 고장관리 세부현황'!$BC:$BC,"완료",'2023년 신조차 고장관리 세부현황'!$CY:$CY,"주변압기")</f>
        <v>0</v>
      </c>
      <c r="CM356"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분석_15일'!$F356,'2023년 신조차 고장관리 세부현황'!$BC:$BC,"완료",'2023년 신조차 고장관리 세부현황'!$CY:$CY,"주변압기")</f>
        <v>0</v>
      </c>
      <c r="CN356"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분석_15일'!$F356,'2023년 신조차 고장관리 세부현황'!$BC:$BC,"완료",'2023년 신조차 고장관리 세부현황'!$CY:$CY,"주변압기")</f>
        <v>0</v>
      </c>
      <c r="CO356"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분석_15일'!$F356,'2023년 신조차 고장관리 세부현황'!$BC:$BC,"완료",'2023년 신조차 고장관리 세부현황'!$CY:$CY,"주변압기")</f>
        <v>0</v>
      </c>
      <c r="CP356"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분석_15일'!$F356,'2023년 신조차 고장관리 세부현황'!$BC:$BC,"완료",'2023년 신조차 고장관리 세부현황'!$CY:$CY,"주변압기")</f>
        <v>0</v>
      </c>
      <c r="CQ356"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분석_15일'!$F356,'2023년 신조차 고장관리 세부현황'!$BC:$BC,"완료",'2023년 신조차 고장관리 세부현황'!$CY:$CY,"주변압기")</f>
        <v>0</v>
      </c>
      <c r="CR356"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분석_15일'!$F356,'2023년 신조차 고장관리 세부현황'!$BC:$BC,"완료",'2023년 신조차 고장관리 세부현황'!$CY:$CY,"주변압기")</f>
        <v>0</v>
      </c>
      <c r="CS356"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분석_15일'!$F356,'2023년 신조차 고장관리 세부현황'!$BC:$BC,"완료",'2023년 신조차 고장관리 세부현황'!$CY:$CY,"주변압기")</f>
        <v>0</v>
      </c>
      <c r="CT356"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분석_15일'!$F356,'2023년 신조차 고장관리 세부현황'!$BC:$BC,"완료",'2023년 신조차 고장관리 세부현황'!$CY:$CY,"주변압기")</f>
        <v>0</v>
      </c>
      <c r="CU356"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분석_15일'!$F356,'2023년 신조차 고장관리 세부현황'!$BC:$BC,"완료",'2023년 신조차 고장관리 세부현황'!$CY:$CY,"주변압기")</f>
        <v>0</v>
      </c>
      <c r="CV356"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분석_15일'!$F356,'2023년 신조차 고장관리 세부현황'!$BC:$BC,"완료",'2023년 신조차 고장관리 세부현황'!$CY:$CY,"주변압기")</f>
        <v>0</v>
      </c>
      <c r="CW356"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분석_15일'!$F356,'2023년 신조차 고장관리 세부현황'!$BC:$BC,"완료",'2023년 신조차 고장관리 세부현황'!$CY:$CY,"주변압기")</f>
        <v>0</v>
      </c>
      <c r="CX356">
        <f ca="1">SUM(G356:CW356)</f>
        <v>0</v>
      </c>
    </row>
    <row r="357" spans="6:103" x14ac:dyDescent="0.4">
      <c r="F357" s="85" t="s">
        <v>243</v>
      </c>
      <c r="G357" s="85">
        <f>G355+G356</f>
        <v>0</v>
      </c>
      <c r="H357" s="85">
        <f t="shared" ref="H357" si="342">H355+H356</f>
        <v>0</v>
      </c>
      <c r="I357" s="85">
        <f t="shared" ref="I357:BT357" si="343">I355+I356</f>
        <v>0</v>
      </c>
      <c r="J357" s="85">
        <f t="shared" si="343"/>
        <v>0</v>
      </c>
      <c r="K357" s="85">
        <f t="shared" si="343"/>
        <v>0</v>
      </c>
      <c r="L357" s="85">
        <f t="shared" si="343"/>
        <v>0</v>
      </c>
      <c r="M357" s="85">
        <f t="shared" si="343"/>
        <v>0</v>
      </c>
      <c r="N357" s="85">
        <f t="shared" si="343"/>
        <v>0</v>
      </c>
      <c r="O357" s="85">
        <f t="shared" si="343"/>
        <v>0</v>
      </c>
      <c r="P357" s="85">
        <f t="shared" ca="1" si="343"/>
        <v>0</v>
      </c>
      <c r="Q357" s="85">
        <f t="shared" si="343"/>
        <v>0</v>
      </c>
      <c r="R357" s="85">
        <f t="shared" ca="1" si="343"/>
        <v>0</v>
      </c>
      <c r="S357" s="85">
        <f t="shared" ca="1" si="343"/>
        <v>0</v>
      </c>
      <c r="T357" s="85">
        <f t="shared" si="343"/>
        <v>0</v>
      </c>
      <c r="U357" s="85">
        <f t="shared" si="343"/>
        <v>0</v>
      </c>
      <c r="V357" s="85">
        <f t="shared" si="343"/>
        <v>0</v>
      </c>
      <c r="W357" s="85">
        <f t="shared" ca="1" si="343"/>
        <v>0</v>
      </c>
      <c r="X357" s="85">
        <f t="shared" si="343"/>
        <v>0</v>
      </c>
      <c r="Y357" s="85">
        <f t="shared" ca="1" si="343"/>
        <v>0</v>
      </c>
      <c r="Z357" s="85">
        <f t="shared" ca="1" si="343"/>
        <v>0</v>
      </c>
      <c r="AA357" s="85">
        <f t="shared" si="343"/>
        <v>0</v>
      </c>
      <c r="AB357" s="85">
        <f t="shared" ca="1" si="343"/>
        <v>0</v>
      </c>
      <c r="AC357" s="85">
        <f t="shared" ca="1" si="343"/>
        <v>0</v>
      </c>
      <c r="AD357" s="85">
        <f t="shared" si="343"/>
        <v>0</v>
      </c>
      <c r="AE357" s="85">
        <f t="shared" ca="1" si="343"/>
        <v>0</v>
      </c>
      <c r="AF357" s="85">
        <f t="shared" ca="1" si="343"/>
        <v>0</v>
      </c>
      <c r="AG357" s="85">
        <f t="shared" si="343"/>
        <v>0</v>
      </c>
      <c r="AH357" s="85">
        <f t="shared" si="343"/>
        <v>0</v>
      </c>
      <c r="AI357" s="85">
        <f t="shared" si="343"/>
        <v>0</v>
      </c>
      <c r="AJ357" s="85">
        <f t="shared" si="343"/>
        <v>0</v>
      </c>
      <c r="AK357" s="85">
        <f t="shared" si="343"/>
        <v>0</v>
      </c>
      <c r="AL357" s="85">
        <f t="shared" si="343"/>
        <v>0</v>
      </c>
      <c r="AM357" s="85">
        <f t="shared" si="343"/>
        <v>0</v>
      </c>
      <c r="AN357" s="85">
        <f t="shared" si="343"/>
        <v>0</v>
      </c>
      <c r="AO357" s="85">
        <f t="shared" si="343"/>
        <v>0</v>
      </c>
      <c r="AP357" s="85">
        <f t="shared" si="343"/>
        <v>0</v>
      </c>
      <c r="AQ357" s="85">
        <f t="shared" si="343"/>
        <v>0</v>
      </c>
      <c r="AR357" s="85">
        <f t="shared" si="343"/>
        <v>0</v>
      </c>
      <c r="AS357" s="85">
        <f t="shared" si="343"/>
        <v>0</v>
      </c>
      <c r="AT357" s="85">
        <f t="shared" si="343"/>
        <v>0</v>
      </c>
      <c r="AU357" s="85">
        <f t="shared" si="343"/>
        <v>0</v>
      </c>
      <c r="AV357" s="85">
        <f t="shared" si="343"/>
        <v>0</v>
      </c>
      <c r="AW357" s="85">
        <f t="shared" si="343"/>
        <v>0</v>
      </c>
      <c r="AX357" s="85">
        <f t="shared" si="343"/>
        <v>0</v>
      </c>
      <c r="AY357" s="85">
        <f t="shared" si="343"/>
        <v>0</v>
      </c>
      <c r="AZ357" s="85">
        <f t="shared" si="343"/>
        <v>0</v>
      </c>
      <c r="BA357" s="85">
        <f t="shared" si="343"/>
        <v>0</v>
      </c>
      <c r="BB357" s="85">
        <f t="shared" si="343"/>
        <v>0</v>
      </c>
      <c r="BC357" s="85">
        <f t="shared" si="343"/>
        <v>0</v>
      </c>
      <c r="BD357" s="85">
        <f t="shared" si="343"/>
        <v>0</v>
      </c>
      <c r="BE357" s="85">
        <f t="shared" si="343"/>
        <v>0</v>
      </c>
      <c r="BF357" s="85">
        <f t="shared" si="343"/>
        <v>0</v>
      </c>
      <c r="BG357" s="85">
        <f t="shared" si="343"/>
        <v>0</v>
      </c>
      <c r="BH357" s="85">
        <f t="shared" si="343"/>
        <v>0</v>
      </c>
      <c r="BI357" s="85">
        <f t="shared" si="343"/>
        <v>0</v>
      </c>
      <c r="BJ357" s="85">
        <f t="shared" si="343"/>
        <v>0</v>
      </c>
      <c r="BK357" s="85">
        <f t="shared" si="343"/>
        <v>0</v>
      </c>
      <c r="BL357" s="85">
        <f t="shared" si="343"/>
        <v>0</v>
      </c>
      <c r="BM357" s="85">
        <f t="shared" si="343"/>
        <v>0</v>
      </c>
      <c r="BN357" s="85">
        <f t="shared" si="343"/>
        <v>0</v>
      </c>
      <c r="BO357" s="85">
        <f t="shared" si="343"/>
        <v>0</v>
      </c>
      <c r="BP357" s="85">
        <f t="shared" si="343"/>
        <v>0</v>
      </c>
      <c r="BQ357" s="85">
        <f t="shared" si="343"/>
        <v>0</v>
      </c>
      <c r="BR357" s="85">
        <f t="shared" si="343"/>
        <v>0</v>
      </c>
      <c r="BS357" s="85">
        <f t="shared" si="343"/>
        <v>0</v>
      </c>
      <c r="BT357" s="85">
        <f t="shared" si="343"/>
        <v>0</v>
      </c>
      <c r="BU357" s="85">
        <f t="shared" ref="BU357:CW357" si="344">BU355+BU356</f>
        <v>0</v>
      </c>
      <c r="BV357" s="85">
        <f t="shared" si="344"/>
        <v>0</v>
      </c>
      <c r="BW357" s="85">
        <f t="shared" si="344"/>
        <v>0</v>
      </c>
      <c r="BX357" s="85">
        <f t="shared" si="344"/>
        <v>0</v>
      </c>
      <c r="BY357" s="85">
        <f t="shared" si="344"/>
        <v>0</v>
      </c>
      <c r="BZ357" s="85">
        <f t="shared" si="344"/>
        <v>0</v>
      </c>
      <c r="CA357" s="85">
        <f t="shared" si="344"/>
        <v>0</v>
      </c>
      <c r="CB357" s="85">
        <f t="shared" si="344"/>
        <v>0</v>
      </c>
      <c r="CC357" s="85">
        <f t="shared" si="344"/>
        <v>0</v>
      </c>
      <c r="CD357" s="85">
        <f t="shared" si="344"/>
        <v>0</v>
      </c>
      <c r="CE357" s="85">
        <f t="shared" si="344"/>
        <v>0</v>
      </c>
      <c r="CF357" s="85">
        <f t="shared" si="344"/>
        <v>0</v>
      </c>
      <c r="CG357" s="85">
        <f t="shared" si="344"/>
        <v>0</v>
      </c>
      <c r="CH357" s="85">
        <f t="shared" si="344"/>
        <v>0</v>
      </c>
      <c r="CI357" s="85">
        <f t="shared" si="344"/>
        <v>0</v>
      </c>
      <c r="CJ357" s="85">
        <f t="shared" si="344"/>
        <v>0</v>
      </c>
      <c r="CK357" s="85">
        <f t="shared" si="344"/>
        <v>0</v>
      </c>
      <c r="CL357" s="85">
        <f t="shared" si="344"/>
        <v>0</v>
      </c>
      <c r="CM357" s="85">
        <f t="shared" si="344"/>
        <v>0</v>
      </c>
      <c r="CN357" s="85">
        <f t="shared" si="344"/>
        <v>0</v>
      </c>
      <c r="CO357" s="85">
        <f t="shared" si="344"/>
        <v>0</v>
      </c>
      <c r="CP357" s="85">
        <f t="shared" si="344"/>
        <v>0</v>
      </c>
      <c r="CQ357" s="85">
        <f t="shared" si="344"/>
        <v>0</v>
      </c>
      <c r="CR357" s="85">
        <f t="shared" si="344"/>
        <v>0</v>
      </c>
      <c r="CS357" s="85">
        <f t="shared" si="344"/>
        <v>0</v>
      </c>
      <c r="CT357" s="85">
        <f t="shared" si="344"/>
        <v>0</v>
      </c>
      <c r="CU357" s="85">
        <f t="shared" si="344"/>
        <v>0</v>
      </c>
      <c r="CV357" s="85">
        <f t="shared" si="344"/>
        <v>0</v>
      </c>
      <c r="CW357" s="85">
        <f t="shared" si="344"/>
        <v>0</v>
      </c>
      <c r="CX357">
        <f ca="1">SUM(G357:CW357)</f>
        <v>0</v>
      </c>
    </row>
    <row r="358" spans="6:103" x14ac:dyDescent="0.4">
      <c r="F358" s="86" t="s">
        <v>222</v>
      </c>
      <c r="G358" s="85">
        <f>COUNTIFS('2023년 신조차 고장관리 세부현황'!$K:$K,"448R",'2023년 신조차 고장관리 세부현황'!$P:$P,"&gt;="&amp;$G$26,'2023년 신조차 고장관리 세부현황'!$P:$P,"&lt;"&amp;'트랜드 분석_15일'!G$27,'2023년 신조차 고장관리 세부현황'!$S:$S,'트랜드 분석_15일'!$F358,'2023년 신조차 고장관리 세부현황'!$BC:$BC,"완료",'2023년 신조차 고장관리 세부현황'!$CY:$CY,"주변압기")</f>
        <v>0</v>
      </c>
      <c r="H358"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분석_15일'!$F358,'2023년 신조차 고장관리 세부현황'!$BC:$BC,"완료",'2023년 신조차 고장관리 세부현황'!$CY:$CY,"주변압기")</f>
        <v>0</v>
      </c>
      <c r="I358"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분석_15일'!$F358,'2023년 신조차 고장관리 세부현황'!$BC:$BC,"완료",'2023년 신조차 고장관리 세부현황'!$CY:$CY,"주변압기")</f>
        <v>0</v>
      </c>
      <c r="J358"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분석_15일'!$F358,'2023년 신조차 고장관리 세부현황'!$BC:$BC,"완료",'2023년 신조차 고장관리 세부현황'!$CY:$CY,"주변압기")</f>
        <v>0</v>
      </c>
      <c r="K358"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분석_15일'!$F358,'2023년 신조차 고장관리 세부현황'!$BC:$BC,"완료",'2023년 신조차 고장관리 세부현황'!$CY:$CY,"주변압기")</f>
        <v>0</v>
      </c>
      <c r="L358"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분석_15일'!$F358,'2023년 신조차 고장관리 세부현황'!$BC:$BC,"완료",'2023년 신조차 고장관리 세부현황'!$CY:$CY,"주변압기")</f>
        <v>0</v>
      </c>
      <c r="M358"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분석_15일'!$F358,'2023년 신조차 고장관리 세부현황'!$BC:$BC,"완료",'2023년 신조차 고장관리 세부현황'!$CY:$CY,"주변압기")</f>
        <v>0</v>
      </c>
      <c r="N358"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분석_15일'!$F358,'2023년 신조차 고장관리 세부현황'!$BC:$BC,"완료",'2023년 신조차 고장관리 세부현황'!$CY:$CY,"주변압기")</f>
        <v>0</v>
      </c>
      <c r="O358"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분석_15일'!$F358,'2023년 신조차 고장관리 세부현황'!$BC:$BC,"완료",'2023년 신조차 고장관리 세부현황'!$CY:$CY,"주변압기")</f>
        <v>0</v>
      </c>
      <c r="P358"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분석_15일'!$F358,'2023년 신조차 고장관리 세부현황'!$BC:$BC,"완료",'2023년 신조차 고장관리 세부현황'!$CY:$CY,"주변압기")</f>
        <v>0</v>
      </c>
      <c r="Q358"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분석_15일'!$F358,'2023년 신조차 고장관리 세부현황'!$BC:$BC,"완료",'2023년 신조차 고장관리 세부현황'!$CY:$CY,"주변압기")</f>
        <v>0</v>
      </c>
      <c r="R358"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분석_15일'!$F358,'2023년 신조차 고장관리 세부현황'!$BC:$BC,"완료",'2023년 신조차 고장관리 세부현황'!$CY:$CY,"주변압기")</f>
        <v>0</v>
      </c>
      <c r="S358"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분석_15일'!$F358,'2023년 신조차 고장관리 세부현황'!$BC:$BC,"완료",'2023년 신조차 고장관리 세부현황'!$CY:$CY,"주변압기")</f>
        <v>0</v>
      </c>
      <c r="T358"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분석_15일'!$F358,'2023년 신조차 고장관리 세부현황'!$BC:$BC,"완료",'2023년 신조차 고장관리 세부현황'!$CY:$CY,"주변압기")</f>
        <v>0</v>
      </c>
      <c r="U358"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분석_15일'!$F358,'2023년 신조차 고장관리 세부현황'!$BC:$BC,"완료",'2023년 신조차 고장관리 세부현황'!$CY:$CY,"주변압기")</f>
        <v>0</v>
      </c>
      <c r="V358"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분석_15일'!$F358,'2023년 신조차 고장관리 세부현황'!$BC:$BC,"완료",'2023년 신조차 고장관리 세부현황'!$CY:$CY,"주변압기")</f>
        <v>0</v>
      </c>
      <c r="W358"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분석_15일'!$F358,'2023년 신조차 고장관리 세부현황'!$BC:$BC,"완료",'2023년 신조차 고장관리 세부현황'!$CY:$CY,"주변압기")</f>
        <v>0</v>
      </c>
      <c r="X358"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분석_15일'!$F358,'2023년 신조차 고장관리 세부현황'!$BC:$BC,"완료",'2023년 신조차 고장관리 세부현황'!$CY:$CY,"주변압기")</f>
        <v>0</v>
      </c>
      <c r="Y358"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분석_15일'!$F358,'2023년 신조차 고장관리 세부현황'!$BC:$BC,"완료",'2023년 신조차 고장관리 세부현황'!$CY:$CY,"주변압기")</f>
        <v>0</v>
      </c>
      <c r="Z358"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분석_15일'!$F358,'2023년 신조차 고장관리 세부현황'!$BC:$BC,"완료",'2023년 신조차 고장관리 세부현황'!$CY:$CY,"주변압기")</f>
        <v>0</v>
      </c>
      <c r="AA358"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분석_15일'!$F358,'2023년 신조차 고장관리 세부현황'!$BC:$BC,"완료",'2023년 신조차 고장관리 세부현황'!$CY:$CY,"주변압기")</f>
        <v>0</v>
      </c>
      <c r="AB358"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분석_15일'!$F358,'2023년 신조차 고장관리 세부현황'!$BC:$BC,"완료",'2023년 신조차 고장관리 세부현황'!$CY:$CY,"주변압기")</f>
        <v>0</v>
      </c>
      <c r="AC358"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분석_15일'!$F358,'2023년 신조차 고장관리 세부현황'!$BC:$BC,"완료",'2023년 신조차 고장관리 세부현황'!$CY:$CY,"주변압기")</f>
        <v>0</v>
      </c>
      <c r="AD358"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분석_15일'!$F358,'2023년 신조차 고장관리 세부현황'!$BC:$BC,"완료",'2023년 신조차 고장관리 세부현황'!$CY:$CY,"주변압기")</f>
        <v>0</v>
      </c>
      <c r="AE358"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분석_15일'!$F358,'2023년 신조차 고장관리 세부현황'!$BC:$BC,"완료",'2023년 신조차 고장관리 세부현황'!$CY:$CY,"주변압기")</f>
        <v>0</v>
      </c>
      <c r="AF358"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분석_15일'!$F358,'2023년 신조차 고장관리 세부현황'!$BC:$BC,"완료",'2023년 신조차 고장관리 세부현황'!$CY:$CY,"주변압기")</f>
        <v>0</v>
      </c>
      <c r="AG358"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분석_15일'!$F358,'2023년 신조차 고장관리 세부현황'!$BC:$BC,"완료",'2023년 신조차 고장관리 세부현황'!$CY:$CY,"주변압기")</f>
        <v>0</v>
      </c>
      <c r="AH358"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분석_15일'!$F358,'2023년 신조차 고장관리 세부현황'!$BC:$BC,"완료",'2023년 신조차 고장관리 세부현황'!$CY:$CY,"주변압기")</f>
        <v>0</v>
      </c>
      <c r="AI358"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분석_15일'!$F358,'2023년 신조차 고장관리 세부현황'!$BC:$BC,"완료",'2023년 신조차 고장관리 세부현황'!$CY:$CY,"주변압기")</f>
        <v>0</v>
      </c>
      <c r="AJ358"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분석_15일'!$F358,'2023년 신조차 고장관리 세부현황'!$BC:$BC,"완료",'2023년 신조차 고장관리 세부현황'!$CY:$CY,"주변압기")</f>
        <v>0</v>
      </c>
      <c r="AK358"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분석_15일'!$F358,'2023년 신조차 고장관리 세부현황'!$BC:$BC,"완료",'2023년 신조차 고장관리 세부현황'!$CY:$CY,"주변압기")</f>
        <v>0</v>
      </c>
      <c r="AL358"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분석_15일'!$F358,'2023년 신조차 고장관리 세부현황'!$BC:$BC,"완료",'2023년 신조차 고장관리 세부현황'!$CY:$CY,"주변압기")</f>
        <v>0</v>
      </c>
      <c r="AM358"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분석_15일'!$F358,'2023년 신조차 고장관리 세부현황'!$BC:$BC,"완료",'2023년 신조차 고장관리 세부현황'!$CY:$CY,"주변압기")</f>
        <v>0</v>
      </c>
      <c r="AN358"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분석_15일'!$F358,'2023년 신조차 고장관리 세부현황'!$BC:$BC,"완료",'2023년 신조차 고장관리 세부현황'!$CY:$CY,"주변압기")</f>
        <v>0</v>
      </c>
      <c r="AO358"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분석_15일'!$F358,'2023년 신조차 고장관리 세부현황'!$BC:$BC,"완료",'2023년 신조차 고장관리 세부현황'!$CY:$CY,"주변압기")</f>
        <v>0</v>
      </c>
      <c r="AP358"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분석_15일'!$F358,'2023년 신조차 고장관리 세부현황'!$BC:$BC,"완료",'2023년 신조차 고장관리 세부현황'!$CY:$CY,"주변압기")</f>
        <v>0</v>
      </c>
      <c r="AQ358"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분석_15일'!$F358,'2023년 신조차 고장관리 세부현황'!$BC:$BC,"완료",'2023년 신조차 고장관리 세부현황'!$CY:$CY,"주변압기")</f>
        <v>0</v>
      </c>
      <c r="AR358"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분석_15일'!$F358,'2023년 신조차 고장관리 세부현황'!$BC:$BC,"완료",'2023년 신조차 고장관리 세부현황'!$CY:$CY,"주변압기")</f>
        <v>0</v>
      </c>
      <c r="AS358"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분석_15일'!$F358,'2023년 신조차 고장관리 세부현황'!$BC:$BC,"완료",'2023년 신조차 고장관리 세부현황'!$CY:$CY,"주변압기")</f>
        <v>0</v>
      </c>
      <c r="AT358"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분석_15일'!$F358,'2023년 신조차 고장관리 세부현황'!$BC:$BC,"완료",'2023년 신조차 고장관리 세부현황'!$CY:$CY,"주변압기")</f>
        <v>0</v>
      </c>
      <c r="AU358"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분석_15일'!$F358,'2023년 신조차 고장관리 세부현황'!$BC:$BC,"완료",'2023년 신조차 고장관리 세부현황'!$CY:$CY,"주변압기")</f>
        <v>0</v>
      </c>
      <c r="AV358"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분석_15일'!$F358,'2023년 신조차 고장관리 세부현황'!$BC:$BC,"완료",'2023년 신조차 고장관리 세부현황'!$CY:$CY,"주변압기")</f>
        <v>0</v>
      </c>
      <c r="AW358"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분석_15일'!$F358,'2023년 신조차 고장관리 세부현황'!$BC:$BC,"완료",'2023년 신조차 고장관리 세부현황'!$CY:$CY,"주변압기")</f>
        <v>0</v>
      </c>
      <c r="AX358"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분석_15일'!$F358,'2023년 신조차 고장관리 세부현황'!$BC:$BC,"완료",'2023년 신조차 고장관리 세부현황'!$CY:$CY,"주변압기")</f>
        <v>0</v>
      </c>
      <c r="AY358"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분석_15일'!$F358,'2023년 신조차 고장관리 세부현황'!$BC:$BC,"완료",'2023년 신조차 고장관리 세부현황'!$CY:$CY,"주변압기")</f>
        <v>0</v>
      </c>
      <c r="AZ358"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분석_15일'!$F358,'2023년 신조차 고장관리 세부현황'!$BC:$BC,"완료",'2023년 신조차 고장관리 세부현황'!$CY:$CY,"주변압기")</f>
        <v>0</v>
      </c>
      <c r="BA358"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분석_15일'!$F358,'2023년 신조차 고장관리 세부현황'!$BC:$BC,"완료",'2023년 신조차 고장관리 세부현황'!$CY:$CY,"주변압기")</f>
        <v>0</v>
      </c>
      <c r="BB358"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분석_15일'!$F358,'2023년 신조차 고장관리 세부현황'!$BC:$BC,"완료",'2023년 신조차 고장관리 세부현황'!$CY:$CY,"주변압기")</f>
        <v>0</v>
      </c>
      <c r="BC358"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분석_15일'!$F358,'2023년 신조차 고장관리 세부현황'!$BC:$BC,"완료",'2023년 신조차 고장관리 세부현황'!$CY:$CY,"주변압기")</f>
        <v>0</v>
      </c>
      <c r="BD358"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분석_15일'!$F358,'2023년 신조차 고장관리 세부현황'!$BC:$BC,"완료",'2023년 신조차 고장관리 세부현황'!$CY:$CY,"주변압기")</f>
        <v>0</v>
      </c>
      <c r="BE358"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분석_15일'!$F358,'2023년 신조차 고장관리 세부현황'!$BC:$BC,"완료",'2023년 신조차 고장관리 세부현황'!$CY:$CY,"주변압기")</f>
        <v>0</v>
      </c>
      <c r="BF358"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분석_15일'!$F358,'2023년 신조차 고장관리 세부현황'!$BC:$BC,"완료",'2023년 신조차 고장관리 세부현황'!$CY:$CY,"주변압기")</f>
        <v>0</v>
      </c>
      <c r="BG358"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분석_15일'!$F358,'2023년 신조차 고장관리 세부현황'!$BC:$BC,"완료",'2023년 신조차 고장관리 세부현황'!$CY:$CY,"주변압기")</f>
        <v>0</v>
      </c>
      <c r="BH358"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분석_15일'!$F358,'2023년 신조차 고장관리 세부현황'!$BC:$BC,"완료",'2023년 신조차 고장관리 세부현황'!$CY:$CY,"주변압기")</f>
        <v>0</v>
      </c>
      <c r="BI358"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분석_15일'!$F358,'2023년 신조차 고장관리 세부현황'!$BC:$BC,"완료",'2023년 신조차 고장관리 세부현황'!$CY:$CY,"주변압기")</f>
        <v>0</v>
      </c>
      <c r="BJ358"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분석_15일'!$F358,'2023년 신조차 고장관리 세부현황'!$BC:$BC,"완료",'2023년 신조차 고장관리 세부현황'!$CY:$CY,"주변압기")</f>
        <v>0</v>
      </c>
      <c r="BK358"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분석_15일'!$F358,'2023년 신조차 고장관리 세부현황'!$BC:$BC,"완료",'2023년 신조차 고장관리 세부현황'!$CY:$CY,"주변압기")</f>
        <v>0</v>
      </c>
      <c r="BL358"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분석_15일'!$F358,'2023년 신조차 고장관리 세부현황'!$BC:$BC,"완료",'2023년 신조차 고장관리 세부현황'!$CY:$CY,"주변압기")</f>
        <v>0</v>
      </c>
      <c r="BM358"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분석_15일'!$F358,'2023년 신조차 고장관리 세부현황'!$BC:$BC,"완료",'2023년 신조차 고장관리 세부현황'!$CY:$CY,"주변압기")</f>
        <v>0</v>
      </c>
      <c r="BN358"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분석_15일'!$F358,'2023년 신조차 고장관리 세부현황'!$BC:$BC,"완료",'2023년 신조차 고장관리 세부현황'!$CY:$CY,"주변압기")</f>
        <v>0</v>
      </c>
      <c r="BO358"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분석_15일'!$F358,'2023년 신조차 고장관리 세부현황'!$BC:$BC,"완료",'2023년 신조차 고장관리 세부현황'!$CY:$CY,"주변압기")</f>
        <v>0</v>
      </c>
      <c r="BP358"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분석_15일'!$F358,'2023년 신조차 고장관리 세부현황'!$BC:$BC,"완료",'2023년 신조차 고장관리 세부현황'!$CY:$CY,"주변압기")</f>
        <v>0</v>
      </c>
      <c r="BQ358"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분석_15일'!$F358,'2023년 신조차 고장관리 세부현황'!$BC:$BC,"완료",'2023년 신조차 고장관리 세부현황'!$CY:$CY,"주변압기")</f>
        <v>0</v>
      </c>
      <c r="BR358"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분석_15일'!$F358,'2023년 신조차 고장관리 세부현황'!$BC:$BC,"완료",'2023년 신조차 고장관리 세부현황'!$CY:$CY,"주변압기")</f>
        <v>0</v>
      </c>
      <c r="BS358"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분석_15일'!$F358,'2023년 신조차 고장관리 세부현황'!$BC:$BC,"완료",'2023년 신조차 고장관리 세부현황'!$CY:$CY,"주변압기")</f>
        <v>0</v>
      </c>
      <c r="BT358"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분석_15일'!$F358,'2023년 신조차 고장관리 세부현황'!$BC:$BC,"완료",'2023년 신조차 고장관리 세부현황'!$CY:$CY,"주변압기")</f>
        <v>0</v>
      </c>
      <c r="BU358"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분석_15일'!$F358,'2023년 신조차 고장관리 세부현황'!$BC:$BC,"완료",'2023년 신조차 고장관리 세부현황'!$CY:$CY,"주변압기")</f>
        <v>0</v>
      </c>
      <c r="BV358"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분석_15일'!$F358,'2023년 신조차 고장관리 세부현황'!$BC:$BC,"완료",'2023년 신조차 고장관리 세부현황'!$CY:$CY,"주변압기")</f>
        <v>0</v>
      </c>
      <c r="BW358"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분석_15일'!$F358,'2023년 신조차 고장관리 세부현황'!$BC:$BC,"완료",'2023년 신조차 고장관리 세부현황'!$CY:$CY,"주변압기")</f>
        <v>0</v>
      </c>
      <c r="BX358"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분석_15일'!$F358,'2023년 신조차 고장관리 세부현황'!$BC:$BC,"완료",'2023년 신조차 고장관리 세부현황'!$CY:$CY,"주변압기")</f>
        <v>0</v>
      </c>
      <c r="BY358"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분석_15일'!$F358,'2023년 신조차 고장관리 세부현황'!$BC:$BC,"완료",'2023년 신조차 고장관리 세부현황'!$CY:$CY,"주변압기")</f>
        <v>0</v>
      </c>
      <c r="BZ358"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분석_15일'!$F358,'2023년 신조차 고장관리 세부현황'!$BC:$BC,"완료",'2023년 신조차 고장관리 세부현황'!$CY:$CY,"주변압기")</f>
        <v>0</v>
      </c>
      <c r="CA358"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분석_15일'!$F358,'2023년 신조차 고장관리 세부현황'!$BC:$BC,"완료",'2023년 신조차 고장관리 세부현황'!$CY:$CY,"주변압기")</f>
        <v>0</v>
      </c>
      <c r="CB358"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분석_15일'!$F358,'2023년 신조차 고장관리 세부현황'!$BC:$BC,"완료",'2023년 신조차 고장관리 세부현황'!$CY:$CY,"주변압기")</f>
        <v>0</v>
      </c>
      <c r="CC358"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분석_15일'!$F358,'2023년 신조차 고장관리 세부현황'!$BC:$BC,"완료",'2023년 신조차 고장관리 세부현황'!$CY:$CY,"주변압기")</f>
        <v>0</v>
      </c>
      <c r="CD358"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분석_15일'!$F358,'2023년 신조차 고장관리 세부현황'!$BC:$BC,"완료",'2023년 신조차 고장관리 세부현황'!$CY:$CY,"주변압기")</f>
        <v>0</v>
      </c>
      <c r="CE358"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분석_15일'!$F358,'2023년 신조차 고장관리 세부현황'!$BC:$BC,"완료",'2023년 신조차 고장관리 세부현황'!$CY:$CY,"주변압기")</f>
        <v>0</v>
      </c>
      <c r="CF358"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분석_15일'!$F358,'2023년 신조차 고장관리 세부현황'!$BC:$BC,"완료",'2023년 신조차 고장관리 세부현황'!$CY:$CY,"주변압기")</f>
        <v>0</v>
      </c>
      <c r="CG358"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분석_15일'!$F358,'2023년 신조차 고장관리 세부현황'!$BC:$BC,"완료",'2023년 신조차 고장관리 세부현황'!$CY:$CY,"주변압기")</f>
        <v>0</v>
      </c>
      <c r="CH358"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분석_15일'!$F358,'2023년 신조차 고장관리 세부현황'!$BC:$BC,"완료",'2023년 신조차 고장관리 세부현황'!$CY:$CY,"주변압기")</f>
        <v>0</v>
      </c>
      <c r="CI358"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분석_15일'!$F358,'2023년 신조차 고장관리 세부현황'!$BC:$BC,"완료",'2023년 신조차 고장관리 세부현황'!$CY:$CY,"주변압기")</f>
        <v>0</v>
      </c>
      <c r="CJ358"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분석_15일'!$F358,'2023년 신조차 고장관리 세부현황'!$BC:$BC,"완료",'2023년 신조차 고장관리 세부현황'!$CY:$CY,"주변압기")</f>
        <v>0</v>
      </c>
      <c r="CK358"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분석_15일'!$F358,'2023년 신조차 고장관리 세부현황'!$BC:$BC,"완료",'2023년 신조차 고장관리 세부현황'!$CY:$CY,"주변압기")</f>
        <v>0</v>
      </c>
      <c r="CL358"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분석_15일'!$F358,'2023년 신조차 고장관리 세부현황'!$BC:$BC,"완료",'2023년 신조차 고장관리 세부현황'!$CY:$CY,"주변압기")</f>
        <v>0</v>
      </c>
      <c r="CM358"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분석_15일'!$F358,'2023년 신조차 고장관리 세부현황'!$BC:$BC,"완료",'2023년 신조차 고장관리 세부현황'!$CY:$CY,"주변압기")</f>
        <v>0</v>
      </c>
      <c r="CN358"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분석_15일'!$F358,'2023년 신조차 고장관리 세부현황'!$BC:$BC,"완료",'2023년 신조차 고장관리 세부현황'!$CY:$CY,"주변압기")</f>
        <v>0</v>
      </c>
      <c r="CO358"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분석_15일'!$F358,'2023년 신조차 고장관리 세부현황'!$BC:$BC,"완료",'2023년 신조차 고장관리 세부현황'!$CY:$CY,"주변압기")</f>
        <v>0</v>
      </c>
      <c r="CP358"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분석_15일'!$F358,'2023년 신조차 고장관리 세부현황'!$BC:$BC,"완료",'2023년 신조차 고장관리 세부현황'!$CY:$CY,"주변압기")</f>
        <v>0</v>
      </c>
      <c r="CQ358"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분석_15일'!$F358,'2023년 신조차 고장관리 세부현황'!$BC:$BC,"완료",'2023년 신조차 고장관리 세부현황'!$CY:$CY,"주변압기")</f>
        <v>0</v>
      </c>
      <c r="CR358"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분석_15일'!$F358,'2023년 신조차 고장관리 세부현황'!$BC:$BC,"완료",'2023년 신조차 고장관리 세부현황'!$CY:$CY,"주변압기")</f>
        <v>0</v>
      </c>
      <c r="CS358"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분석_15일'!$F358,'2023년 신조차 고장관리 세부현황'!$BC:$BC,"완료",'2023년 신조차 고장관리 세부현황'!$CY:$CY,"주변압기")</f>
        <v>0</v>
      </c>
      <c r="CT358"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분석_15일'!$F358,'2023년 신조차 고장관리 세부현황'!$BC:$BC,"완료",'2023년 신조차 고장관리 세부현황'!$CY:$CY,"주변압기")</f>
        <v>0</v>
      </c>
      <c r="CU358"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분석_15일'!$F358,'2023년 신조차 고장관리 세부현황'!$BC:$BC,"완료",'2023년 신조차 고장관리 세부현황'!$CY:$CY,"주변압기")</f>
        <v>0</v>
      </c>
      <c r="CV358"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분석_15일'!$F358,'2023년 신조차 고장관리 세부현황'!$BC:$BC,"완료",'2023년 신조차 고장관리 세부현황'!$CY:$CY,"주변압기")</f>
        <v>0</v>
      </c>
      <c r="CW358"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분석_15일'!$F358,'2023년 신조차 고장관리 세부현황'!$BC:$BC,"완료",'2023년 신조차 고장관리 세부현황'!$CY:$CY,"주변압기")</f>
        <v>0</v>
      </c>
      <c r="CX358">
        <f>SUM(G358:CW358)</f>
        <v>0</v>
      </c>
    </row>
    <row r="361" spans="6:103" x14ac:dyDescent="0.4">
      <c r="F361" t="s">
        <v>400</v>
      </c>
      <c r="CS361" t="s">
        <v>402</v>
      </c>
    </row>
    <row r="362" spans="6:103" x14ac:dyDescent="0.4">
      <c r="F362" s="85" t="s">
        <v>242</v>
      </c>
      <c r="G362" s="85">
        <v>1</v>
      </c>
      <c r="H362" s="85">
        <v>2</v>
      </c>
      <c r="I362" s="85">
        <v>3</v>
      </c>
      <c r="J362" s="85">
        <v>4</v>
      </c>
      <c r="K362" s="85">
        <v>5</v>
      </c>
      <c r="L362" s="85">
        <v>6</v>
      </c>
      <c r="M362" s="85">
        <v>7</v>
      </c>
      <c r="N362" s="85">
        <v>8</v>
      </c>
      <c r="O362" s="85">
        <v>9</v>
      </c>
      <c r="P362" s="85">
        <v>10</v>
      </c>
      <c r="Q362" s="85">
        <v>11</v>
      </c>
      <c r="R362" s="85">
        <v>12</v>
      </c>
      <c r="S362" s="85">
        <v>13</v>
      </c>
      <c r="T362" s="85">
        <v>14</v>
      </c>
      <c r="U362" s="85">
        <v>15</v>
      </c>
      <c r="V362" s="85">
        <v>16</v>
      </c>
      <c r="W362" s="85">
        <v>17</v>
      </c>
      <c r="X362" s="85">
        <v>18</v>
      </c>
      <c r="Y362" s="85">
        <v>19</v>
      </c>
      <c r="Z362" s="85">
        <v>20</v>
      </c>
      <c r="AA362" s="85">
        <v>21</v>
      </c>
      <c r="AB362" s="85">
        <v>22</v>
      </c>
      <c r="AC362" s="85">
        <v>23</v>
      </c>
      <c r="AD362" s="85">
        <v>24</v>
      </c>
      <c r="AE362" s="85">
        <v>25</v>
      </c>
      <c r="AF362" s="85">
        <v>26</v>
      </c>
      <c r="AG362" s="85">
        <v>27</v>
      </c>
      <c r="AH362" s="85">
        <v>28</v>
      </c>
      <c r="AI362" s="85">
        <v>29</v>
      </c>
      <c r="AJ362" s="85">
        <v>30</v>
      </c>
      <c r="AK362" s="85">
        <v>31</v>
      </c>
      <c r="AL362" s="85">
        <v>32</v>
      </c>
      <c r="AM362" s="85">
        <v>33</v>
      </c>
      <c r="AN362" s="85">
        <v>34</v>
      </c>
      <c r="AO362" s="85">
        <v>35</v>
      </c>
      <c r="AP362" s="85">
        <v>36</v>
      </c>
      <c r="AQ362" s="85">
        <v>37</v>
      </c>
      <c r="AR362" s="85">
        <v>38</v>
      </c>
      <c r="AS362" s="85">
        <v>39</v>
      </c>
      <c r="AT362" s="85">
        <v>40</v>
      </c>
      <c r="AU362" s="85">
        <v>41</v>
      </c>
      <c r="AV362" s="85">
        <v>42</v>
      </c>
      <c r="AW362" s="85">
        <v>43</v>
      </c>
      <c r="AX362" s="85">
        <v>44</v>
      </c>
      <c r="AY362" s="85">
        <v>45</v>
      </c>
      <c r="AZ362" s="85">
        <v>46</v>
      </c>
      <c r="BA362" s="85">
        <v>47</v>
      </c>
      <c r="BB362" s="85">
        <v>48</v>
      </c>
      <c r="BC362" s="85">
        <v>49</v>
      </c>
      <c r="BD362" s="85">
        <v>50</v>
      </c>
      <c r="BE362" s="85">
        <v>51</v>
      </c>
      <c r="BF362" s="85">
        <v>52</v>
      </c>
      <c r="BG362" s="85">
        <v>53</v>
      </c>
      <c r="BH362" s="85">
        <v>54</v>
      </c>
      <c r="BI362" s="85">
        <v>55</v>
      </c>
      <c r="BJ362" s="85">
        <v>56</v>
      </c>
      <c r="BK362" s="85">
        <v>57</v>
      </c>
      <c r="BL362" s="85">
        <v>58</v>
      </c>
      <c r="BM362" s="85">
        <v>59</v>
      </c>
      <c r="BN362" s="85">
        <v>60</v>
      </c>
      <c r="BO362" s="85">
        <v>61</v>
      </c>
      <c r="BP362" s="85">
        <v>62</v>
      </c>
      <c r="BQ362" s="85">
        <v>63</v>
      </c>
      <c r="BR362" s="85">
        <v>64</v>
      </c>
      <c r="BS362" s="85">
        <v>65</v>
      </c>
      <c r="BT362" s="85">
        <v>66</v>
      </c>
      <c r="BU362" s="85">
        <v>67</v>
      </c>
      <c r="BV362" s="85">
        <v>68</v>
      </c>
      <c r="BW362" s="85">
        <v>69</v>
      </c>
      <c r="BX362" s="85">
        <v>70</v>
      </c>
      <c r="BY362" s="85">
        <v>71</v>
      </c>
      <c r="BZ362" s="85">
        <v>72</v>
      </c>
      <c r="CA362" s="85">
        <v>73</v>
      </c>
      <c r="CB362" s="85">
        <v>74</v>
      </c>
      <c r="CC362" s="85">
        <v>75</v>
      </c>
      <c r="CD362" s="85">
        <v>76</v>
      </c>
      <c r="CE362" s="85">
        <v>77</v>
      </c>
      <c r="CF362" s="85">
        <v>78</v>
      </c>
      <c r="CG362" s="85">
        <v>79</v>
      </c>
      <c r="CH362" s="85">
        <v>80</v>
      </c>
      <c r="CI362" s="85">
        <v>81</v>
      </c>
      <c r="CJ362" s="85">
        <v>82</v>
      </c>
      <c r="CK362" s="85">
        <v>83</v>
      </c>
      <c r="CL362" s="85">
        <v>84</v>
      </c>
      <c r="CM362" s="85">
        <v>85</v>
      </c>
      <c r="CN362" s="85">
        <v>86</v>
      </c>
      <c r="CO362" s="85">
        <v>87</v>
      </c>
      <c r="CP362" s="85">
        <v>88</v>
      </c>
      <c r="CQ362" s="85">
        <v>89</v>
      </c>
      <c r="CR362" s="85">
        <v>90</v>
      </c>
      <c r="CS362" s="85">
        <v>91</v>
      </c>
      <c r="CT362" s="85">
        <v>92</v>
      </c>
      <c r="CU362" s="85">
        <v>93</v>
      </c>
      <c r="CV362" s="85">
        <v>94</v>
      </c>
      <c r="CW362" s="85">
        <v>95</v>
      </c>
    </row>
    <row r="363" spans="6:103" x14ac:dyDescent="0.4">
      <c r="F363" s="85" t="s">
        <v>239</v>
      </c>
      <c r="G363" s="139">
        <f>15*G362</f>
        <v>15</v>
      </c>
      <c r="H363" s="139">
        <f t="shared" ref="H363:BS363" si="345">15*H362</f>
        <v>30</v>
      </c>
      <c r="I363" s="139">
        <f t="shared" si="345"/>
        <v>45</v>
      </c>
      <c r="J363" s="139">
        <f t="shared" si="345"/>
        <v>60</v>
      </c>
      <c r="K363" s="139">
        <f t="shared" si="345"/>
        <v>75</v>
      </c>
      <c r="L363" s="139">
        <f t="shared" si="345"/>
        <v>90</v>
      </c>
      <c r="M363" s="139">
        <f t="shared" si="345"/>
        <v>105</v>
      </c>
      <c r="N363" s="139">
        <f t="shared" si="345"/>
        <v>120</v>
      </c>
      <c r="O363" s="139">
        <f t="shared" si="345"/>
        <v>135</v>
      </c>
      <c r="P363" s="139">
        <f t="shared" si="345"/>
        <v>150</v>
      </c>
      <c r="Q363" s="139">
        <f t="shared" si="345"/>
        <v>165</v>
      </c>
      <c r="R363" s="139">
        <f t="shared" si="345"/>
        <v>180</v>
      </c>
      <c r="S363" s="139">
        <f t="shared" si="345"/>
        <v>195</v>
      </c>
      <c r="T363" s="139">
        <f t="shared" si="345"/>
        <v>210</v>
      </c>
      <c r="U363" s="139">
        <f t="shared" si="345"/>
        <v>225</v>
      </c>
      <c r="V363" s="139">
        <f t="shared" si="345"/>
        <v>240</v>
      </c>
      <c r="W363" s="139">
        <f t="shared" si="345"/>
        <v>255</v>
      </c>
      <c r="X363" s="139">
        <f t="shared" si="345"/>
        <v>270</v>
      </c>
      <c r="Y363" s="139">
        <f t="shared" si="345"/>
        <v>285</v>
      </c>
      <c r="Z363" s="139">
        <f t="shared" si="345"/>
        <v>300</v>
      </c>
      <c r="AA363" s="139">
        <f t="shared" si="345"/>
        <v>315</v>
      </c>
      <c r="AB363" s="139">
        <f t="shared" si="345"/>
        <v>330</v>
      </c>
      <c r="AC363" s="139">
        <f t="shared" si="345"/>
        <v>345</v>
      </c>
      <c r="AD363" s="139">
        <f t="shared" si="345"/>
        <v>360</v>
      </c>
      <c r="AE363" s="139">
        <f t="shared" si="345"/>
        <v>375</v>
      </c>
      <c r="AF363" s="139">
        <f t="shared" si="345"/>
        <v>390</v>
      </c>
      <c r="AG363" s="139">
        <f t="shared" si="345"/>
        <v>405</v>
      </c>
      <c r="AH363" s="139">
        <f t="shared" si="345"/>
        <v>420</v>
      </c>
      <c r="AI363" s="139">
        <f t="shared" si="345"/>
        <v>435</v>
      </c>
      <c r="AJ363" s="139">
        <f t="shared" si="345"/>
        <v>450</v>
      </c>
      <c r="AK363" s="139">
        <f t="shared" si="345"/>
        <v>465</v>
      </c>
      <c r="AL363" s="139">
        <f t="shared" si="345"/>
        <v>480</v>
      </c>
      <c r="AM363" s="139">
        <f t="shared" si="345"/>
        <v>495</v>
      </c>
      <c r="AN363" s="139">
        <f t="shared" si="345"/>
        <v>510</v>
      </c>
      <c r="AO363" s="139">
        <f t="shared" si="345"/>
        <v>525</v>
      </c>
      <c r="AP363" s="139">
        <f t="shared" si="345"/>
        <v>540</v>
      </c>
      <c r="AQ363" s="139">
        <f t="shared" si="345"/>
        <v>555</v>
      </c>
      <c r="AR363" s="139">
        <f t="shared" si="345"/>
        <v>570</v>
      </c>
      <c r="AS363" s="139">
        <f t="shared" si="345"/>
        <v>585</v>
      </c>
      <c r="AT363" s="139">
        <f t="shared" si="345"/>
        <v>600</v>
      </c>
      <c r="AU363" s="139">
        <f t="shared" si="345"/>
        <v>615</v>
      </c>
      <c r="AV363" s="139">
        <f t="shared" si="345"/>
        <v>630</v>
      </c>
      <c r="AW363" s="139">
        <f t="shared" si="345"/>
        <v>645</v>
      </c>
      <c r="AX363" s="139">
        <f t="shared" si="345"/>
        <v>660</v>
      </c>
      <c r="AY363" s="139">
        <f t="shared" si="345"/>
        <v>675</v>
      </c>
      <c r="AZ363" s="139">
        <f t="shared" si="345"/>
        <v>690</v>
      </c>
      <c r="BA363" s="139">
        <f t="shared" si="345"/>
        <v>705</v>
      </c>
      <c r="BB363" s="139">
        <f t="shared" si="345"/>
        <v>720</v>
      </c>
      <c r="BC363" s="139">
        <f t="shared" si="345"/>
        <v>735</v>
      </c>
      <c r="BD363" s="139">
        <f t="shared" si="345"/>
        <v>750</v>
      </c>
      <c r="BE363" s="139">
        <f t="shared" si="345"/>
        <v>765</v>
      </c>
      <c r="BF363" s="139">
        <f t="shared" si="345"/>
        <v>780</v>
      </c>
      <c r="BG363" s="139">
        <f t="shared" si="345"/>
        <v>795</v>
      </c>
      <c r="BH363" s="139">
        <f t="shared" si="345"/>
        <v>810</v>
      </c>
      <c r="BI363" s="139">
        <f t="shared" si="345"/>
        <v>825</v>
      </c>
      <c r="BJ363" s="139">
        <f t="shared" si="345"/>
        <v>840</v>
      </c>
      <c r="BK363" s="139">
        <f t="shared" si="345"/>
        <v>855</v>
      </c>
      <c r="BL363" s="139">
        <f t="shared" si="345"/>
        <v>870</v>
      </c>
      <c r="BM363" s="139">
        <f t="shared" si="345"/>
        <v>885</v>
      </c>
      <c r="BN363" s="139">
        <f t="shared" si="345"/>
        <v>900</v>
      </c>
      <c r="BO363" s="139">
        <f t="shared" si="345"/>
        <v>915</v>
      </c>
      <c r="BP363" s="139">
        <f t="shared" si="345"/>
        <v>930</v>
      </c>
      <c r="BQ363" s="139">
        <f t="shared" si="345"/>
        <v>945</v>
      </c>
      <c r="BR363" s="139">
        <f t="shared" si="345"/>
        <v>960</v>
      </c>
      <c r="BS363" s="139">
        <f t="shared" si="345"/>
        <v>975</v>
      </c>
      <c r="BT363" s="139">
        <f t="shared" ref="BT363:CW363" si="346">15*BT362</f>
        <v>990</v>
      </c>
      <c r="BU363" s="139">
        <f t="shared" si="346"/>
        <v>1005</v>
      </c>
      <c r="BV363" s="139">
        <f t="shared" si="346"/>
        <v>1020</v>
      </c>
      <c r="BW363" s="139">
        <f t="shared" si="346"/>
        <v>1035</v>
      </c>
      <c r="BX363" s="139">
        <f t="shared" si="346"/>
        <v>1050</v>
      </c>
      <c r="BY363" s="139">
        <f t="shared" si="346"/>
        <v>1065</v>
      </c>
      <c r="BZ363" s="139">
        <f t="shared" si="346"/>
        <v>1080</v>
      </c>
      <c r="CA363" s="139">
        <f t="shared" si="346"/>
        <v>1095</v>
      </c>
      <c r="CB363" s="139">
        <f t="shared" si="346"/>
        <v>1110</v>
      </c>
      <c r="CC363" s="139">
        <f t="shared" si="346"/>
        <v>1125</v>
      </c>
      <c r="CD363" s="139">
        <f t="shared" si="346"/>
        <v>1140</v>
      </c>
      <c r="CE363" s="139">
        <f t="shared" si="346"/>
        <v>1155</v>
      </c>
      <c r="CF363" s="139">
        <f t="shared" si="346"/>
        <v>1170</v>
      </c>
      <c r="CG363" s="139">
        <f t="shared" si="346"/>
        <v>1185</v>
      </c>
      <c r="CH363" s="139">
        <f t="shared" si="346"/>
        <v>1200</v>
      </c>
      <c r="CI363" s="139">
        <f t="shared" si="346"/>
        <v>1215</v>
      </c>
      <c r="CJ363" s="139">
        <f t="shared" si="346"/>
        <v>1230</v>
      </c>
      <c r="CK363" s="139">
        <f t="shared" si="346"/>
        <v>1245</v>
      </c>
      <c r="CL363" s="139">
        <f t="shared" si="346"/>
        <v>1260</v>
      </c>
      <c r="CM363" s="139">
        <f t="shared" si="346"/>
        <v>1275</v>
      </c>
      <c r="CN363" s="139">
        <f t="shared" si="346"/>
        <v>1290</v>
      </c>
      <c r="CO363" s="139">
        <f t="shared" si="346"/>
        <v>1305</v>
      </c>
      <c r="CP363" s="139">
        <f t="shared" si="346"/>
        <v>1320</v>
      </c>
      <c r="CQ363" s="139">
        <f t="shared" si="346"/>
        <v>1335</v>
      </c>
      <c r="CR363" s="139">
        <f t="shared" si="346"/>
        <v>1350</v>
      </c>
      <c r="CS363" s="139">
        <f t="shared" si="346"/>
        <v>1365</v>
      </c>
      <c r="CT363" s="139">
        <f t="shared" si="346"/>
        <v>1380</v>
      </c>
      <c r="CU363" s="139">
        <f t="shared" si="346"/>
        <v>1395</v>
      </c>
      <c r="CV363" s="139">
        <f t="shared" si="346"/>
        <v>1410</v>
      </c>
      <c r="CW363" s="139">
        <f t="shared" si="346"/>
        <v>1425</v>
      </c>
    </row>
    <row r="364" spans="6:103" x14ac:dyDescent="0.4">
      <c r="F364" s="85" t="s">
        <v>154</v>
      </c>
      <c r="G364" s="85">
        <f>COUNTIFS('2023년 신조차 고장관리 세부현황'!$K:$K,"128R",'2023년 신조차 고장관리 세부현황'!$P:$P,"&gt;="&amp;G362,'2023년 신조차 고장관리 세부현황'!$P:$P,"&lt;"&amp;'트랜드 분석_15일'!G363,'2023년 신조차 고장관리 세부현황'!$BC:$BC,"완료",'2023년 신조차 고장관리 세부현황'!$CY:$CY,"SIV")</f>
        <v>0</v>
      </c>
      <c r="H364" s="85">
        <f>COUNTIFS('2023년 신조차 고장관리 세부현황'!$K:$K,"128R",'2023년 신조차 고장관리 세부현황'!$P:$P,"&gt;="&amp;'트랜드 분석_15일'!G$18,'2023년 신조차 고장관리 세부현황'!$P:$P,"&lt;"&amp;'트랜드 분석_15일'!H$18,'2023년 신조차 고장관리 세부현황'!$BC:$BC,"완료",'2023년 신조차 고장관리 세부현황'!$CY:$CY,"SIV")</f>
        <v>0</v>
      </c>
      <c r="I364" s="85">
        <f>COUNTIFS('2023년 신조차 고장관리 세부현황'!$K:$K,"128R",'2023년 신조차 고장관리 세부현황'!$P:$P,"&gt;="&amp;'트랜드 분석_15일'!H$18,'2023년 신조차 고장관리 세부현황'!$P:$P,"&lt;"&amp;'트랜드 분석_15일'!I$18,'2023년 신조차 고장관리 세부현황'!$BC:$BC,"완료",'2023년 신조차 고장관리 세부현황'!$CY:$CY,"SIV")</f>
        <v>0</v>
      </c>
      <c r="J364" s="85">
        <f>COUNTIFS('2023년 신조차 고장관리 세부현황'!$K:$K,"128R",'2023년 신조차 고장관리 세부현황'!$P:$P,"&gt;="&amp;'트랜드 분석_15일'!I$18,'2023년 신조차 고장관리 세부현황'!$P:$P,"&lt;"&amp;'트랜드 분석_15일'!J$18,'2023년 신조차 고장관리 세부현황'!$BC:$BC,"완료",'2023년 신조차 고장관리 세부현황'!$CY:$CY,"SIV")</f>
        <v>0</v>
      </c>
      <c r="K364" s="85">
        <f>COUNTIFS('2023년 신조차 고장관리 세부현황'!$K:$K,"128R",'2023년 신조차 고장관리 세부현황'!$P:$P,"&gt;="&amp;'트랜드 분석_15일'!J$18,'2023년 신조차 고장관리 세부현황'!$P:$P,"&lt;"&amp;'트랜드 분석_15일'!K$18,'2023년 신조차 고장관리 세부현황'!$BC:$BC,"완료",'2023년 신조차 고장관리 세부현황'!$CY:$CY,"SIV")</f>
        <v>0</v>
      </c>
      <c r="L364" s="85">
        <f>COUNTIFS('2023년 신조차 고장관리 세부현황'!$K:$K,"128R",'2023년 신조차 고장관리 세부현황'!$P:$P,"&gt;="&amp;'트랜드 분석_15일'!K$18,'2023년 신조차 고장관리 세부현황'!$P:$P,"&lt;"&amp;'트랜드 분석_15일'!L$18,'2023년 신조차 고장관리 세부현황'!$BC:$BC,"완료",'2023년 신조차 고장관리 세부현황'!$CY:$CY,"SIV")</f>
        <v>0</v>
      </c>
      <c r="M364" s="85">
        <f>COUNTIFS('2023년 신조차 고장관리 세부현황'!$K:$K,"128R",'2023년 신조차 고장관리 세부현황'!$P:$P,"&gt;="&amp;'트랜드 분석_15일'!L$18,'2023년 신조차 고장관리 세부현황'!$P:$P,"&lt;"&amp;'트랜드 분석_15일'!M$18,'2023년 신조차 고장관리 세부현황'!$BC:$BC,"완료",'2023년 신조차 고장관리 세부현황'!$CY:$CY,"SIV")</f>
        <v>0</v>
      </c>
      <c r="N364" s="85">
        <f>COUNTIFS('2023년 신조차 고장관리 세부현황'!$K:$K,"128R",'2023년 신조차 고장관리 세부현황'!$P:$P,"&gt;="&amp;'트랜드 분석_15일'!M$18,'2023년 신조차 고장관리 세부현황'!$P:$P,"&lt;"&amp;'트랜드 분석_15일'!N$18,'2023년 신조차 고장관리 세부현황'!$BC:$BC,"완료",'2023년 신조차 고장관리 세부현황'!$CY:$CY,"SIV")</f>
        <v>0</v>
      </c>
      <c r="O364" s="85">
        <f>COUNTIFS('2023년 신조차 고장관리 세부현황'!$K:$K,"128R",'2023년 신조차 고장관리 세부현황'!$P:$P,"&gt;="&amp;'트랜드 분석_15일'!N$18,'2023년 신조차 고장관리 세부현황'!$P:$P,"&lt;"&amp;'트랜드 분석_15일'!O$18,'2023년 신조차 고장관리 세부현황'!$BC:$BC,"완료",'2023년 신조차 고장관리 세부현황'!$CY:$CY,"SIV")</f>
        <v>0</v>
      </c>
      <c r="P364" s="85">
        <f>COUNTIFS('2023년 신조차 고장관리 세부현황'!$K:$K,"128R",'2023년 신조차 고장관리 세부현황'!$P:$P,"&gt;="&amp;'트랜드 분석_15일'!O$18,'2023년 신조차 고장관리 세부현황'!$P:$P,"&lt;"&amp;'트랜드 분석_15일'!P$18,'2023년 신조차 고장관리 세부현황'!$BC:$BC,"완료",'2023년 신조차 고장관리 세부현황'!$CY:$CY,"SIV")</f>
        <v>0</v>
      </c>
      <c r="Q364" s="85">
        <f>COUNTIFS('2023년 신조차 고장관리 세부현황'!$K:$K,"128R",'2023년 신조차 고장관리 세부현황'!$P:$P,"&gt;="&amp;'트랜드 분석_15일'!P$18,'2023년 신조차 고장관리 세부현황'!$P:$P,"&lt;"&amp;'트랜드 분석_15일'!Q$18,'2023년 신조차 고장관리 세부현황'!$BC:$BC,"완료",'2023년 신조차 고장관리 세부현황'!$CY:$CY,"SIV")</f>
        <v>0</v>
      </c>
      <c r="R364" s="85">
        <f>COUNTIFS('2023년 신조차 고장관리 세부현황'!$K:$K,"128R",'2023년 신조차 고장관리 세부현황'!$P:$P,"&gt;="&amp;'트랜드 분석_15일'!Q$18,'2023년 신조차 고장관리 세부현황'!$P:$P,"&lt;"&amp;'트랜드 분석_15일'!R$18,'2023년 신조차 고장관리 세부현황'!$BC:$BC,"완료",'2023년 신조차 고장관리 세부현황'!$CY:$CY,"SIV")</f>
        <v>0</v>
      </c>
      <c r="S364" s="85">
        <f>COUNTIFS('2023년 신조차 고장관리 세부현황'!$K:$K,"128R",'2023년 신조차 고장관리 세부현황'!$P:$P,"&gt;="&amp;'트랜드 분석_15일'!R$18,'2023년 신조차 고장관리 세부현황'!$P:$P,"&lt;"&amp;'트랜드 분석_15일'!S$18,'2023년 신조차 고장관리 세부현황'!$BC:$BC,"완료",'2023년 신조차 고장관리 세부현황'!$CY:$CY,"SIV")</f>
        <v>0</v>
      </c>
      <c r="T364" s="85">
        <f>COUNTIFS('2023년 신조차 고장관리 세부현황'!$K:$K,"128R",'2023년 신조차 고장관리 세부현황'!$P:$P,"&gt;="&amp;'트랜드 분석_15일'!S$18,'2023년 신조차 고장관리 세부현황'!$P:$P,"&lt;"&amp;'트랜드 분석_15일'!T$18,'2023년 신조차 고장관리 세부현황'!$BC:$BC,"완료",'2023년 신조차 고장관리 세부현황'!$CY:$CY,"SIV")</f>
        <v>0</v>
      </c>
      <c r="U364" s="85">
        <f>COUNTIFS('2023년 신조차 고장관리 세부현황'!$K:$K,"128R",'2023년 신조차 고장관리 세부현황'!$P:$P,"&gt;="&amp;'트랜드 분석_15일'!T$18,'2023년 신조차 고장관리 세부현황'!$P:$P,"&lt;"&amp;'트랜드 분석_15일'!U$18,'2023년 신조차 고장관리 세부현황'!$BC:$BC,"완료",'2023년 신조차 고장관리 세부현황'!$CY:$CY,"SIV")</f>
        <v>0</v>
      </c>
      <c r="V364" s="85">
        <f>COUNTIFS('2023년 신조차 고장관리 세부현황'!$K:$K,"128R",'2023년 신조차 고장관리 세부현황'!$P:$P,"&gt;="&amp;'트랜드 분석_15일'!U$18,'2023년 신조차 고장관리 세부현황'!$P:$P,"&lt;"&amp;'트랜드 분석_15일'!V$18,'2023년 신조차 고장관리 세부현황'!$BC:$BC,"완료",'2023년 신조차 고장관리 세부현황'!$CY:$CY,"SIV")</f>
        <v>0</v>
      </c>
      <c r="W364" s="85">
        <f>COUNTIFS('2023년 신조차 고장관리 세부현황'!$K:$K,"128R",'2023년 신조차 고장관리 세부현황'!$P:$P,"&gt;="&amp;'트랜드 분석_15일'!V$18,'2023년 신조차 고장관리 세부현황'!$P:$P,"&lt;"&amp;'트랜드 분석_15일'!W$18,'2023년 신조차 고장관리 세부현황'!$BC:$BC,"완료",'2023년 신조차 고장관리 세부현황'!$CY:$CY,"SIV")</f>
        <v>0</v>
      </c>
      <c r="X364" s="85">
        <f>COUNTIFS('2023년 신조차 고장관리 세부현황'!$K:$K,"128R",'2023년 신조차 고장관리 세부현황'!$P:$P,"&gt;="&amp;'트랜드 분석_15일'!W$18,'2023년 신조차 고장관리 세부현황'!$P:$P,"&lt;"&amp;'트랜드 분석_15일'!X$18,'2023년 신조차 고장관리 세부현황'!$BC:$BC,"완료",'2023년 신조차 고장관리 세부현황'!$CY:$CY,"SIV")</f>
        <v>0</v>
      </c>
      <c r="Y364" s="85">
        <f>COUNTIFS('2023년 신조차 고장관리 세부현황'!$K:$K,"128R",'2023년 신조차 고장관리 세부현황'!$P:$P,"&gt;="&amp;'트랜드 분석_15일'!X$18,'2023년 신조차 고장관리 세부현황'!$P:$P,"&lt;"&amp;'트랜드 분석_15일'!Y$18,'2023년 신조차 고장관리 세부현황'!$BC:$BC,"완료",'2023년 신조차 고장관리 세부현황'!$CY:$CY,"SIV")</f>
        <v>0</v>
      </c>
      <c r="Z364" s="85">
        <f>COUNTIFS('2023년 신조차 고장관리 세부현황'!$K:$K,"128R",'2023년 신조차 고장관리 세부현황'!$P:$P,"&gt;="&amp;'트랜드 분석_15일'!Y$18,'2023년 신조차 고장관리 세부현황'!$P:$P,"&lt;"&amp;'트랜드 분석_15일'!Z$18,'2023년 신조차 고장관리 세부현황'!$BC:$BC,"완료",'2023년 신조차 고장관리 세부현황'!$CY:$CY,"SIV")</f>
        <v>0</v>
      </c>
      <c r="AA364" s="85">
        <f>COUNTIFS('2023년 신조차 고장관리 세부현황'!$K:$K,"128R",'2023년 신조차 고장관리 세부현황'!$P:$P,"&gt;="&amp;'트랜드 분석_15일'!Z$18,'2023년 신조차 고장관리 세부현황'!$P:$P,"&lt;"&amp;'트랜드 분석_15일'!AA$18,'2023년 신조차 고장관리 세부현황'!$BC:$BC,"완료",'2023년 신조차 고장관리 세부현황'!$CY:$CY,"SIV")</f>
        <v>0</v>
      </c>
      <c r="AB364" s="85">
        <f>COUNTIFS('2023년 신조차 고장관리 세부현황'!$K:$K,"128R",'2023년 신조차 고장관리 세부현황'!$P:$P,"&gt;="&amp;'트랜드 분석_15일'!AA$18,'2023년 신조차 고장관리 세부현황'!$P:$P,"&lt;"&amp;'트랜드 분석_15일'!AB$18,'2023년 신조차 고장관리 세부현황'!$BC:$BC,"완료",'2023년 신조차 고장관리 세부현황'!$CY:$CY,"SIV")</f>
        <v>0</v>
      </c>
      <c r="AC364" s="85">
        <f>COUNTIFS('2023년 신조차 고장관리 세부현황'!$K:$K,"128R",'2023년 신조차 고장관리 세부현황'!$P:$P,"&gt;="&amp;'트랜드 분석_15일'!AB$18,'2023년 신조차 고장관리 세부현황'!$P:$P,"&lt;"&amp;'트랜드 분석_15일'!AC$18,'2023년 신조차 고장관리 세부현황'!$BC:$BC,"완료",'2023년 신조차 고장관리 세부현황'!$CY:$CY,"SIV")</f>
        <v>0</v>
      </c>
      <c r="AD364" s="85">
        <f>COUNTIFS('2023년 신조차 고장관리 세부현황'!$K:$K,"128R",'2023년 신조차 고장관리 세부현황'!$P:$P,"&gt;="&amp;'트랜드 분석_15일'!AC$18,'2023년 신조차 고장관리 세부현황'!$P:$P,"&lt;"&amp;'트랜드 분석_15일'!AD$18,'2023년 신조차 고장관리 세부현황'!$BC:$BC,"완료",'2023년 신조차 고장관리 세부현황'!$CY:$CY,"SIV")</f>
        <v>0</v>
      </c>
      <c r="AE364" s="85">
        <f>COUNTIFS('2023년 신조차 고장관리 세부현황'!$K:$K,"128R",'2023년 신조차 고장관리 세부현황'!$P:$P,"&gt;="&amp;'트랜드 분석_15일'!AD$18,'2023년 신조차 고장관리 세부현황'!$P:$P,"&lt;"&amp;'트랜드 분석_15일'!AE$18,'2023년 신조차 고장관리 세부현황'!$BC:$BC,"완료",'2023년 신조차 고장관리 세부현황'!$CY:$CY,"SIV")</f>
        <v>0</v>
      </c>
      <c r="AF364" s="85">
        <f>COUNTIFS('2023년 신조차 고장관리 세부현황'!$K:$K,"128R",'2023년 신조차 고장관리 세부현황'!$P:$P,"&gt;="&amp;'트랜드 분석_15일'!AE$18,'2023년 신조차 고장관리 세부현황'!$P:$P,"&lt;"&amp;'트랜드 분석_15일'!AF$18,'2023년 신조차 고장관리 세부현황'!$BC:$BC,"완료",'2023년 신조차 고장관리 세부현황'!$CY:$CY,"SIV")</f>
        <v>0</v>
      </c>
      <c r="AG364" s="85">
        <f>COUNTIFS('2023년 신조차 고장관리 세부현황'!$K:$K,"128R",'2023년 신조차 고장관리 세부현황'!$P:$P,"&gt;="&amp;'트랜드 분석_15일'!AF$18,'2023년 신조차 고장관리 세부현황'!$P:$P,"&lt;"&amp;'트랜드 분석_15일'!AG$18,'2023년 신조차 고장관리 세부현황'!$BC:$BC,"완료",'2023년 신조차 고장관리 세부현황'!$CY:$CY,"SIV")</f>
        <v>0</v>
      </c>
      <c r="AH364" s="85">
        <f>COUNTIFS('2023년 신조차 고장관리 세부현황'!$K:$K,"128R",'2023년 신조차 고장관리 세부현황'!$P:$P,"&gt;="&amp;'트랜드 분석_15일'!AG$18,'2023년 신조차 고장관리 세부현황'!$P:$P,"&lt;"&amp;'트랜드 분석_15일'!AH$18,'2023년 신조차 고장관리 세부현황'!$BC:$BC,"완료",'2023년 신조차 고장관리 세부현황'!$CY:$CY,"SIV")</f>
        <v>0</v>
      </c>
      <c r="AI364" s="85">
        <f>COUNTIFS('2023년 신조차 고장관리 세부현황'!$K:$K,"128R",'2023년 신조차 고장관리 세부현황'!$P:$P,"&gt;="&amp;'트랜드 분석_15일'!AH$18,'2023년 신조차 고장관리 세부현황'!$P:$P,"&lt;"&amp;'트랜드 분석_15일'!AI$18,'2023년 신조차 고장관리 세부현황'!$BC:$BC,"완료",'2023년 신조차 고장관리 세부현황'!$CY:$CY,"SIV")</f>
        <v>0</v>
      </c>
      <c r="AJ364" s="85">
        <f>COUNTIFS('2023년 신조차 고장관리 세부현황'!$K:$K,"128R",'2023년 신조차 고장관리 세부현황'!$P:$P,"&gt;="&amp;'트랜드 분석_15일'!AI$18,'2023년 신조차 고장관리 세부현황'!$P:$P,"&lt;"&amp;'트랜드 분석_15일'!AJ$18,'2023년 신조차 고장관리 세부현황'!$BC:$BC,"완료",'2023년 신조차 고장관리 세부현황'!$CY:$CY,"SIV")</f>
        <v>0</v>
      </c>
      <c r="AK364" s="85">
        <f>COUNTIFS('2023년 신조차 고장관리 세부현황'!$K:$K,"128R",'2023년 신조차 고장관리 세부현황'!$P:$P,"&gt;="&amp;'트랜드 분석_15일'!AJ$18,'2023년 신조차 고장관리 세부현황'!$P:$P,"&lt;"&amp;'트랜드 분석_15일'!AK$18,'2023년 신조차 고장관리 세부현황'!$BC:$BC,"완료",'2023년 신조차 고장관리 세부현황'!$CY:$CY,"SIV")</f>
        <v>0</v>
      </c>
      <c r="AL364" s="85">
        <f>COUNTIFS('2023년 신조차 고장관리 세부현황'!$K:$K,"128R",'2023년 신조차 고장관리 세부현황'!$P:$P,"&gt;="&amp;'트랜드 분석_15일'!AK$18,'2023년 신조차 고장관리 세부현황'!$P:$P,"&lt;"&amp;'트랜드 분석_15일'!AL$18,'2023년 신조차 고장관리 세부현황'!$BC:$BC,"완료",'2023년 신조차 고장관리 세부현황'!$CY:$CY,"SIV")</f>
        <v>0</v>
      </c>
      <c r="AM364" s="85">
        <f>COUNTIFS('2023년 신조차 고장관리 세부현황'!$K:$K,"128R",'2023년 신조차 고장관리 세부현황'!$P:$P,"&gt;="&amp;'트랜드 분석_15일'!AL$18,'2023년 신조차 고장관리 세부현황'!$P:$P,"&lt;"&amp;'트랜드 분석_15일'!AM$18,'2023년 신조차 고장관리 세부현황'!$BC:$BC,"완료",'2023년 신조차 고장관리 세부현황'!$CY:$CY,"SIV")</f>
        <v>0</v>
      </c>
      <c r="AN364" s="85">
        <f>COUNTIFS('2023년 신조차 고장관리 세부현황'!$K:$K,"128R",'2023년 신조차 고장관리 세부현황'!$P:$P,"&gt;="&amp;'트랜드 분석_15일'!AM$18,'2023년 신조차 고장관리 세부현황'!$P:$P,"&lt;"&amp;'트랜드 분석_15일'!AN$18,'2023년 신조차 고장관리 세부현황'!$BC:$BC,"완료",'2023년 신조차 고장관리 세부현황'!$CY:$CY,"SIV")</f>
        <v>0</v>
      </c>
      <c r="AO364" s="85">
        <f>COUNTIFS('2023년 신조차 고장관리 세부현황'!$K:$K,"128R",'2023년 신조차 고장관리 세부현황'!$P:$P,"&gt;="&amp;'트랜드 분석_15일'!AN$18,'2023년 신조차 고장관리 세부현황'!$P:$P,"&lt;"&amp;'트랜드 분석_15일'!AO$18,'2023년 신조차 고장관리 세부현황'!$BC:$BC,"완료",'2023년 신조차 고장관리 세부현황'!$CY:$CY,"SIV")</f>
        <v>0</v>
      </c>
      <c r="AP364" s="85">
        <f>COUNTIFS('2023년 신조차 고장관리 세부현황'!$K:$K,"128R",'2023년 신조차 고장관리 세부현황'!$P:$P,"&gt;="&amp;'트랜드 분석_15일'!AO$18,'2023년 신조차 고장관리 세부현황'!$P:$P,"&lt;"&amp;'트랜드 분석_15일'!AP$18,'2023년 신조차 고장관리 세부현황'!$BC:$BC,"완료",'2023년 신조차 고장관리 세부현황'!$CY:$CY,"SIV")</f>
        <v>0</v>
      </c>
      <c r="AQ364" s="85">
        <f>COUNTIFS('2023년 신조차 고장관리 세부현황'!$K:$K,"128R",'2023년 신조차 고장관리 세부현황'!$P:$P,"&gt;="&amp;'트랜드 분석_15일'!AP$18,'2023년 신조차 고장관리 세부현황'!$P:$P,"&lt;"&amp;'트랜드 분석_15일'!AQ$18,'2023년 신조차 고장관리 세부현황'!$BC:$BC,"완료",'2023년 신조차 고장관리 세부현황'!$CY:$CY,"SIV")</f>
        <v>0</v>
      </c>
      <c r="AR364" s="85">
        <f>COUNTIFS('2023년 신조차 고장관리 세부현황'!$K:$K,"128R",'2023년 신조차 고장관리 세부현황'!$P:$P,"&gt;="&amp;'트랜드 분석_15일'!AQ$18,'2023년 신조차 고장관리 세부현황'!$P:$P,"&lt;"&amp;'트랜드 분석_15일'!AR$18,'2023년 신조차 고장관리 세부현황'!$BC:$BC,"완료",'2023년 신조차 고장관리 세부현황'!$CY:$CY,"SIV")</f>
        <v>0</v>
      </c>
      <c r="AS364" s="85">
        <f>COUNTIFS('2023년 신조차 고장관리 세부현황'!$K:$K,"128R",'2023년 신조차 고장관리 세부현황'!$P:$P,"&gt;="&amp;'트랜드 분석_15일'!AR$18,'2023년 신조차 고장관리 세부현황'!$P:$P,"&lt;"&amp;'트랜드 분석_15일'!AS$18,'2023년 신조차 고장관리 세부현황'!$BC:$BC,"완료",'2023년 신조차 고장관리 세부현황'!$CY:$CY,"SIV")</f>
        <v>0</v>
      </c>
      <c r="AT364" s="85">
        <f>COUNTIFS('2023년 신조차 고장관리 세부현황'!$K:$K,"128R",'2023년 신조차 고장관리 세부현황'!$P:$P,"&gt;="&amp;'트랜드 분석_15일'!AS$18,'2023년 신조차 고장관리 세부현황'!$P:$P,"&lt;"&amp;'트랜드 분석_15일'!AT$18,'2023년 신조차 고장관리 세부현황'!$BC:$BC,"완료",'2023년 신조차 고장관리 세부현황'!$CY:$CY,"SIV")</f>
        <v>0</v>
      </c>
      <c r="AU364" s="85">
        <f>COUNTIFS('2023년 신조차 고장관리 세부현황'!$K:$K,"128R",'2023년 신조차 고장관리 세부현황'!$P:$P,"&gt;="&amp;'트랜드 분석_15일'!AT$18,'2023년 신조차 고장관리 세부현황'!$P:$P,"&lt;"&amp;'트랜드 분석_15일'!AU$18,'2023년 신조차 고장관리 세부현황'!$BC:$BC,"완료",'2023년 신조차 고장관리 세부현황'!$CY:$CY,"SIV")</f>
        <v>0</v>
      </c>
      <c r="AV364" s="85">
        <f>COUNTIFS('2023년 신조차 고장관리 세부현황'!$K:$K,"128R",'2023년 신조차 고장관리 세부현황'!$P:$P,"&gt;="&amp;'트랜드 분석_15일'!AU$18,'2023년 신조차 고장관리 세부현황'!$P:$P,"&lt;"&amp;'트랜드 분석_15일'!AV$18,'2023년 신조차 고장관리 세부현황'!$BC:$BC,"완료",'2023년 신조차 고장관리 세부현황'!$CY:$CY,"SIV")</f>
        <v>0</v>
      </c>
      <c r="AW364" s="85">
        <f>COUNTIFS('2023년 신조차 고장관리 세부현황'!$K:$K,"128R",'2023년 신조차 고장관리 세부현황'!$P:$P,"&gt;="&amp;'트랜드 분석_15일'!AV$18,'2023년 신조차 고장관리 세부현황'!$P:$P,"&lt;"&amp;'트랜드 분석_15일'!AW$18,'2023년 신조차 고장관리 세부현황'!$BC:$BC,"완료",'2023년 신조차 고장관리 세부현황'!$CY:$CY,"SIV")</f>
        <v>0</v>
      </c>
      <c r="AX364" s="85">
        <f>COUNTIFS('2023년 신조차 고장관리 세부현황'!$K:$K,"128R",'2023년 신조차 고장관리 세부현황'!$P:$P,"&gt;="&amp;'트랜드 분석_15일'!AW$18,'2023년 신조차 고장관리 세부현황'!$P:$P,"&lt;"&amp;'트랜드 분석_15일'!AX$18,'2023년 신조차 고장관리 세부현황'!$BC:$BC,"완료",'2023년 신조차 고장관리 세부현황'!$CY:$CY,"SIV")</f>
        <v>0</v>
      </c>
      <c r="AY364" s="85">
        <f>COUNTIFS('2023년 신조차 고장관리 세부현황'!$K:$K,"128R",'2023년 신조차 고장관리 세부현황'!$P:$P,"&gt;="&amp;'트랜드 분석_15일'!AX$18,'2023년 신조차 고장관리 세부현황'!$P:$P,"&lt;"&amp;'트랜드 분석_15일'!AY$18,'2023년 신조차 고장관리 세부현황'!$BC:$BC,"완료",'2023년 신조차 고장관리 세부현황'!$CY:$CY,"SIV")</f>
        <v>0</v>
      </c>
      <c r="AZ364" s="85">
        <f>COUNTIFS('2023년 신조차 고장관리 세부현황'!$K:$K,"128R",'2023년 신조차 고장관리 세부현황'!$P:$P,"&gt;="&amp;'트랜드 분석_15일'!AY$18,'2023년 신조차 고장관리 세부현황'!$P:$P,"&lt;"&amp;'트랜드 분석_15일'!AZ$18,'2023년 신조차 고장관리 세부현황'!$BC:$BC,"완료",'2023년 신조차 고장관리 세부현황'!$CY:$CY,"SIV")</f>
        <v>0</v>
      </c>
      <c r="BA364" s="85">
        <f>COUNTIFS('2023년 신조차 고장관리 세부현황'!$K:$K,"128R",'2023년 신조차 고장관리 세부현황'!$P:$P,"&gt;="&amp;'트랜드 분석_15일'!AZ$18,'2023년 신조차 고장관리 세부현황'!$P:$P,"&lt;"&amp;'트랜드 분석_15일'!BA$18,'2023년 신조차 고장관리 세부현황'!$BC:$BC,"완료",'2023년 신조차 고장관리 세부현황'!$CY:$CY,"SIV")</f>
        <v>0</v>
      </c>
      <c r="BB364" s="85">
        <f>COUNTIFS('2023년 신조차 고장관리 세부현황'!$K:$K,"128R",'2023년 신조차 고장관리 세부현황'!$P:$P,"&gt;="&amp;'트랜드 분석_15일'!BA$18,'2023년 신조차 고장관리 세부현황'!$P:$P,"&lt;"&amp;'트랜드 분석_15일'!BB$18,'2023년 신조차 고장관리 세부현황'!$BC:$BC,"완료",'2023년 신조차 고장관리 세부현황'!$CY:$CY,"SIV")</f>
        <v>0</v>
      </c>
      <c r="BC364" s="85">
        <f>COUNTIFS('2023년 신조차 고장관리 세부현황'!$K:$K,"128R",'2023년 신조차 고장관리 세부현황'!$P:$P,"&gt;="&amp;'트랜드 분석_15일'!BB$18,'2023년 신조차 고장관리 세부현황'!$P:$P,"&lt;"&amp;'트랜드 분석_15일'!BC$18,'2023년 신조차 고장관리 세부현황'!$BC:$BC,"완료",'2023년 신조차 고장관리 세부현황'!$CY:$CY,"SIV")</f>
        <v>0</v>
      </c>
      <c r="BD364" s="85">
        <f>COUNTIFS('2023년 신조차 고장관리 세부현황'!$K:$K,"128R",'2023년 신조차 고장관리 세부현황'!$P:$P,"&gt;="&amp;'트랜드 분석_15일'!BC$18,'2023년 신조차 고장관리 세부현황'!$P:$P,"&lt;"&amp;'트랜드 분석_15일'!BD$18,'2023년 신조차 고장관리 세부현황'!$BC:$BC,"완료",'2023년 신조차 고장관리 세부현황'!$CY:$CY,"SIV")</f>
        <v>0</v>
      </c>
      <c r="BE364" s="85">
        <f>COUNTIFS('2023년 신조차 고장관리 세부현황'!$K:$K,"128R",'2023년 신조차 고장관리 세부현황'!$P:$P,"&gt;="&amp;'트랜드 분석_15일'!BD$18,'2023년 신조차 고장관리 세부현황'!$P:$P,"&lt;"&amp;'트랜드 분석_15일'!BE$18,'2023년 신조차 고장관리 세부현황'!$BC:$BC,"완료",'2023년 신조차 고장관리 세부현황'!$CY:$CY,"SIV")</f>
        <v>0</v>
      </c>
      <c r="BF364" s="85">
        <f>COUNTIFS('2023년 신조차 고장관리 세부현황'!$K:$K,"128R",'2023년 신조차 고장관리 세부현황'!$P:$P,"&gt;="&amp;'트랜드 분석_15일'!BE$18,'2023년 신조차 고장관리 세부현황'!$P:$P,"&lt;"&amp;'트랜드 분석_15일'!BF$18,'2023년 신조차 고장관리 세부현황'!$BC:$BC,"완료",'2023년 신조차 고장관리 세부현황'!$CY:$CY,"SIV")</f>
        <v>0</v>
      </c>
      <c r="BG364" s="85">
        <f>COUNTIFS('2023년 신조차 고장관리 세부현황'!$K:$K,"128R",'2023년 신조차 고장관리 세부현황'!$P:$P,"&gt;="&amp;'트랜드 분석_15일'!BF$18,'2023년 신조차 고장관리 세부현황'!$P:$P,"&lt;"&amp;'트랜드 분석_15일'!BG$18,'2023년 신조차 고장관리 세부현황'!$BC:$BC,"완료",'2023년 신조차 고장관리 세부현황'!$CY:$CY,"SIV")</f>
        <v>0</v>
      </c>
      <c r="BH364" s="85">
        <f>COUNTIFS('2023년 신조차 고장관리 세부현황'!$K:$K,"128R",'2023년 신조차 고장관리 세부현황'!$P:$P,"&gt;="&amp;'트랜드 분석_15일'!BG$18,'2023년 신조차 고장관리 세부현황'!$P:$P,"&lt;"&amp;'트랜드 분석_15일'!BH$18,'2023년 신조차 고장관리 세부현황'!$BC:$BC,"완료",'2023년 신조차 고장관리 세부현황'!$CY:$CY,"SIV")</f>
        <v>0</v>
      </c>
      <c r="BI364" s="85">
        <f>COUNTIFS('2023년 신조차 고장관리 세부현황'!$K:$K,"128R",'2023년 신조차 고장관리 세부현황'!$P:$P,"&gt;="&amp;'트랜드 분석_15일'!BH$18,'2023년 신조차 고장관리 세부현황'!$P:$P,"&lt;"&amp;'트랜드 분석_15일'!BI$18,'2023년 신조차 고장관리 세부현황'!$BC:$BC,"완료",'2023년 신조차 고장관리 세부현황'!$CY:$CY,"SIV")</f>
        <v>0</v>
      </c>
      <c r="BJ364" s="85">
        <f>COUNTIFS('2023년 신조차 고장관리 세부현황'!$K:$K,"128R",'2023년 신조차 고장관리 세부현황'!$P:$P,"&gt;="&amp;'트랜드 분석_15일'!BI$18,'2023년 신조차 고장관리 세부현황'!$P:$P,"&lt;"&amp;'트랜드 분석_15일'!BJ$18,'2023년 신조차 고장관리 세부현황'!$BC:$BC,"완료",'2023년 신조차 고장관리 세부현황'!$CY:$CY,"SIV")</f>
        <v>0</v>
      </c>
      <c r="BK364" s="85">
        <f>COUNTIFS('2023년 신조차 고장관리 세부현황'!$K:$K,"128R",'2023년 신조차 고장관리 세부현황'!$P:$P,"&gt;="&amp;'트랜드 분석_15일'!BJ$18,'2023년 신조차 고장관리 세부현황'!$P:$P,"&lt;"&amp;'트랜드 분석_15일'!BK$18,'2023년 신조차 고장관리 세부현황'!$BC:$BC,"완료",'2023년 신조차 고장관리 세부현황'!$CY:$CY,"SIV")</f>
        <v>0</v>
      </c>
      <c r="BL364" s="85">
        <f>COUNTIFS('2023년 신조차 고장관리 세부현황'!$K:$K,"128R",'2023년 신조차 고장관리 세부현황'!$P:$P,"&gt;="&amp;'트랜드 분석_15일'!BK$18,'2023년 신조차 고장관리 세부현황'!$P:$P,"&lt;"&amp;'트랜드 분석_15일'!BL$18,'2023년 신조차 고장관리 세부현황'!$BC:$BC,"완료",'2023년 신조차 고장관리 세부현황'!$CY:$CY,"SIV")</f>
        <v>0</v>
      </c>
      <c r="BM364" s="85">
        <f>COUNTIFS('2023년 신조차 고장관리 세부현황'!$K:$K,"128R",'2023년 신조차 고장관리 세부현황'!$P:$P,"&gt;="&amp;'트랜드 분석_15일'!BL$18,'2023년 신조차 고장관리 세부현황'!$P:$P,"&lt;"&amp;'트랜드 분석_15일'!BM$18,'2023년 신조차 고장관리 세부현황'!$BC:$BC,"완료",'2023년 신조차 고장관리 세부현황'!$CY:$CY,"SIV")</f>
        <v>0</v>
      </c>
      <c r="BN364" s="85">
        <f>COUNTIFS('2023년 신조차 고장관리 세부현황'!$K:$K,"128R",'2023년 신조차 고장관리 세부현황'!$P:$P,"&gt;="&amp;'트랜드 분석_15일'!BM$18,'2023년 신조차 고장관리 세부현황'!$P:$P,"&lt;"&amp;'트랜드 분석_15일'!BN$18,'2023년 신조차 고장관리 세부현황'!$BC:$BC,"완료",'2023년 신조차 고장관리 세부현황'!$CY:$CY,"SIV")</f>
        <v>0</v>
      </c>
      <c r="BO364" s="85">
        <f>COUNTIFS('2023년 신조차 고장관리 세부현황'!$K:$K,"128R",'2023년 신조차 고장관리 세부현황'!$P:$P,"&gt;="&amp;'트랜드 분석_15일'!BN$18,'2023년 신조차 고장관리 세부현황'!$P:$P,"&lt;"&amp;'트랜드 분석_15일'!BO$18,'2023년 신조차 고장관리 세부현황'!$BC:$BC,"완료",'2023년 신조차 고장관리 세부현황'!$CY:$CY,"SIV")</f>
        <v>0</v>
      </c>
      <c r="BP364" s="85">
        <f>COUNTIFS('2023년 신조차 고장관리 세부현황'!$K:$K,"128R",'2023년 신조차 고장관리 세부현황'!$P:$P,"&gt;="&amp;'트랜드 분석_15일'!BO$18,'2023년 신조차 고장관리 세부현황'!$P:$P,"&lt;"&amp;'트랜드 분석_15일'!BP$18,'2023년 신조차 고장관리 세부현황'!$BC:$BC,"완료",'2023년 신조차 고장관리 세부현황'!$CY:$CY,"SIV")</f>
        <v>0</v>
      </c>
      <c r="BQ364" s="85">
        <f>COUNTIFS('2023년 신조차 고장관리 세부현황'!$K:$K,"128R",'2023년 신조차 고장관리 세부현황'!$P:$P,"&gt;="&amp;'트랜드 분석_15일'!BP$18,'2023년 신조차 고장관리 세부현황'!$P:$P,"&lt;"&amp;'트랜드 분석_15일'!BQ$18,'2023년 신조차 고장관리 세부현황'!$BC:$BC,"완료",'2023년 신조차 고장관리 세부현황'!$CY:$CY,"SIV")</f>
        <v>0</v>
      </c>
      <c r="BR364" s="85">
        <f>COUNTIFS('2023년 신조차 고장관리 세부현황'!$K:$K,"128R",'2023년 신조차 고장관리 세부현황'!$P:$P,"&gt;="&amp;'트랜드 분석_15일'!BQ$18,'2023년 신조차 고장관리 세부현황'!$P:$P,"&lt;"&amp;'트랜드 분석_15일'!BR$18,'2023년 신조차 고장관리 세부현황'!$BC:$BC,"완료",'2023년 신조차 고장관리 세부현황'!$CY:$CY,"SIV")</f>
        <v>0</v>
      </c>
      <c r="BS364" s="85">
        <f>COUNTIFS('2023년 신조차 고장관리 세부현황'!$K:$K,"128R",'2023년 신조차 고장관리 세부현황'!$P:$P,"&gt;="&amp;'트랜드 분석_15일'!BR$18,'2023년 신조차 고장관리 세부현황'!$P:$P,"&lt;"&amp;'트랜드 분석_15일'!BS$18,'2023년 신조차 고장관리 세부현황'!$BC:$BC,"완료",'2023년 신조차 고장관리 세부현황'!$CY:$CY,"SIV")</f>
        <v>0</v>
      </c>
      <c r="BT364" s="85">
        <f>COUNTIFS('2023년 신조차 고장관리 세부현황'!$K:$K,"128R",'2023년 신조차 고장관리 세부현황'!$P:$P,"&gt;="&amp;'트랜드 분석_15일'!BS$18,'2023년 신조차 고장관리 세부현황'!$P:$P,"&lt;"&amp;'트랜드 분석_15일'!BT$18,'2023년 신조차 고장관리 세부현황'!$BC:$BC,"완료",'2023년 신조차 고장관리 세부현황'!$CY:$CY,"SIV")</f>
        <v>0</v>
      </c>
      <c r="BU364" s="85">
        <f>COUNTIFS('2023년 신조차 고장관리 세부현황'!$K:$K,"128R",'2023년 신조차 고장관리 세부현황'!$P:$P,"&gt;="&amp;'트랜드 분석_15일'!BT$18,'2023년 신조차 고장관리 세부현황'!$P:$P,"&lt;"&amp;'트랜드 분석_15일'!BU$18,'2023년 신조차 고장관리 세부현황'!$BC:$BC,"완료",'2023년 신조차 고장관리 세부현황'!$CY:$CY,"SIV")</f>
        <v>0</v>
      </c>
      <c r="BV364" s="85">
        <f>COUNTIFS('2023년 신조차 고장관리 세부현황'!$K:$K,"128R",'2023년 신조차 고장관리 세부현황'!$P:$P,"&gt;="&amp;'트랜드 분석_15일'!BU$18,'2023년 신조차 고장관리 세부현황'!$P:$P,"&lt;"&amp;'트랜드 분석_15일'!BV$18,'2023년 신조차 고장관리 세부현황'!$BC:$BC,"완료",'2023년 신조차 고장관리 세부현황'!$CY:$CY,"SIV")</f>
        <v>0</v>
      </c>
      <c r="BW364" s="85">
        <f>COUNTIFS('2023년 신조차 고장관리 세부현황'!$K:$K,"128R",'2023년 신조차 고장관리 세부현황'!$P:$P,"&gt;="&amp;'트랜드 분석_15일'!BV$18,'2023년 신조차 고장관리 세부현황'!$P:$P,"&lt;"&amp;'트랜드 분석_15일'!BW$18,'2023년 신조차 고장관리 세부현황'!$BC:$BC,"완료",'2023년 신조차 고장관리 세부현황'!$CY:$CY,"SIV")</f>
        <v>0</v>
      </c>
      <c r="BX364" s="85">
        <f>COUNTIFS('2023년 신조차 고장관리 세부현황'!$K:$K,"128R",'2023년 신조차 고장관리 세부현황'!$P:$P,"&gt;="&amp;'트랜드 분석_15일'!BW$18,'2023년 신조차 고장관리 세부현황'!$P:$P,"&lt;"&amp;'트랜드 분석_15일'!BX$18,'2023년 신조차 고장관리 세부현황'!$BC:$BC,"완료",'2023년 신조차 고장관리 세부현황'!$CY:$CY,"SIV")</f>
        <v>0</v>
      </c>
      <c r="BY364" s="85">
        <f>COUNTIFS('2023년 신조차 고장관리 세부현황'!$K:$K,"128R",'2023년 신조차 고장관리 세부현황'!$P:$P,"&gt;="&amp;'트랜드 분석_15일'!BX$18,'2023년 신조차 고장관리 세부현황'!$P:$P,"&lt;"&amp;'트랜드 분석_15일'!BY$18,'2023년 신조차 고장관리 세부현황'!$BC:$BC,"완료",'2023년 신조차 고장관리 세부현황'!$CY:$CY,"SIV")</f>
        <v>0</v>
      </c>
      <c r="BZ364" s="85">
        <f>COUNTIFS('2023년 신조차 고장관리 세부현황'!$K:$K,"128R",'2023년 신조차 고장관리 세부현황'!$P:$P,"&gt;="&amp;'트랜드 분석_15일'!BY$18,'2023년 신조차 고장관리 세부현황'!$P:$P,"&lt;"&amp;'트랜드 분석_15일'!BZ$18,'2023년 신조차 고장관리 세부현황'!$BC:$BC,"완료",'2023년 신조차 고장관리 세부현황'!$CY:$CY,"SIV")</f>
        <v>0</v>
      </c>
      <c r="CA364" s="85">
        <f>COUNTIFS('2023년 신조차 고장관리 세부현황'!$K:$K,"128R",'2023년 신조차 고장관리 세부현황'!$P:$P,"&gt;="&amp;'트랜드 분석_15일'!BZ$18,'2023년 신조차 고장관리 세부현황'!$P:$P,"&lt;"&amp;'트랜드 분석_15일'!CA$18,'2023년 신조차 고장관리 세부현황'!$BC:$BC,"완료",'2023년 신조차 고장관리 세부현황'!$CY:$CY,"SIV")</f>
        <v>0</v>
      </c>
      <c r="CB364" s="85">
        <f>COUNTIFS('2023년 신조차 고장관리 세부현황'!$K:$K,"128R",'2023년 신조차 고장관리 세부현황'!$P:$P,"&gt;="&amp;'트랜드 분석_15일'!CA$18,'2023년 신조차 고장관리 세부현황'!$P:$P,"&lt;"&amp;'트랜드 분석_15일'!CB$18,'2023년 신조차 고장관리 세부현황'!$BC:$BC,"완료",'2023년 신조차 고장관리 세부현황'!$CY:$CY,"SIV")</f>
        <v>0</v>
      </c>
      <c r="CC364" s="85">
        <f>COUNTIFS('2023년 신조차 고장관리 세부현황'!$K:$K,"128R",'2023년 신조차 고장관리 세부현황'!$P:$P,"&gt;="&amp;'트랜드 분석_15일'!CB$18,'2023년 신조차 고장관리 세부현황'!$P:$P,"&lt;"&amp;'트랜드 분석_15일'!CC$18,'2023년 신조차 고장관리 세부현황'!$BC:$BC,"완료",'2023년 신조차 고장관리 세부현황'!$CY:$CY,"SIV")</f>
        <v>0</v>
      </c>
      <c r="CD364" s="85">
        <f>COUNTIFS('2023년 신조차 고장관리 세부현황'!$K:$K,"128R",'2023년 신조차 고장관리 세부현황'!$P:$P,"&gt;="&amp;'트랜드 분석_15일'!CC$18,'2023년 신조차 고장관리 세부현황'!$P:$P,"&lt;"&amp;'트랜드 분석_15일'!CD$18,'2023년 신조차 고장관리 세부현황'!$BC:$BC,"완료",'2023년 신조차 고장관리 세부현황'!$CY:$CY,"SIV")</f>
        <v>0</v>
      </c>
      <c r="CE364" s="85">
        <f>COUNTIFS('2023년 신조차 고장관리 세부현황'!$K:$K,"128R",'2023년 신조차 고장관리 세부현황'!$P:$P,"&gt;="&amp;'트랜드 분석_15일'!CD$18,'2023년 신조차 고장관리 세부현황'!$P:$P,"&lt;"&amp;'트랜드 분석_15일'!CE$18,'2023년 신조차 고장관리 세부현황'!$BC:$BC,"완료",'2023년 신조차 고장관리 세부현황'!$CY:$CY,"SIV")</f>
        <v>0</v>
      </c>
      <c r="CF364" s="85">
        <f>COUNTIFS('2023년 신조차 고장관리 세부현황'!$K:$K,"128R",'2023년 신조차 고장관리 세부현황'!$P:$P,"&gt;="&amp;'트랜드 분석_15일'!CE$18,'2023년 신조차 고장관리 세부현황'!$P:$P,"&lt;"&amp;'트랜드 분석_15일'!CF$18,'2023년 신조차 고장관리 세부현황'!$BC:$BC,"완료",'2023년 신조차 고장관리 세부현황'!$CY:$CY,"SIV")</f>
        <v>0</v>
      </c>
      <c r="CG364" s="85">
        <f>COUNTIFS('2023년 신조차 고장관리 세부현황'!$K:$K,"128R",'2023년 신조차 고장관리 세부현황'!$P:$P,"&gt;="&amp;'트랜드 분석_15일'!CF$18,'2023년 신조차 고장관리 세부현황'!$P:$P,"&lt;"&amp;'트랜드 분석_15일'!CG$18,'2023년 신조차 고장관리 세부현황'!$BC:$BC,"완료",'2023년 신조차 고장관리 세부현황'!$CY:$CY,"SIV")</f>
        <v>0</v>
      </c>
      <c r="CH364" s="85">
        <f ca="1">COUNTIFS('2023년 신조차 고장관리 세부현황'!$K:$K,"128R",'2023년 신조차 고장관리 세부현황'!$P:$P,"&gt;="&amp;'트랜드 분석_15일'!CG$18,'2023년 신조차 고장관리 세부현황'!$P:$P,"&lt;"&amp;'트랜드 분석_15일'!CH$18,'2023년 신조차 고장관리 세부현황'!$BC:$BC,"완료",'2023년 신조차 고장관리 세부현황'!$CY:$CY,"SIV")</f>
        <v>0</v>
      </c>
      <c r="CI364" s="85">
        <f>COUNTIFS('2023년 신조차 고장관리 세부현황'!$K:$K,"128R",'2023년 신조차 고장관리 세부현황'!$P:$P,"&gt;="&amp;'트랜드 분석_15일'!CH$18,'2023년 신조차 고장관리 세부현황'!$P:$P,"&lt;"&amp;'트랜드 분석_15일'!CI$18,'2023년 신조차 고장관리 세부현황'!$BC:$BC,"완료",'2023년 신조차 고장관리 세부현황'!$CY:$CY,"SIV")</f>
        <v>0</v>
      </c>
      <c r="CJ364" s="85">
        <f ca="1">COUNTIFS('2023년 신조차 고장관리 세부현황'!$K:$K,"128R",'2023년 신조차 고장관리 세부현황'!$P:$P,"&gt;="&amp;'트랜드 분석_15일'!CI$18,'2023년 신조차 고장관리 세부현황'!$P:$P,"&lt;"&amp;'트랜드 분석_15일'!CJ$18,'2023년 신조차 고장관리 세부현황'!$BC:$BC,"완료",'2023년 신조차 고장관리 세부현황'!$CY:$CY,"SIV")</f>
        <v>0</v>
      </c>
      <c r="CK364" s="85">
        <f>COUNTIFS('2023년 신조차 고장관리 세부현황'!$K:$K,"128R",'2023년 신조차 고장관리 세부현황'!$P:$P,"&gt;="&amp;'트랜드 분석_15일'!CJ$18,'2023년 신조차 고장관리 세부현황'!$P:$P,"&lt;"&amp;'트랜드 분석_15일'!CK$18,'2023년 신조차 고장관리 세부현황'!$BC:$BC,"완료",'2023년 신조차 고장관리 세부현황'!$CY:$CY,"SIV")</f>
        <v>0</v>
      </c>
      <c r="CL364" s="85">
        <f>COUNTIFS('2023년 신조차 고장관리 세부현황'!$K:$K,"128R",'2023년 신조차 고장관리 세부현황'!$P:$P,"&gt;="&amp;'트랜드 분석_15일'!CK$18,'2023년 신조차 고장관리 세부현황'!$P:$P,"&lt;"&amp;'트랜드 분석_15일'!CL$18,'2023년 신조차 고장관리 세부현황'!$BC:$BC,"완료",'2023년 신조차 고장관리 세부현황'!$CY:$CY,"SIV")</f>
        <v>0</v>
      </c>
      <c r="CM364" s="85">
        <f>COUNTIFS('2023년 신조차 고장관리 세부현황'!$K:$K,"128R",'2023년 신조차 고장관리 세부현황'!$P:$P,"&gt;="&amp;'트랜드 분석_15일'!CL$18,'2023년 신조차 고장관리 세부현황'!$P:$P,"&lt;"&amp;'트랜드 분석_15일'!CM$18,'2023년 신조차 고장관리 세부현황'!$BC:$BC,"완료",'2023년 신조차 고장관리 세부현황'!$CY:$CY,"SIV")</f>
        <v>0</v>
      </c>
      <c r="CN364" s="85">
        <f>COUNTIFS('2023년 신조차 고장관리 세부현황'!$K:$K,"128R",'2023년 신조차 고장관리 세부현황'!$P:$P,"&gt;="&amp;'트랜드 분석_15일'!CM$18,'2023년 신조차 고장관리 세부현황'!$P:$P,"&lt;"&amp;'트랜드 분석_15일'!CN$18,'2023년 신조차 고장관리 세부현황'!$BC:$BC,"완료",'2023년 신조차 고장관리 세부현황'!$CY:$CY,"SIV")</f>
        <v>0</v>
      </c>
      <c r="CO364" s="85">
        <f>COUNTIFS('2023년 신조차 고장관리 세부현황'!$K:$K,"128R",'2023년 신조차 고장관리 세부현황'!$P:$P,"&gt;="&amp;'트랜드 분석_15일'!CN$18,'2023년 신조차 고장관리 세부현황'!$P:$P,"&lt;"&amp;'트랜드 분석_15일'!CO$18,'2023년 신조차 고장관리 세부현황'!$BC:$BC,"완료",'2023년 신조차 고장관리 세부현황'!$CY:$CY,"SIV")</f>
        <v>0</v>
      </c>
      <c r="CP364" s="85">
        <f>COUNTIFS('2023년 신조차 고장관리 세부현황'!$K:$K,"128R",'2023년 신조차 고장관리 세부현황'!$P:$P,"&gt;="&amp;'트랜드 분석_15일'!CO$18,'2023년 신조차 고장관리 세부현황'!$P:$P,"&lt;"&amp;'트랜드 분석_15일'!CP$18,'2023년 신조차 고장관리 세부현황'!$BC:$BC,"완료",'2023년 신조차 고장관리 세부현황'!$CY:$CY,"SIV")</f>
        <v>0</v>
      </c>
      <c r="CQ364" s="85">
        <f>COUNTIFS('2023년 신조차 고장관리 세부현황'!$K:$K,"128R",'2023년 신조차 고장관리 세부현황'!$P:$P,"&gt;="&amp;'트랜드 분석_15일'!CP$18,'2023년 신조차 고장관리 세부현황'!$P:$P,"&lt;"&amp;'트랜드 분석_15일'!CQ$18,'2023년 신조차 고장관리 세부현황'!$BC:$BC,"완료",'2023년 신조차 고장관리 세부현황'!$CY:$CY,"SIV")</f>
        <v>0</v>
      </c>
      <c r="CR364" s="85">
        <f>COUNTIFS('2023년 신조차 고장관리 세부현황'!$K:$K,"128R",'2023년 신조차 고장관리 세부현황'!$P:$P,"&gt;="&amp;'트랜드 분석_15일'!CQ$18,'2023년 신조차 고장관리 세부현황'!$P:$P,"&lt;"&amp;'트랜드 분석_15일'!CR$18,'2023년 신조차 고장관리 세부현황'!$BC:$BC,"완료",'2023년 신조차 고장관리 세부현황'!$CY:$CY,"SIV")</f>
        <v>0</v>
      </c>
      <c r="CS364" s="85">
        <f>COUNTIFS('2023년 신조차 고장관리 세부현황'!$K:$K,"128R",'2023년 신조차 고장관리 세부현황'!$P:$P,"&gt;="&amp;'트랜드 분석_15일'!CR$18,'2023년 신조차 고장관리 세부현황'!$P:$P,"&lt;"&amp;'트랜드 분석_15일'!CS$18,'2023년 신조차 고장관리 세부현황'!$BC:$BC,"완료",'2023년 신조차 고장관리 세부현황'!$CY:$CY,"SIV")</f>
        <v>0</v>
      </c>
      <c r="CT364" s="85">
        <f>COUNTIFS('2023년 신조차 고장관리 세부현황'!$K:$K,"128R",'2023년 신조차 고장관리 세부현황'!$P:$P,"&gt;="&amp;'트랜드 분석_15일'!CS$18,'2023년 신조차 고장관리 세부현황'!$P:$P,"&lt;"&amp;'트랜드 분석_15일'!CT$18,'2023년 신조차 고장관리 세부현황'!$BC:$BC,"완료",'2023년 신조차 고장관리 세부현황'!$CY:$CY,"SIV")</f>
        <v>0</v>
      </c>
      <c r="CU364" s="85">
        <f>COUNTIFS('2023년 신조차 고장관리 세부현황'!$K:$K,"128R",'2023년 신조차 고장관리 세부현황'!$P:$P,"&gt;="&amp;'트랜드 분석_15일'!CT$18,'2023년 신조차 고장관리 세부현황'!$P:$P,"&lt;"&amp;'트랜드 분석_15일'!CU$18,'2023년 신조차 고장관리 세부현황'!$BC:$BC,"완료",'2023년 신조차 고장관리 세부현황'!$CY:$CY,"SIV")</f>
        <v>0</v>
      </c>
      <c r="CV364" s="85">
        <f>COUNTIFS('2023년 신조차 고장관리 세부현황'!$K:$K,"128R",'2023년 신조차 고장관리 세부현황'!$P:$P,"&gt;="&amp;'트랜드 분석_15일'!CU$18,'2023년 신조차 고장관리 세부현황'!$P:$P,"&lt;"&amp;'트랜드 분석_15일'!CV$18,'2023년 신조차 고장관리 세부현황'!$BC:$BC,"완료",'2023년 신조차 고장관리 세부현황'!$CY:$CY,"SIV")</f>
        <v>0</v>
      </c>
      <c r="CW364" s="85">
        <f>COUNTIFS('2023년 신조차 고장관리 세부현황'!$K:$K,"128R",'2023년 신조차 고장관리 세부현황'!$P:$P,"&gt;="&amp;'트랜드 분석_15일'!CV$18,'2023년 신조차 고장관리 세부현황'!$P:$P,"&lt;"&amp;'트랜드 분석_15일'!CW$18,'2023년 신조차 고장관리 세부현황'!$BC:$BC,"완료",'2023년 신조차 고장관리 세부현황'!$CY:$CY,"SIV")</f>
        <v>0</v>
      </c>
      <c r="CX364">
        <f ca="1">SUM(G364:CW364)</f>
        <v>0</v>
      </c>
    </row>
    <row r="365" spans="6:103" x14ac:dyDescent="0.4">
      <c r="F365" s="85" t="s">
        <v>164</v>
      </c>
      <c r="G365" s="85">
        <f>COUNTIFS('2023년 신조차 고장관리 세부현황'!$K:$K,"128R",'2023년 신조차 고장관리 세부현황'!$P:$P,"&gt;="&amp;$G$17,'2023년 신조차 고장관리 세부현황'!$P:$P,"&lt;"&amp;'트랜드 분석_15일'!G$18,'2023년 신조차 고장관리 세부현황'!$S:$S,'트랜드 분석_15일'!$F365,'2023년 신조차 고장관리 세부현황'!$BC:$BC,"완료",'2023년 신조차 고장관리 세부현황'!$CY:$CY,"SIV")</f>
        <v>0</v>
      </c>
      <c r="H365"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분석_15일'!$F365,'2023년 신조차 고장관리 세부현황'!$BC:$BC,"완료",'2023년 신조차 고장관리 세부현황'!$CY:$CY,"SIV")</f>
        <v>0</v>
      </c>
      <c r="I365"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분석_15일'!$F365,'2023년 신조차 고장관리 세부현황'!$BC:$BC,"완료",'2023년 신조차 고장관리 세부현황'!$CY:$CY,"SIV")</f>
        <v>0</v>
      </c>
      <c r="J365"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분석_15일'!$F365,'2023년 신조차 고장관리 세부현황'!$BC:$BC,"완료",'2023년 신조차 고장관리 세부현황'!$CY:$CY,"SIV")</f>
        <v>0</v>
      </c>
      <c r="K365"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분석_15일'!$F365,'2023년 신조차 고장관리 세부현황'!$BC:$BC,"완료",'2023년 신조차 고장관리 세부현황'!$CY:$CY,"SIV")</f>
        <v>0</v>
      </c>
      <c r="L365"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분석_15일'!$F365,'2023년 신조차 고장관리 세부현황'!$BC:$BC,"완료",'2023년 신조차 고장관리 세부현황'!$CY:$CY,"SIV")</f>
        <v>0</v>
      </c>
      <c r="M365"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분석_15일'!$F365,'2023년 신조차 고장관리 세부현황'!$BC:$BC,"완료",'2023년 신조차 고장관리 세부현황'!$CY:$CY,"SIV")</f>
        <v>0</v>
      </c>
      <c r="N365"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분석_15일'!$F365,'2023년 신조차 고장관리 세부현황'!$BC:$BC,"완료",'2023년 신조차 고장관리 세부현황'!$CY:$CY,"SIV")</f>
        <v>0</v>
      </c>
      <c r="O365"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분석_15일'!$F365,'2023년 신조차 고장관리 세부현황'!$BC:$BC,"완료",'2023년 신조차 고장관리 세부현황'!$CY:$CY,"SIV")</f>
        <v>0</v>
      </c>
      <c r="P365"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분석_15일'!$F365,'2023년 신조차 고장관리 세부현황'!$BC:$BC,"완료",'2023년 신조차 고장관리 세부현황'!$CY:$CY,"SIV")</f>
        <v>0</v>
      </c>
      <c r="Q365"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분석_15일'!$F365,'2023년 신조차 고장관리 세부현황'!$BC:$BC,"완료",'2023년 신조차 고장관리 세부현황'!$CY:$CY,"SIV")</f>
        <v>0</v>
      </c>
      <c r="R365"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분석_15일'!$F365,'2023년 신조차 고장관리 세부현황'!$BC:$BC,"완료",'2023년 신조차 고장관리 세부현황'!$CY:$CY,"SIV")</f>
        <v>0</v>
      </c>
      <c r="S365"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분석_15일'!$F365,'2023년 신조차 고장관리 세부현황'!$BC:$BC,"완료",'2023년 신조차 고장관리 세부현황'!$CY:$CY,"SIV")</f>
        <v>0</v>
      </c>
      <c r="T365"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분석_15일'!$F365,'2023년 신조차 고장관리 세부현황'!$BC:$BC,"완료",'2023년 신조차 고장관리 세부현황'!$CY:$CY,"SIV")</f>
        <v>0</v>
      </c>
      <c r="U365"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분석_15일'!$F365,'2023년 신조차 고장관리 세부현황'!$BC:$BC,"완료",'2023년 신조차 고장관리 세부현황'!$CY:$CY,"SIV")</f>
        <v>0</v>
      </c>
      <c r="V365"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분석_15일'!$F365,'2023년 신조차 고장관리 세부현황'!$BC:$BC,"완료",'2023년 신조차 고장관리 세부현황'!$CY:$CY,"SIV")</f>
        <v>0</v>
      </c>
      <c r="W365"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분석_15일'!$F365,'2023년 신조차 고장관리 세부현황'!$BC:$BC,"완료",'2023년 신조차 고장관리 세부현황'!$CY:$CY,"SIV")</f>
        <v>0</v>
      </c>
      <c r="X365"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분석_15일'!$F365,'2023년 신조차 고장관리 세부현황'!$BC:$BC,"완료",'2023년 신조차 고장관리 세부현황'!$CY:$CY,"SIV")</f>
        <v>0</v>
      </c>
      <c r="Y365"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분석_15일'!$F365,'2023년 신조차 고장관리 세부현황'!$BC:$BC,"완료",'2023년 신조차 고장관리 세부현황'!$CY:$CY,"SIV")</f>
        <v>0</v>
      </c>
      <c r="Z365"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분석_15일'!$F365,'2023년 신조차 고장관리 세부현황'!$BC:$BC,"완료",'2023년 신조차 고장관리 세부현황'!$CY:$CY,"SIV")</f>
        <v>0</v>
      </c>
      <c r="AA365"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분석_15일'!$F365,'2023년 신조차 고장관리 세부현황'!$BC:$BC,"완료",'2023년 신조차 고장관리 세부현황'!$CY:$CY,"SIV")</f>
        <v>0</v>
      </c>
      <c r="AB365"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분석_15일'!$F365,'2023년 신조차 고장관리 세부현황'!$BC:$BC,"완료",'2023년 신조차 고장관리 세부현황'!$CY:$CY,"SIV")</f>
        <v>0</v>
      </c>
      <c r="AC365"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분석_15일'!$F365,'2023년 신조차 고장관리 세부현황'!$BC:$BC,"완료",'2023년 신조차 고장관리 세부현황'!$CY:$CY,"SIV")</f>
        <v>0</v>
      </c>
      <c r="AD365"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분석_15일'!$F365,'2023년 신조차 고장관리 세부현황'!$BC:$BC,"완료",'2023년 신조차 고장관리 세부현황'!$CY:$CY,"SIV")</f>
        <v>0</v>
      </c>
      <c r="AE365"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분석_15일'!$F365,'2023년 신조차 고장관리 세부현황'!$BC:$BC,"완료",'2023년 신조차 고장관리 세부현황'!$CY:$CY,"SIV")</f>
        <v>0</v>
      </c>
      <c r="AF365"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분석_15일'!$F365,'2023년 신조차 고장관리 세부현황'!$BC:$BC,"완료",'2023년 신조차 고장관리 세부현황'!$CY:$CY,"SIV")</f>
        <v>0</v>
      </c>
      <c r="AG365"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분석_15일'!$F365,'2023년 신조차 고장관리 세부현황'!$BC:$BC,"완료",'2023년 신조차 고장관리 세부현황'!$CY:$CY,"SIV")</f>
        <v>0</v>
      </c>
      <c r="AH365"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분석_15일'!$F365,'2023년 신조차 고장관리 세부현황'!$BC:$BC,"완료",'2023년 신조차 고장관리 세부현황'!$CY:$CY,"SIV")</f>
        <v>0</v>
      </c>
      <c r="AI365"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분석_15일'!$F365,'2023년 신조차 고장관리 세부현황'!$BC:$BC,"완료",'2023년 신조차 고장관리 세부현황'!$CY:$CY,"SIV")</f>
        <v>0</v>
      </c>
      <c r="AJ365"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분석_15일'!$F365,'2023년 신조차 고장관리 세부현황'!$BC:$BC,"완료",'2023년 신조차 고장관리 세부현황'!$CY:$CY,"SIV")</f>
        <v>0</v>
      </c>
      <c r="AK365"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분석_15일'!$F365,'2023년 신조차 고장관리 세부현황'!$BC:$BC,"완료",'2023년 신조차 고장관리 세부현황'!$CY:$CY,"SIV")</f>
        <v>0</v>
      </c>
      <c r="AL365"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분석_15일'!$F365,'2023년 신조차 고장관리 세부현황'!$BC:$BC,"완료",'2023년 신조차 고장관리 세부현황'!$CY:$CY,"SIV")</f>
        <v>0</v>
      </c>
      <c r="AM365"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분석_15일'!$F365,'2023년 신조차 고장관리 세부현황'!$BC:$BC,"완료",'2023년 신조차 고장관리 세부현황'!$CY:$CY,"SIV")</f>
        <v>0</v>
      </c>
      <c r="AN365"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분석_15일'!$F365,'2023년 신조차 고장관리 세부현황'!$BC:$BC,"완료",'2023년 신조차 고장관리 세부현황'!$CY:$CY,"SIV")</f>
        <v>0</v>
      </c>
      <c r="AO365"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분석_15일'!$F365,'2023년 신조차 고장관리 세부현황'!$BC:$BC,"완료",'2023년 신조차 고장관리 세부현황'!$CY:$CY,"SIV")</f>
        <v>0</v>
      </c>
      <c r="AP365"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분석_15일'!$F365,'2023년 신조차 고장관리 세부현황'!$BC:$BC,"완료",'2023년 신조차 고장관리 세부현황'!$CY:$CY,"SIV")</f>
        <v>0</v>
      </c>
      <c r="AQ365"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분석_15일'!$F365,'2023년 신조차 고장관리 세부현황'!$BC:$BC,"완료",'2023년 신조차 고장관리 세부현황'!$CY:$CY,"SIV")</f>
        <v>0</v>
      </c>
      <c r="AR365"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분석_15일'!$F365,'2023년 신조차 고장관리 세부현황'!$BC:$BC,"완료",'2023년 신조차 고장관리 세부현황'!$CY:$CY,"SIV")</f>
        <v>0</v>
      </c>
      <c r="AS365"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분석_15일'!$F365,'2023년 신조차 고장관리 세부현황'!$BC:$BC,"완료",'2023년 신조차 고장관리 세부현황'!$CY:$CY,"SIV")</f>
        <v>0</v>
      </c>
      <c r="AT365"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분석_15일'!$F365,'2023년 신조차 고장관리 세부현황'!$BC:$BC,"완료",'2023년 신조차 고장관리 세부현황'!$CY:$CY,"SIV")</f>
        <v>0</v>
      </c>
      <c r="AU365"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분석_15일'!$F365,'2023년 신조차 고장관리 세부현황'!$BC:$BC,"완료",'2023년 신조차 고장관리 세부현황'!$CY:$CY,"SIV")</f>
        <v>0</v>
      </c>
      <c r="AV365"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분석_15일'!$F365,'2023년 신조차 고장관리 세부현황'!$BC:$BC,"완료",'2023년 신조차 고장관리 세부현황'!$CY:$CY,"SIV")</f>
        <v>0</v>
      </c>
      <c r="AW365"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분석_15일'!$F365,'2023년 신조차 고장관리 세부현황'!$BC:$BC,"완료",'2023년 신조차 고장관리 세부현황'!$CY:$CY,"SIV")</f>
        <v>0</v>
      </c>
      <c r="AX365"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분석_15일'!$F365,'2023년 신조차 고장관리 세부현황'!$BC:$BC,"완료",'2023년 신조차 고장관리 세부현황'!$CY:$CY,"SIV")</f>
        <v>0</v>
      </c>
      <c r="AY365"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분석_15일'!$F365,'2023년 신조차 고장관리 세부현황'!$BC:$BC,"완료",'2023년 신조차 고장관리 세부현황'!$CY:$CY,"SIV")</f>
        <v>0</v>
      </c>
      <c r="AZ365"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분석_15일'!$F365,'2023년 신조차 고장관리 세부현황'!$BC:$BC,"완료",'2023년 신조차 고장관리 세부현황'!$CY:$CY,"SIV")</f>
        <v>0</v>
      </c>
      <c r="BA365"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분석_15일'!$F365,'2023년 신조차 고장관리 세부현황'!$BC:$BC,"완료",'2023년 신조차 고장관리 세부현황'!$CY:$CY,"SIV")</f>
        <v>0</v>
      </c>
      <c r="BB365"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분석_15일'!$F365,'2023년 신조차 고장관리 세부현황'!$BC:$BC,"완료",'2023년 신조차 고장관리 세부현황'!$CY:$CY,"SIV")</f>
        <v>0</v>
      </c>
      <c r="BC365"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분석_15일'!$F365,'2023년 신조차 고장관리 세부현황'!$BC:$BC,"완료",'2023년 신조차 고장관리 세부현황'!$CY:$CY,"SIV")</f>
        <v>0</v>
      </c>
      <c r="BD365"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분석_15일'!$F365,'2023년 신조차 고장관리 세부현황'!$BC:$BC,"완료",'2023년 신조차 고장관리 세부현황'!$CY:$CY,"SIV")</f>
        <v>0</v>
      </c>
      <c r="BE365"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분석_15일'!$F365,'2023년 신조차 고장관리 세부현황'!$BC:$BC,"완료",'2023년 신조차 고장관리 세부현황'!$CY:$CY,"SIV")</f>
        <v>0</v>
      </c>
      <c r="BF365"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분석_15일'!$F365,'2023년 신조차 고장관리 세부현황'!$BC:$BC,"완료",'2023년 신조차 고장관리 세부현황'!$CY:$CY,"SIV")</f>
        <v>0</v>
      </c>
      <c r="BG365"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분석_15일'!$F365,'2023년 신조차 고장관리 세부현황'!$BC:$BC,"완료",'2023년 신조차 고장관리 세부현황'!$CY:$CY,"SIV")</f>
        <v>0</v>
      </c>
      <c r="BH365"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분석_15일'!$F365,'2023년 신조차 고장관리 세부현황'!$BC:$BC,"완료",'2023년 신조차 고장관리 세부현황'!$CY:$CY,"SIV")</f>
        <v>0</v>
      </c>
      <c r="BI365"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분석_15일'!$F365,'2023년 신조차 고장관리 세부현황'!$BC:$BC,"완료",'2023년 신조차 고장관리 세부현황'!$CY:$CY,"SIV")</f>
        <v>0</v>
      </c>
      <c r="BJ365"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분석_15일'!$F365,'2023년 신조차 고장관리 세부현황'!$BC:$BC,"완료",'2023년 신조차 고장관리 세부현황'!$CY:$CY,"SIV")</f>
        <v>0</v>
      </c>
      <c r="BK365"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분석_15일'!$F365,'2023년 신조차 고장관리 세부현황'!$BC:$BC,"완료",'2023년 신조차 고장관리 세부현황'!$CY:$CY,"SIV")</f>
        <v>0</v>
      </c>
      <c r="BL365"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분석_15일'!$F365,'2023년 신조차 고장관리 세부현황'!$BC:$BC,"완료",'2023년 신조차 고장관리 세부현황'!$CY:$CY,"SIV")</f>
        <v>0</v>
      </c>
      <c r="BM365"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분석_15일'!$F365,'2023년 신조차 고장관리 세부현황'!$BC:$BC,"완료",'2023년 신조차 고장관리 세부현황'!$CY:$CY,"SIV")</f>
        <v>0</v>
      </c>
      <c r="BN365"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분석_15일'!$F365,'2023년 신조차 고장관리 세부현황'!$BC:$BC,"완료",'2023년 신조차 고장관리 세부현황'!$CY:$CY,"SIV")</f>
        <v>0</v>
      </c>
      <c r="BO365"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분석_15일'!$F365,'2023년 신조차 고장관리 세부현황'!$BC:$BC,"완료",'2023년 신조차 고장관리 세부현황'!$CY:$CY,"SIV")</f>
        <v>0</v>
      </c>
      <c r="BP365"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분석_15일'!$F365,'2023년 신조차 고장관리 세부현황'!$BC:$BC,"완료",'2023년 신조차 고장관리 세부현황'!$CY:$CY,"SIV")</f>
        <v>0</v>
      </c>
      <c r="BQ365"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분석_15일'!$F365,'2023년 신조차 고장관리 세부현황'!$BC:$BC,"완료",'2023년 신조차 고장관리 세부현황'!$CY:$CY,"SIV")</f>
        <v>0</v>
      </c>
      <c r="BR365"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분석_15일'!$F365,'2023년 신조차 고장관리 세부현황'!$BC:$BC,"완료",'2023년 신조차 고장관리 세부현황'!$CY:$CY,"SIV")</f>
        <v>0</v>
      </c>
      <c r="BS365"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분석_15일'!$F365,'2023년 신조차 고장관리 세부현황'!$BC:$BC,"완료",'2023년 신조차 고장관리 세부현황'!$CY:$CY,"SIV")</f>
        <v>0</v>
      </c>
      <c r="BT365"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분석_15일'!$F365,'2023년 신조차 고장관리 세부현황'!$BC:$BC,"완료",'2023년 신조차 고장관리 세부현황'!$CY:$CY,"SIV")</f>
        <v>0</v>
      </c>
      <c r="BU365"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분석_15일'!$F365,'2023년 신조차 고장관리 세부현황'!$BC:$BC,"완료",'2023년 신조차 고장관리 세부현황'!$CY:$CY,"SIV")</f>
        <v>0</v>
      </c>
      <c r="BV365"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분석_15일'!$F365,'2023년 신조차 고장관리 세부현황'!$BC:$BC,"완료",'2023년 신조차 고장관리 세부현황'!$CY:$CY,"SIV")</f>
        <v>0</v>
      </c>
      <c r="BW365"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분석_15일'!$F365,'2023년 신조차 고장관리 세부현황'!$BC:$BC,"완료",'2023년 신조차 고장관리 세부현황'!$CY:$CY,"SIV")</f>
        <v>0</v>
      </c>
      <c r="BX365"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분석_15일'!$F365,'2023년 신조차 고장관리 세부현황'!$BC:$BC,"완료",'2023년 신조차 고장관리 세부현황'!$CY:$CY,"SIV")</f>
        <v>0</v>
      </c>
      <c r="BY365"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분석_15일'!$F365,'2023년 신조차 고장관리 세부현황'!$BC:$BC,"완료",'2023년 신조차 고장관리 세부현황'!$CY:$CY,"SIV")</f>
        <v>0</v>
      </c>
      <c r="BZ365"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분석_15일'!$F365,'2023년 신조차 고장관리 세부현황'!$BC:$BC,"완료",'2023년 신조차 고장관리 세부현황'!$CY:$CY,"SIV")</f>
        <v>0</v>
      </c>
      <c r="CA365"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분석_15일'!$F365,'2023년 신조차 고장관리 세부현황'!$BC:$BC,"완료",'2023년 신조차 고장관리 세부현황'!$CY:$CY,"SIV")</f>
        <v>0</v>
      </c>
      <c r="CB365"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분석_15일'!$F365,'2023년 신조차 고장관리 세부현황'!$BC:$BC,"완료",'2023년 신조차 고장관리 세부현황'!$CY:$CY,"SIV")</f>
        <v>0</v>
      </c>
      <c r="CC365"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분석_15일'!$F365,'2023년 신조차 고장관리 세부현황'!$BC:$BC,"완료",'2023년 신조차 고장관리 세부현황'!$CY:$CY,"SIV")</f>
        <v>0</v>
      </c>
      <c r="CD365"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분석_15일'!$F365,'2023년 신조차 고장관리 세부현황'!$BC:$BC,"완료",'2023년 신조차 고장관리 세부현황'!$CY:$CY,"SIV")</f>
        <v>0</v>
      </c>
      <c r="CE365"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분석_15일'!$F365,'2023년 신조차 고장관리 세부현황'!$BC:$BC,"완료",'2023년 신조차 고장관리 세부현황'!$CY:$CY,"SIV")</f>
        <v>0</v>
      </c>
      <c r="CF365"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분석_15일'!$F365,'2023년 신조차 고장관리 세부현황'!$BC:$BC,"완료",'2023년 신조차 고장관리 세부현황'!$CY:$CY,"SIV")</f>
        <v>0</v>
      </c>
      <c r="CG365"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분석_15일'!$F365,'2023년 신조차 고장관리 세부현황'!$BC:$BC,"완료",'2023년 신조차 고장관리 세부현황'!$CY:$CY,"SIV")</f>
        <v>0</v>
      </c>
      <c r="CH365"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분석_15일'!$F365,'2023년 신조차 고장관리 세부현황'!$BC:$BC,"완료",'2023년 신조차 고장관리 세부현황'!$CY:$CY,"SIV")</f>
        <v>0</v>
      </c>
      <c r="CI365"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분석_15일'!$F365,'2023년 신조차 고장관리 세부현황'!$BC:$BC,"완료",'2023년 신조차 고장관리 세부현황'!$CY:$CY,"SIV")</f>
        <v>0</v>
      </c>
      <c r="CJ365"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분석_15일'!$F365,'2023년 신조차 고장관리 세부현황'!$BC:$BC,"완료",'2023년 신조차 고장관리 세부현황'!$CY:$CY,"SIV")</f>
        <v>0</v>
      </c>
      <c r="CK365"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분석_15일'!$F365,'2023년 신조차 고장관리 세부현황'!$BC:$BC,"완료",'2023년 신조차 고장관리 세부현황'!$CY:$CY,"SIV")</f>
        <v>0</v>
      </c>
      <c r="CL365"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분석_15일'!$F365,'2023년 신조차 고장관리 세부현황'!$BC:$BC,"완료",'2023년 신조차 고장관리 세부현황'!$CY:$CY,"SIV")</f>
        <v>0</v>
      </c>
      <c r="CM365"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분석_15일'!$F365,'2023년 신조차 고장관리 세부현황'!$BC:$BC,"완료",'2023년 신조차 고장관리 세부현황'!$CY:$CY,"SIV")</f>
        <v>0</v>
      </c>
      <c r="CN365"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분석_15일'!$F365,'2023년 신조차 고장관리 세부현황'!$BC:$BC,"완료",'2023년 신조차 고장관리 세부현황'!$CY:$CY,"SIV")</f>
        <v>0</v>
      </c>
      <c r="CO365"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분석_15일'!$F365,'2023년 신조차 고장관리 세부현황'!$BC:$BC,"완료",'2023년 신조차 고장관리 세부현황'!$CY:$CY,"SIV")</f>
        <v>0</v>
      </c>
      <c r="CP365"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분석_15일'!$F365,'2023년 신조차 고장관리 세부현황'!$BC:$BC,"완료",'2023년 신조차 고장관리 세부현황'!$CY:$CY,"SIV")</f>
        <v>0</v>
      </c>
      <c r="CQ365"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분석_15일'!$F365,'2023년 신조차 고장관리 세부현황'!$BC:$BC,"완료",'2023년 신조차 고장관리 세부현황'!$CY:$CY,"SIV")</f>
        <v>0</v>
      </c>
      <c r="CR365"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분석_15일'!$F365,'2023년 신조차 고장관리 세부현황'!$BC:$BC,"완료",'2023년 신조차 고장관리 세부현황'!$CY:$CY,"SIV")</f>
        <v>0</v>
      </c>
      <c r="CS365"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분석_15일'!$F365,'2023년 신조차 고장관리 세부현황'!$BC:$BC,"완료",'2023년 신조차 고장관리 세부현황'!$CY:$CY,"SIV")</f>
        <v>0</v>
      </c>
      <c r="CT365"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분석_15일'!$F365,'2023년 신조차 고장관리 세부현황'!$BC:$BC,"완료",'2023년 신조차 고장관리 세부현황'!$CY:$CY,"SIV")</f>
        <v>0</v>
      </c>
      <c r="CU365"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분석_15일'!$F365,'2023년 신조차 고장관리 세부현황'!$BC:$BC,"완료",'2023년 신조차 고장관리 세부현황'!$CY:$CY,"SIV")</f>
        <v>0</v>
      </c>
      <c r="CV365"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분석_15일'!$F365,'2023년 신조차 고장관리 세부현황'!$BC:$BC,"완료",'2023년 신조차 고장관리 세부현황'!$CY:$CY,"SIV")</f>
        <v>0</v>
      </c>
      <c r="CW365"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분석_15일'!$F365,'2023년 신조차 고장관리 세부현황'!$BC:$BC,"완료",'2023년 신조차 고장관리 세부현황'!$CY:$CY,"SIV")</f>
        <v>0</v>
      </c>
      <c r="CX365">
        <f>SUM(G365:CW365)</f>
        <v>0</v>
      </c>
      <c r="CY365" t="s">
        <v>359</v>
      </c>
    </row>
    <row r="366" spans="6:103" x14ac:dyDescent="0.4">
      <c r="F366" s="85" t="s">
        <v>223</v>
      </c>
      <c r="G366" s="85">
        <f>COUNTIFS('2023년 신조차 고장관리 세부현황'!$K:$K,"128R",'2023년 신조차 고장관리 세부현황'!$P:$P,"&gt;="&amp;$G$17,'2023년 신조차 고장관리 세부현황'!$P:$P,"&lt;"&amp;'트랜드 분석_15일'!G$18,'2023년 신조차 고장관리 세부현황'!$S:$S,'트랜드 분석_15일'!$F366,'2023년 신조차 고장관리 세부현황'!$BC:$BC,"완료",'2023년 신조차 고장관리 세부현황'!$CY:$CY,"SIV")</f>
        <v>0</v>
      </c>
      <c r="H366"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분석_15일'!$F366,'2023년 신조차 고장관리 세부현황'!$BC:$BC,"완료",'2023년 신조차 고장관리 세부현황'!$CY:$CY,"SIV")</f>
        <v>0</v>
      </c>
      <c r="I366"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분석_15일'!$F366,'2023년 신조차 고장관리 세부현황'!$BC:$BC,"완료",'2023년 신조차 고장관리 세부현황'!$CY:$CY,"SIV")</f>
        <v>0</v>
      </c>
      <c r="J366"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분석_15일'!$F366,'2023년 신조차 고장관리 세부현황'!$BC:$BC,"완료",'2023년 신조차 고장관리 세부현황'!$CY:$CY,"SIV")</f>
        <v>0</v>
      </c>
      <c r="K366"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분석_15일'!$F366,'2023년 신조차 고장관리 세부현황'!$BC:$BC,"완료",'2023년 신조차 고장관리 세부현황'!$CY:$CY,"SIV")</f>
        <v>0</v>
      </c>
      <c r="L366"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분석_15일'!$F366,'2023년 신조차 고장관리 세부현황'!$BC:$BC,"완료",'2023년 신조차 고장관리 세부현황'!$CY:$CY,"SIV")</f>
        <v>0</v>
      </c>
      <c r="M366"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분석_15일'!$F366,'2023년 신조차 고장관리 세부현황'!$BC:$BC,"완료",'2023년 신조차 고장관리 세부현황'!$CY:$CY,"SIV")</f>
        <v>0</v>
      </c>
      <c r="N366"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분석_15일'!$F366,'2023년 신조차 고장관리 세부현황'!$BC:$BC,"완료",'2023년 신조차 고장관리 세부현황'!$CY:$CY,"SIV")</f>
        <v>0</v>
      </c>
      <c r="O366"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분석_15일'!$F366,'2023년 신조차 고장관리 세부현황'!$BC:$BC,"완료",'2023년 신조차 고장관리 세부현황'!$CY:$CY,"SIV")</f>
        <v>0</v>
      </c>
      <c r="P366"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분석_15일'!$F366,'2023년 신조차 고장관리 세부현황'!$BC:$BC,"완료",'2023년 신조차 고장관리 세부현황'!$CY:$CY,"SIV")</f>
        <v>0</v>
      </c>
      <c r="Q366"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분석_15일'!$F366,'2023년 신조차 고장관리 세부현황'!$BC:$BC,"완료",'2023년 신조차 고장관리 세부현황'!$CY:$CY,"SIV")</f>
        <v>0</v>
      </c>
      <c r="R366"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분석_15일'!$F366,'2023년 신조차 고장관리 세부현황'!$BC:$BC,"완료",'2023년 신조차 고장관리 세부현황'!$CY:$CY,"SIV")</f>
        <v>0</v>
      </c>
      <c r="S366"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분석_15일'!$F366,'2023년 신조차 고장관리 세부현황'!$BC:$BC,"완료",'2023년 신조차 고장관리 세부현황'!$CY:$CY,"SIV")</f>
        <v>0</v>
      </c>
      <c r="T366"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분석_15일'!$F366,'2023년 신조차 고장관리 세부현황'!$BC:$BC,"완료",'2023년 신조차 고장관리 세부현황'!$CY:$CY,"SIV")</f>
        <v>0</v>
      </c>
      <c r="U366"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분석_15일'!$F366,'2023년 신조차 고장관리 세부현황'!$BC:$BC,"완료",'2023년 신조차 고장관리 세부현황'!$CY:$CY,"SIV")</f>
        <v>0</v>
      </c>
      <c r="V366"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분석_15일'!$F366,'2023년 신조차 고장관리 세부현황'!$BC:$BC,"완료",'2023년 신조차 고장관리 세부현황'!$CY:$CY,"SIV")</f>
        <v>0</v>
      </c>
      <c r="W366"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분석_15일'!$F366,'2023년 신조차 고장관리 세부현황'!$BC:$BC,"완료",'2023년 신조차 고장관리 세부현황'!$CY:$CY,"SIV")</f>
        <v>0</v>
      </c>
      <c r="X366"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분석_15일'!$F366,'2023년 신조차 고장관리 세부현황'!$BC:$BC,"완료",'2023년 신조차 고장관리 세부현황'!$CY:$CY,"SIV")</f>
        <v>0</v>
      </c>
      <c r="Y366"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분석_15일'!$F366,'2023년 신조차 고장관리 세부현황'!$BC:$BC,"완료",'2023년 신조차 고장관리 세부현황'!$CY:$CY,"SIV")</f>
        <v>0</v>
      </c>
      <c r="Z366"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분석_15일'!$F366,'2023년 신조차 고장관리 세부현황'!$BC:$BC,"완료",'2023년 신조차 고장관리 세부현황'!$CY:$CY,"SIV")</f>
        <v>0</v>
      </c>
      <c r="AA366"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분석_15일'!$F366,'2023년 신조차 고장관리 세부현황'!$BC:$BC,"완료",'2023년 신조차 고장관리 세부현황'!$CY:$CY,"SIV")</f>
        <v>0</v>
      </c>
      <c r="AB366"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분석_15일'!$F366,'2023년 신조차 고장관리 세부현황'!$BC:$BC,"완료",'2023년 신조차 고장관리 세부현황'!$CY:$CY,"SIV")</f>
        <v>0</v>
      </c>
      <c r="AC366"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분석_15일'!$F366,'2023년 신조차 고장관리 세부현황'!$BC:$BC,"완료",'2023년 신조차 고장관리 세부현황'!$CY:$CY,"SIV")</f>
        <v>0</v>
      </c>
      <c r="AD366"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분석_15일'!$F366,'2023년 신조차 고장관리 세부현황'!$BC:$BC,"완료",'2023년 신조차 고장관리 세부현황'!$CY:$CY,"SIV")</f>
        <v>0</v>
      </c>
      <c r="AE366"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분석_15일'!$F366,'2023년 신조차 고장관리 세부현황'!$BC:$BC,"완료",'2023년 신조차 고장관리 세부현황'!$CY:$CY,"SIV")</f>
        <v>0</v>
      </c>
      <c r="AF366"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분석_15일'!$F366,'2023년 신조차 고장관리 세부현황'!$BC:$BC,"완료",'2023년 신조차 고장관리 세부현황'!$CY:$CY,"SIV")</f>
        <v>0</v>
      </c>
      <c r="AG366"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분석_15일'!$F366,'2023년 신조차 고장관리 세부현황'!$BC:$BC,"완료",'2023년 신조차 고장관리 세부현황'!$CY:$CY,"SIV")</f>
        <v>0</v>
      </c>
      <c r="AH366"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분석_15일'!$F366,'2023년 신조차 고장관리 세부현황'!$BC:$BC,"완료",'2023년 신조차 고장관리 세부현황'!$CY:$CY,"SIV")</f>
        <v>0</v>
      </c>
      <c r="AI366"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분석_15일'!$F366,'2023년 신조차 고장관리 세부현황'!$BC:$BC,"완료",'2023년 신조차 고장관리 세부현황'!$CY:$CY,"SIV")</f>
        <v>0</v>
      </c>
      <c r="AJ366"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분석_15일'!$F366,'2023년 신조차 고장관리 세부현황'!$BC:$BC,"완료",'2023년 신조차 고장관리 세부현황'!$CY:$CY,"SIV")</f>
        <v>0</v>
      </c>
      <c r="AK366"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분석_15일'!$F366,'2023년 신조차 고장관리 세부현황'!$BC:$BC,"완료",'2023년 신조차 고장관리 세부현황'!$CY:$CY,"SIV")</f>
        <v>0</v>
      </c>
      <c r="AL366"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분석_15일'!$F366,'2023년 신조차 고장관리 세부현황'!$BC:$BC,"완료",'2023년 신조차 고장관리 세부현황'!$CY:$CY,"SIV")</f>
        <v>0</v>
      </c>
      <c r="AM366"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분석_15일'!$F366,'2023년 신조차 고장관리 세부현황'!$BC:$BC,"완료",'2023년 신조차 고장관리 세부현황'!$CY:$CY,"SIV")</f>
        <v>0</v>
      </c>
      <c r="AN366"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분석_15일'!$F366,'2023년 신조차 고장관리 세부현황'!$BC:$BC,"완료",'2023년 신조차 고장관리 세부현황'!$CY:$CY,"SIV")</f>
        <v>0</v>
      </c>
      <c r="AO366"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분석_15일'!$F366,'2023년 신조차 고장관리 세부현황'!$BC:$BC,"완료",'2023년 신조차 고장관리 세부현황'!$CY:$CY,"SIV")</f>
        <v>0</v>
      </c>
      <c r="AP366"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분석_15일'!$F366,'2023년 신조차 고장관리 세부현황'!$BC:$BC,"완료",'2023년 신조차 고장관리 세부현황'!$CY:$CY,"SIV")</f>
        <v>0</v>
      </c>
      <c r="AQ366"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분석_15일'!$F366,'2023년 신조차 고장관리 세부현황'!$BC:$BC,"완료",'2023년 신조차 고장관리 세부현황'!$CY:$CY,"SIV")</f>
        <v>0</v>
      </c>
      <c r="AR366"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분석_15일'!$F366,'2023년 신조차 고장관리 세부현황'!$BC:$BC,"완료",'2023년 신조차 고장관리 세부현황'!$CY:$CY,"SIV")</f>
        <v>0</v>
      </c>
      <c r="AS366"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분석_15일'!$F366,'2023년 신조차 고장관리 세부현황'!$BC:$BC,"완료",'2023년 신조차 고장관리 세부현황'!$CY:$CY,"SIV")</f>
        <v>0</v>
      </c>
      <c r="AT366"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분석_15일'!$F366,'2023년 신조차 고장관리 세부현황'!$BC:$BC,"완료",'2023년 신조차 고장관리 세부현황'!$CY:$CY,"SIV")</f>
        <v>0</v>
      </c>
      <c r="AU366"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분석_15일'!$F366,'2023년 신조차 고장관리 세부현황'!$BC:$BC,"완료",'2023년 신조차 고장관리 세부현황'!$CY:$CY,"SIV")</f>
        <v>0</v>
      </c>
      <c r="AV366"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분석_15일'!$F366,'2023년 신조차 고장관리 세부현황'!$BC:$BC,"완료",'2023년 신조차 고장관리 세부현황'!$CY:$CY,"SIV")</f>
        <v>0</v>
      </c>
      <c r="AW366"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분석_15일'!$F366,'2023년 신조차 고장관리 세부현황'!$BC:$BC,"완료",'2023년 신조차 고장관리 세부현황'!$CY:$CY,"SIV")</f>
        <v>0</v>
      </c>
      <c r="AX366"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분석_15일'!$F366,'2023년 신조차 고장관리 세부현황'!$BC:$BC,"완료",'2023년 신조차 고장관리 세부현황'!$CY:$CY,"SIV")</f>
        <v>0</v>
      </c>
      <c r="AY366"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분석_15일'!$F366,'2023년 신조차 고장관리 세부현황'!$BC:$BC,"완료",'2023년 신조차 고장관리 세부현황'!$CY:$CY,"SIV")</f>
        <v>0</v>
      </c>
      <c r="AZ366"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분석_15일'!$F366,'2023년 신조차 고장관리 세부현황'!$BC:$BC,"완료",'2023년 신조차 고장관리 세부현황'!$CY:$CY,"SIV")</f>
        <v>0</v>
      </c>
      <c r="BA366"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분석_15일'!$F366,'2023년 신조차 고장관리 세부현황'!$BC:$BC,"완료",'2023년 신조차 고장관리 세부현황'!$CY:$CY,"SIV")</f>
        <v>0</v>
      </c>
      <c r="BB366"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분석_15일'!$F366,'2023년 신조차 고장관리 세부현황'!$BC:$BC,"완료",'2023년 신조차 고장관리 세부현황'!$CY:$CY,"SIV")</f>
        <v>0</v>
      </c>
      <c r="BC366"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분석_15일'!$F366,'2023년 신조차 고장관리 세부현황'!$BC:$BC,"완료",'2023년 신조차 고장관리 세부현황'!$CY:$CY,"SIV")</f>
        <v>0</v>
      </c>
      <c r="BD366"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분석_15일'!$F366,'2023년 신조차 고장관리 세부현황'!$BC:$BC,"완료",'2023년 신조차 고장관리 세부현황'!$CY:$CY,"SIV")</f>
        <v>0</v>
      </c>
      <c r="BE366"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분석_15일'!$F366,'2023년 신조차 고장관리 세부현황'!$BC:$BC,"완료",'2023년 신조차 고장관리 세부현황'!$CY:$CY,"SIV")</f>
        <v>0</v>
      </c>
      <c r="BF366"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분석_15일'!$F366,'2023년 신조차 고장관리 세부현황'!$BC:$BC,"완료",'2023년 신조차 고장관리 세부현황'!$CY:$CY,"SIV")</f>
        <v>0</v>
      </c>
      <c r="BG366"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분석_15일'!$F366,'2023년 신조차 고장관리 세부현황'!$BC:$BC,"완료",'2023년 신조차 고장관리 세부현황'!$CY:$CY,"SIV")</f>
        <v>0</v>
      </c>
      <c r="BH366"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분석_15일'!$F366,'2023년 신조차 고장관리 세부현황'!$BC:$BC,"완료",'2023년 신조차 고장관리 세부현황'!$CY:$CY,"SIV")</f>
        <v>0</v>
      </c>
      <c r="BI366"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분석_15일'!$F366,'2023년 신조차 고장관리 세부현황'!$BC:$BC,"완료",'2023년 신조차 고장관리 세부현황'!$CY:$CY,"SIV")</f>
        <v>0</v>
      </c>
      <c r="BJ366"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분석_15일'!$F366,'2023년 신조차 고장관리 세부현황'!$BC:$BC,"완료",'2023년 신조차 고장관리 세부현황'!$CY:$CY,"SIV")</f>
        <v>0</v>
      </c>
      <c r="BK366"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분석_15일'!$F366,'2023년 신조차 고장관리 세부현황'!$BC:$BC,"완료",'2023년 신조차 고장관리 세부현황'!$CY:$CY,"SIV")</f>
        <v>0</v>
      </c>
      <c r="BL366"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분석_15일'!$F366,'2023년 신조차 고장관리 세부현황'!$BC:$BC,"완료",'2023년 신조차 고장관리 세부현황'!$CY:$CY,"SIV")</f>
        <v>0</v>
      </c>
      <c r="BM366"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분석_15일'!$F366,'2023년 신조차 고장관리 세부현황'!$BC:$BC,"완료",'2023년 신조차 고장관리 세부현황'!$CY:$CY,"SIV")</f>
        <v>0</v>
      </c>
      <c r="BN366"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분석_15일'!$F366,'2023년 신조차 고장관리 세부현황'!$BC:$BC,"완료",'2023년 신조차 고장관리 세부현황'!$CY:$CY,"SIV")</f>
        <v>0</v>
      </c>
      <c r="BO366"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분석_15일'!$F366,'2023년 신조차 고장관리 세부현황'!$BC:$BC,"완료",'2023년 신조차 고장관리 세부현황'!$CY:$CY,"SIV")</f>
        <v>0</v>
      </c>
      <c r="BP366"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분석_15일'!$F366,'2023년 신조차 고장관리 세부현황'!$BC:$BC,"완료",'2023년 신조차 고장관리 세부현황'!$CY:$CY,"SIV")</f>
        <v>0</v>
      </c>
      <c r="BQ366"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분석_15일'!$F366,'2023년 신조차 고장관리 세부현황'!$BC:$BC,"완료",'2023년 신조차 고장관리 세부현황'!$CY:$CY,"SIV")</f>
        <v>0</v>
      </c>
      <c r="BR366"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분석_15일'!$F366,'2023년 신조차 고장관리 세부현황'!$BC:$BC,"완료",'2023년 신조차 고장관리 세부현황'!$CY:$CY,"SIV")</f>
        <v>0</v>
      </c>
      <c r="BS366"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분석_15일'!$F366,'2023년 신조차 고장관리 세부현황'!$BC:$BC,"완료",'2023년 신조차 고장관리 세부현황'!$CY:$CY,"SIV")</f>
        <v>0</v>
      </c>
      <c r="BT366"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분석_15일'!$F366,'2023년 신조차 고장관리 세부현황'!$BC:$BC,"완료",'2023년 신조차 고장관리 세부현황'!$CY:$CY,"SIV")</f>
        <v>0</v>
      </c>
      <c r="BU366"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분석_15일'!$F366,'2023년 신조차 고장관리 세부현황'!$BC:$BC,"완료",'2023년 신조차 고장관리 세부현황'!$CY:$CY,"SIV")</f>
        <v>0</v>
      </c>
      <c r="BV366"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분석_15일'!$F366,'2023년 신조차 고장관리 세부현황'!$BC:$BC,"완료",'2023년 신조차 고장관리 세부현황'!$CY:$CY,"SIV")</f>
        <v>0</v>
      </c>
      <c r="BW366"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분석_15일'!$F366,'2023년 신조차 고장관리 세부현황'!$BC:$BC,"완료",'2023년 신조차 고장관리 세부현황'!$CY:$CY,"SIV")</f>
        <v>0</v>
      </c>
      <c r="BX366"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분석_15일'!$F366,'2023년 신조차 고장관리 세부현황'!$BC:$BC,"완료",'2023년 신조차 고장관리 세부현황'!$CY:$CY,"SIV")</f>
        <v>0</v>
      </c>
      <c r="BY366"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분석_15일'!$F366,'2023년 신조차 고장관리 세부현황'!$BC:$BC,"완료",'2023년 신조차 고장관리 세부현황'!$CY:$CY,"SIV")</f>
        <v>0</v>
      </c>
      <c r="BZ366"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분석_15일'!$F366,'2023년 신조차 고장관리 세부현황'!$BC:$BC,"완료",'2023년 신조차 고장관리 세부현황'!$CY:$CY,"SIV")</f>
        <v>0</v>
      </c>
      <c r="CA366"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분석_15일'!$F366,'2023년 신조차 고장관리 세부현황'!$BC:$BC,"완료",'2023년 신조차 고장관리 세부현황'!$CY:$CY,"SIV")</f>
        <v>0</v>
      </c>
      <c r="CB366"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분석_15일'!$F366,'2023년 신조차 고장관리 세부현황'!$BC:$BC,"완료",'2023년 신조차 고장관리 세부현황'!$CY:$CY,"SIV")</f>
        <v>0</v>
      </c>
      <c r="CC366"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분석_15일'!$F366,'2023년 신조차 고장관리 세부현황'!$BC:$BC,"완료",'2023년 신조차 고장관리 세부현황'!$CY:$CY,"SIV")</f>
        <v>0</v>
      </c>
      <c r="CD366"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분석_15일'!$F366,'2023년 신조차 고장관리 세부현황'!$BC:$BC,"완료",'2023년 신조차 고장관리 세부현황'!$CY:$CY,"SIV")</f>
        <v>0</v>
      </c>
      <c r="CE366"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분석_15일'!$F366,'2023년 신조차 고장관리 세부현황'!$BC:$BC,"완료",'2023년 신조차 고장관리 세부현황'!$CY:$CY,"SIV")</f>
        <v>0</v>
      </c>
      <c r="CF366"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분석_15일'!$F366,'2023년 신조차 고장관리 세부현황'!$BC:$BC,"완료",'2023년 신조차 고장관리 세부현황'!$CY:$CY,"SIV")</f>
        <v>0</v>
      </c>
      <c r="CG366"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분석_15일'!$F366,'2023년 신조차 고장관리 세부현황'!$BC:$BC,"완료",'2023년 신조차 고장관리 세부현황'!$CY:$CY,"SIV")</f>
        <v>0</v>
      </c>
      <c r="CH366"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분석_15일'!$F366,'2023년 신조차 고장관리 세부현황'!$BC:$BC,"완료",'2023년 신조차 고장관리 세부현황'!$CY:$CY,"SIV")</f>
        <v>0</v>
      </c>
      <c r="CI366"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분석_15일'!$F366,'2023년 신조차 고장관리 세부현황'!$BC:$BC,"완료",'2023년 신조차 고장관리 세부현황'!$CY:$CY,"SIV")</f>
        <v>0</v>
      </c>
      <c r="CJ366"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분석_15일'!$F366,'2023년 신조차 고장관리 세부현황'!$BC:$BC,"완료",'2023년 신조차 고장관리 세부현황'!$CY:$CY,"SIV")</f>
        <v>0</v>
      </c>
      <c r="CK366"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분석_15일'!$F366,'2023년 신조차 고장관리 세부현황'!$BC:$BC,"완료",'2023년 신조차 고장관리 세부현황'!$CY:$CY,"SIV")</f>
        <v>0</v>
      </c>
      <c r="CL366"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분석_15일'!$F366,'2023년 신조차 고장관리 세부현황'!$BC:$BC,"완료",'2023년 신조차 고장관리 세부현황'!$CY:$CY,"SIV")</f>
        <v>0</v>
      </c>
      <c r="CM366"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분석_15일'!$F366,'2023년 신조차 고장관리 세부현황'!$BC:$BC,"완료",'2023년 신조차 고장관리 세부현황'!$CY:$CY,"SIV")</f>
        <v>0</v>
      </c>
      <c r="CN366"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분석_15일'!$F366,'2023년 신조차 고장관리 세부현황'!$BC:$BC,"완료",'2023년 신조차 고장관리 세부현황'!$CY:$CY,"SIV")</f>
        <v>0</v>
      </c>
      <c r="CO366"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분석_15일'!$F366,'2023년 신조차 고장관리 세부현황'!$BC:$BC,"완료",'2023년 신조차 고장관리 세부현황'!$CY:$CY,"SIV")</f>
        <v>0</v>
      </c>
      <c r="CP366"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분석_15일'!$F366,'2023년 신조차 고장관리 세부현황'!$BC:$BC,"완료",'2023년 신조차 고장관리 세부현황'!$CY:$CY,"SIV")</f>
        <v>0</v>
      </c>
      <c r="CQ366"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분석_15일'!$F366,'2023년 신조차 고장관리 세부현황'!$BC:$BC,"완료",'2023년 신조차 고장관리 세부현황'!$CY:$CY,"SIV")</f>
        <v>0</v>
      </c>
      <c r="CR366"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분석_15일'!$F366,'2023년 신조차 고장관리 세부현황'!$BC:$BC,"완료",'2023년 신조차 고장관리 세부현황'!$CY:$CY,"SIV")</f>
        <v>0</v>
      </c>
      <c r="CS366"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분석_15일'!$F366,'2023년 신조차 고장관리 세부현황'!$BC:$BC,"완료",'2023년 신조차 고장관리 세부현황'!$CY:$CY,"SIV")</f>
        <v>0</v>
      </c>
      <c r="CT366"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분석_15일'!$F366,'2023년 신조차 고장관리 세부현황'!$BC:$BC,"완료",'2023년 신조차 고장관리 세부현황'!$CY:$CY,"SIV")</f>
        <v>0</v>
      </c>
      <c r="CU366"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분석_15일'!$F366,'2023년 신조차 고장관리 세부현황'!$BC:$BC,"완료",'2023년 신조차 고장관리 세부현황'!$CY:$CY,"SIV")</f>
        <v>0</v>
      </c>
      <c r="CV366"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분석_15일'!$F366,'2023년 신조차 고장관리 세부현황'!$BC:$BC,"완료",'2023년 신조차 고장관리 세부현황'!$CY:$CY,"SIV")</f>
        <v>0</v>
      </c>
      <c r="CW366"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분석_15일'!$F366,'2023년 신조차 고장관리 세부현황'!$BC:$BC,"완료",'2023년 신조차 고장관리 세부현황'!$CY:$CY,"SIV")</f>
        <v>0</v>
      </c>
      <c r="CX366">
        <f>SUM(G366:CW366)</f>
        <v>0</v>
      </c>
      <c r="CY366" t="s">
        <v>360</v>
      </c>
    </row>
    <row r="367" spans="6:103" x14ac:dyDescent="0.4">
      <c r="F367" s="85" t="s">
        <v>243</v>
      </c>
      <c r="G367" s="85">
        <f>G365+G366</f>
        <v>0</v>
      </c>
      <c r="H367" s="85">
        <f t="shared" ref="H367" si="347">H365+H366</f>
        <v>0</v>
      </c>
      <c r="I367" s="85">
        <f t="shared" ref="I367:BT367" si="348">I365+I366</f>
        <v>0</v>
      </c>
      <c r="J367" s="85">
        <f t="shared" si="348"/>
        <v>0</v>
      </c>
      <c r="K367" s="85">
        <f t="shared" si="348"/>
        <v>0</v>
      </c>
      <c r="L367" s="85">
        <f t="shared" si="348"/>
        <v>0</v>
      </c>
      <c r="M367" s="85">
        <f t="shared" si="348"/>
        <v>0</v>
      </c>
      <c r="N367" s="85">
        <f t="shared" si="348"/>
        <v>0</v>
      </c>
      <c r="O367" s="85">
        <f t="shared" si="348"/>
        <v>0</v>
      </c>
      <c r="P367" s="85">
        <f t="shared" si="348"/>
        <v>0</v>
      </c>
      <c r="Q367" s="85">
        <f t="shared" si="348"/>
        <v>0</v>
      </c>
      <c r="R367" s="85">
        <f t="shared" si="348"/>
        <v>0</v>
      </c>
      <c r="S367" s="85">
        <f t="shared" si="348"/>
        <v>0</v>
      </c>
      <c r="T367" s="85">
        <f t="shared" si="348"/>
        <v>0</v>
      </c>
      <c r="U367" s="85">
        <f t="shared" si="348"/>
        <v>0</v>
      </c>
      <c r="V367" s="85">
        <f t="shared" si="348"/>
        <v>0</v>
      </c>
      <c r="W367" s="85">
        <f t="shared" si="348"/>
        <v>0</v>
      </c>
      <c r="X367" s="85">
        <f t="shared" si="348"/>
        <v>0</v>
      </c>
      <c r="Y367" s="85">
        <f t="shared" si="348"/>
        <v>0</v>
      </c>
      <c r="Z367" s="85">
        <f t="shared" si="348"/>
        <v>0</v>
      </c>
      <c r="AA367" s="85">
        <f t="shared" si="348"/>
        <v>0</v>
      </c>
      <c r="AB367" s="85">
        <f t="shared" si="348"/>
        <v>0</v>
      </c>
      <c r="AC367" s="85">
        <f t="shared" si="348"/>
        <v>0</v>
      </c>
      <c r="AD367" s="85">
        <f t="shared" si="348"/>
        <v>0</v>
      </c>
      <c r="AE367" s="85">
        <f t="shared" si="348"/>
        <v>0</v>
      </c>
      <c r="AF367" s="85">
        <f t="shared" si="348"/>
        <v>0</v>
      </c>
      <c r="AG367" s="85">
        <f t="shared" si="348"/>
        <v>0</v>
      </c>
      <c r="AH367" s="85">
        <f t="shared" si="348"/>
        <v>0</v>
      </c>
      <c r="AI367" s="85">
        <f t="shared" si="348"/>
        <v>0</v>
      </c>
      <c r="AJ367" s="85">
        <f t="shared" si="348"/>
        <v>0</v>
      </c>
      <c r="AK367" s="85">
        <f t="shared" si="348"/>
        <v>0</v>
      </c>
      <c r="AL367" s="85">
        <f t="shared" si="348"/>
        <v>0</v>
      </c>
      <c r="AM367" s="85">
        <f t="shared" si="348"/>
        <v>0</v>
      </c>
      <c r="AN367" s="85">
        <f t="shared" si="348"/>
        <v>0</v>
      </c>
      <c r="AO367" s="85">
        <f t="shared" si="348"/>
        <v>0</v>
      </c>
      <c r="AP367" s="85">
        <f t="shared" si="348"/>
        <v>0</v>
      </c>
      <c r="AQ367" s="85">
        <f t="shared" si="348"/>
        <v>0</v>
      </c>
      <c r="AR367" s="85">
        <f t="shared" si="348"/>
        <v>0</v>
      </c>
      <c r="AS367" s="85">
        <f t="shared" si="348"/>
        <v>0</v>
      </c>
      <c r="AT367" s="85">
        <f t="shared" si="348"/>
        <v>0</v>
      </c>
      <c r="AU367" s="85">
        <f t="shared" si="348"/>
        <v>0</v>
      </c>
      <c r="AV367" s="85">
        <f t="shared" si="348"/>
        <v>0</v>
      </c>
      <c r="AW367" s="85">
        <f t="shared" si="348"/>
        <v>0</v>
      </c>
      <c r="AX367" s="85">
        <f t="shared" si="348"/>
        <v>0</v>
      </c>
      <c r="AY367" s="85">
        <f t="shared" si="348"/>
        <v>0</v>
      </c>
      <c r="AZ367" s="85">
        <f t="shared" si="348"/>
        <v>0</v>
      </c>
      <c r="BA367" s="85">
        <f t="shared" si="348"/>
        <v>0</v>
      </c>
      <c r="BB367" s="85">
        <f t="shared" si="348"/>
        <v>0</v>
      </c>
      <c r="BC367" s="85">
        <f t="shared" si="348"/>
        <v>0</v>
      </c>
      <c r="BD367" s="85">
        <f t="shared" si="348"/>
        <v>0</v>
      </c>
      <c r="BE367" s="85">
        <f t="shared" si="348"/>
        <v>0</v>
      </c>
      <c r="BF367" s="85">
        <f t="shared" si="348"/>
        <v>0</v>
      </c>
      <c r="BG367" s="85">
        <f t="shared" si="348"/>
        <v>0</v>
      </c>
      <c r="BH367" s="85">
        <f t="shared" si="348"/>
        <v>0</v>
      </c>
      <c r="BI367" s="85">
        <f t="shared" si="348"/>
        <v>0</v>
      </c>
      <c r="BJ367" s="85">
        <f t="shared" si="348"/>
        <v>0</v>
      </c>
      <c r="BK367" s="85">
        <f t="shared" si="348"/>
        <v>0</v>
      </c>
      <c r="BL367" s="85">
        <f t="shared" si="348"/>
        <v>0</v>
      </c>
      <c r="BM367" s="85">
        <f t="shared" si="348"/>
        <v>0</v>
      </c>
      <c r="BN367" s="85">
        <f t="shared" si="348"/>
        <v>0</v>
      </c>
      <c r="BO367" s="85">
        <f t="shared" si="348"/>
        <v>0</v>
      </c>
      <c r="BP367" s="85">
        <f t="shared" si="348"/>
        <v>0</v>
      </c>
      <c r="BQ367" s="85">
        <f t="shared" si="348"/>
        <v>0</v>
      </c>
      <c r="BR367" s="85">
        <f t="shared" si="348"/>
        <v>0</v>
      </c>
      <c r="BS367" s="85">
        <f t="shared" si="348"/>
        <v>0</v>
      </c>
      <c r="BT367" s="85">
        <f t="shared" si="348"/>
        <v>0</v>
      </c>
      <c r="BU367" s="85">
        <f t="shared" ref="BU367:CW367" si="349">BU365+BU366</f>
        <v>0</v>
      </c>
      <c r="BV367" s="85">
        <f t="shared" si="349"/>
        <v>0</v>
      </c>
      <c r="BW367" s="85">
        <f t="shared" si="349"/>
        <v>0</v>
      </c>
      <c r="BX367" s="85">
        <f t="shared" si="349"/>
        <v>0</v>
      </c>
      <c r="BY367" s="85">
        <f t="shared" si="349"/>
        <v>0</v>
      </c>
      <c r="BZ367" s="85">
        <f t="shared" si="349"/>
        <v>0</v>
      </c>
      <c r="CA367" s="85">
        <f t="shared" si="349"/>
        <v>0</v>
      </c>
      <c r="CB367" s="85">
        <f t="shared" si="349"/>
        <v>0</v>
      </c>
      <c r="CC367" s="85">
        <f t="shared" si="349"/>
        <v>0</v>
      </c>
      <c r="CD367" s="85">
        <f t="shared" si="349"/>
        <v>0</v>
      </c>
      <c r="CE367" s="85">
        <f t="shared" si="349"/>
        <v>0</v>
      </c>
      <c r="CF367" s="85">
        <f t="shared" si="349"/>
        <v>0</v>
      </c>
      <c r="CG367" s="85">
        <f t="shared" si="349"/>
        <v>0</v>
      </c>
      <c r="CH367" s="85">
        <f t="shared" si="349"/>
        <v>0</v>
      </c>
      <c r="CI367" s="85">
        <f t="shared" si="349"/>
        <v>0</v>
      </c>
      <c r="CJ367" s="85">
        <f t="shared" si="349"/>
        <v>0</v>
      </c>
      <c r="CK367" s="85">
        <f t="shared" si="349"/>
        <v>0</v>
      </c>
      <c r="CL367" s="85">
        <f t="shared" si="349"/>
        <v>0</v>
      </c>
      <c r="CM367" s="85">
        <f t="shared" si="349"/>
        <v>0</v>
      </c>
      <c r="CN367" s="85">
        <f t="shared" si="349"/>
        <v>0</v>
      </c>
      <c r="CO367" s="85">
        <f t="shared" si="349"/>
        <v>0</v>
      </c>
      <c r="CP367" s="85">
        <f t="shared" si="349"/>
        <v>0</v>
      </c>
      <c r="CQ367" s="85">
        <f t="shared" si="349"/>
        <v>0</v>
      </c>
      <c r="CR367" s="85">
        <f t="shared" si="349"/>
        <v>0</v>
      </c>
      <c r="CS367" s="85">
        <f t="shared" si="349"/>
        <v>0</v>
      </c>
      <c r="CT367" s="85">
        <f t="shared" si="349"/>
        <v>0</v>
      </c>
      <c r="CU367" s="85">
        <f t="shared" si="349"/>
        <v>0</v>
      </c>
      <c r="CV367" s="85">
        <f t="shared" si="349"/>
        <v>0</v>
      </c>
      <c r="CW367" s="85">
        <f t="shared" si="349"/>
        <v>0</v>
      </c>
      <c r="CX367">
        <f>SUM(G367:CW367)</f>
        <v>0</v>
      </c>
    </row>
    <row r="368" spans="6:103" x14ac:dyDescent="0.4">
      <c r="F368" s="86" t="s">
        <v>222</v>
      </c>
      <c r="G368" s="85">
        <f>COUNTIFS('2023년 신조차 고장관리 세부현황'!$K:$K,"128R",'2023년 신조차 고장관리 세부현황'!$P:$P,"&gt;="&amp;$G$17,'2023년 신조차 고장관리 세부현황'!$P:$P,"&lt;"&amp;'트랜드 분석_15일'!G$18,'2023년 신조차 고장관리 세부현황'!$S:$S,'트랜드 분석_15일'!$F368,'2023년 신조차 고장관리 세부현황'!$BC:$BC,"완료",'2023년 신조차 고장관리 세부현황'!$CY:$CY,"SIV")</f>
        <v>0</v>
      </c>
      <c r="H368"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분석_15일'!$F368,'2023년 신조차 고장관리 세부현황'!$BC:$BC,"완료",'2023년 신조차 고장관리 세부현황'!$CY:$CY,"SIV")</f>
        <v>0</v>
      </c>
      <c r="I368"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분석_15일'!$F368,'2023년 신조차 고장관리 세부현황'!$BC:$BC,"완료",'2023년 신조차 고장관리 세부현황'!$CY:$CY,"SIV")</f>
        <v>0</v>
      </c>
      <c r="J368"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분석_15일'!$F368,'2023년 신조차 고장관리 세부현황'!$BC:$BC,"완료",'2023년 신조차 고장관리 세부현황'!$CY:$CY,"SIV")</f>
        <v>0</v>
      </c>
      <c r="K368"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분석_15일'!$F368,'2023년 신조차 고장관리 세부현황'!$BC:$BC,"완료",'2023년 신조차 고장관리 세부현황'!$CY:$CY,"SIV")</f>
        <v>0</v>
      </c>
      <c r="L368"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분석_15일'!$F368,'2023년 신조차 고장관리 세부현황'!$BC:$BC,"완료",'2023년 신조차 고장관리 세부현황'!$CY:$CY,"SIV")</f>
        <v>0</v>
      </c>
      <c r="M368"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분석_15일'!$F368,'2023년 신조차 고장관리 세부현황'!$BC:$BC,"완료",'2023년 신조차 고장관리 세부현황'!$CY:$CY,"SIV")</f>
        <v>0</v>
      </c>
      <c r="N368"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분석_15일'!$F368,'2023년 신조차 고장관리 세부현황'!$BC:$BC,"완료",'2023년 신조차 고장관리 세부현황'!$CY:$CY,"SIV")</f>
        <v>0</v>
      </c>
      <c r="O368"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분석_15일'!$F368,'2023년 신조차 고장관리 세부현황'!$BC:$BC,"완료",'2023년 신조차 고장관리 세부현황'!$CY:$CY,"SIV")</f>
        <v>0</v>
      </c>
      <c r="P368"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분석_15일'!$F368,'2023년 신조차 고장관리 세부현황'!$BC:$BC,"완료",'2023년 신조차 고장관리 세부현황'!$CY:$CY,"SIV")</f>
        <v>0</v>
      </c>
      <c r="Q368"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분석_15일'!$F368,'2023년 신조차 고장관리 세부현황'!$BC:$BC,"완료",'2023년 신조차 고장관리 세부현황'!$CY:$CY,"SIV")</f>
        <v>0</v>
      </c>
      <c r="R368"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분석_15일'!$F368,'2023년 신조차 고장관리 세부현황'!$BC:$BC,"완료",'2023년 신조차 고장관리 세부현황'!$CY:$CY,"SIV")</f>
        <v>0</v>
      </c>
      <c r="S368"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분석_15일'!$F368,'2023년 신조차 고장관리 세부현황'!$BC:$BC,"완료",'2023년 신조차 고장관리 세부현황'!$CY:$CY,"SIV")</f>
        <v>0</v>
      </c>
      <c r="T368"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분석_15일'!$F368,'2023년 신조차 고장관리 세부현황'!$BC:$BC,"완료",'2023년 신조차 고장관리 세부현황'!$CY:$CY,"SIV")</f>
        <v>0</v>
      </c>
      <c r="U368"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분석_15일'!$F368,'2023년 신조차 고장관리 세부현황'!$BC:$BC,"완료",'2023년 신조차 고장관리 세부현황'!$CY:$CY,"SIV")</f>
        <v>0</v>
      </c>
      <c r="V368"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분석_15일'!$F368,'2023년 신조차 고장관리 세부현황'!$BC:$BC,"완료",'2023년 신조차 고장관리 세부현황'!$CY:$CY,"SIV")</f>
        <v>0</v>
      </c>
      <c r="W368"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분석_15일'!$F368,'2023년 신조차 고장관리 세부현황'!$BC:$BC,"완료",'2023년 신조차 고장관리 세부현황'!$CY:$CY,"SIV")</f>
        <v>0</v>
      </c>
      <c r="X368"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분석_15일'!$F368,'2023년 신조차 고장관리 세부현황'!$BC:$BC,"완료",'2023년 신조차 고장관리 세부현황'!$CY:$CY,"SIV")</f>
        <v>0</v>
      </c>
      <c r="Y368"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분석_15일'!$F368,'2023년 신조차 고장관리 세부현황'!$BC:$BC,"완료",'2023년 신조차 고장관리 세부현황'!$CY:$CY,"SIV")</f>
        <v>0</v>
      </c>
      <c r="Z368"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분석_15일'!$F368,'2023년 신조차 고장관리 세부현황'!$BC:$BC,"완료",'2023년 신조차 고장관리 세부현황'!$CY:$CY,"SIV")</f>
        <v>0</v>
      </c>
      <c r="AA368"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분석_15일'!$F368,'2023년 신조차 고장관리 세부현황'!$BC:$BC,"완료",'2023년 신조차 고장관리 세부현황'!$CY:$CY,"SIV")</f>
        <v>0</v>
      </c>
      <c r="AB368"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분석_15일'!$F368,'2023년 신조차 고장관리 세부현황'!$BC:$BC,"완료",'2023년 신조차 고장관리 세부현황'!$CY:$CY,"SIV")</f>
        <v>0</v>
      </c>
      <c r="AC368"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분석_15일'!$F368,'2023년 신조차 고장관리 세부현황'!$BC:$BC,"완료",'2023년 신조차 고장관리 세부현황'!$CY:$CY,"SIV")</f>
        <v>0</v>
      </c>
      <c r="AD368"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분석_15일'!$F368,'2023년 신조차 고장관리 세부현황'!$BC:$BC,"완료",'2023년 신조차 고장관리 세부현황'!$CY:$CY,"SIV")</f>
        <v>0</v>
      </c>
      <c r="AE368"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분석_15일'!$F368,'2023년 신조차 고장관리 세부현황'!$BC:$BC,"완료",'2023년 신조차 고장관리 세부현황'!$CY:$CY,"SIV")</f>
        <v>0</v>
      </c>
      <c r="AF368"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분석_15일'!$F368,'2023년 신조차 고장관리 세부현황'!$BC:$BC,"완료",'2023년 신조차 고장관리 세부현황'!$CY:$CY,"SIV")</f>
        <v>0</v>
      </c>
      <c r="AG368"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분석_15일'!$F368,'2023년 신조차 고장관리 세부현황'!$BC:$BC,"완료",'2023년 신조차 고장관리 세부현황'!$CY:$CY,"SIV")</f>
        <v>0</v>
      </c>
      <c r="AH368"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분석_15일'!$F368,'2023년 신조차 고장관리 세부현황'!$BC:$BC,"완료",'2023년 신조차 고장관리 세부현황'!$CY:$CY,"SIV")</f>
        <v>0</v>
      </c>
      <c r="AI368"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분석_15일'!$F368,'2023년 신조차 고장관리 세부현황'!$BC:$BC,"완료",'2023년 신조차 고장관리 세부현황'!$CY:$CY,"SIV")</f>
        <v>0</v>
      </c>
      <c r="AJ368"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분석_15일'!$F368,'2023년 신조차 고장관리 세부현황'!$BC:$BC,"완료",'2023년 신조차 고장관리 세부현황'!$CY:$CY,"SIV")</f>
        <v>0</v>
      </c>
      <c r="AK368"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분석_15일'!$F368,'2023년 신조차 고장관리 세부현황'!$BC:$BC,"완료",'2023년 신조차 고장관리 세부현황'!$CY:$CY,"SIV")</f>
        <v>0</v>
      </c>
      <c r="AL368"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분석_15일'!$F368,'2023년 신조차 고장관리 세부현황'!$BC:$BC,"완료",'2023년 신조차 고장관리 세부현황'!$CY:$CY,"SIV")</f>
        <v>0</v>
      </c>
      <c r="AM368"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분석_15일'!$F368,'2023년 신조차 고장관리 세부현황'!$BC:$BC,"완료",'2023년 신조차 고장관리 세부현황'!$CY:$CY,"SIV")</f>
        <v>0</v>
      </c>
      <c r="AN368"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분석_15일'!$F368,'2023년 신조차 고장관리 세부현황'!$BC:$BC,"완료",'2023년 신조차 고장관리 세부현황'!$CY:$CY,"SIV")</f>
        <v>0</v>
      </c>
      <c r="AO368"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분석_15일'!$F368,'2023년 신조차 고장관리 세부현황'!$BC:$BC,"완료",'2023년 신조차 고장관리 세부현황'!$CY:$CY,"SIV")</f>
        <v>0</v>
      </c>
      <c r="AP368"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분석_15일'!$F368,'2023년 신조차 고장관리 세부현황'!$BC:$BC,"완료",'2023년 신조차 고장관리 세부현황'!$CY:$CY,"SIV")</f>
        <v>0</v>
      </c>
      <c r="AQ368"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분석_15일'!$F368,'2023년 신조차 고장관리 세부현황'!$BC:$BC,"완료",'2023년 신조차 고장관리 세부현황'!$CY:$CY,"SIV")</f>
        <v>0</v>
      </c>
      <c r="AR368"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분석_15일'!$F368,'2023년 신조차 고장관리 세부현황'!$BC:$BC,"완료",'2023년 신조차 고장관리 세부현황'!$CY:$CY,"SIV")</f>
        <v>0</v>
      </c>
      <c r="AS368"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분석_15일'!$F368,'2023년 신조차 고장관리 세부현황'!$BC:$BC,"완료",'2023년 신조차 고장관리 세부현황'!$CY:$CY,"SIV")</f>
        <v>0</v>
      </c>
      <c r="AT368"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분석_15일'!$F368,'2023년 신조차 고장관리 세부현황'!$BC:$BC,"완료",'2023년 신조차 고장관리 세부현황'!$CY:$CY,"SIV")</f>
        <v>0</v>
      </c>
      <c r="AU368"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분석_15일'!$F368,'2023년 신조차 고장관리 세부현황'!$BC:$BC,"완료",'2023년 신조차 고장관리 세부현황'!$CY:$CY,"SIV")</f>
        <v>0</v>
      </c>
      <c r="AV368"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분석_15일'!$F368,'2023년 신조차 고장관리 세부현황'!$BC:$BC,"완료",'2023년 신조차 고장관리 세부현황'!$CY:$CY,"SIV")</f>
        <v>0</v>
      </c>
      <c r="AW368"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분석_15일'!$F368,'2023년 신조차 고장관리 세부현황'!$BC:$BC,"완료",'2023년 신조차 고장관리 세부현황'!$CY:$CY,"SIV")</f>
        <v>0</v>
      </c>
      <c r="AX368"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분석_15일'!$F368,'2023년 신조차 고장관리 세부현황'!$BC:$BC,"완료",'2023년 신조차 고장관리 세부현황'!$CY:$CY,"SIV")</f>
        <v>0</v>
      </c>
      <c r="AY368"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분석_15일'!$F368,'2023년 신조차 고장관리 세부현황'!$BC:$BC,"완료",'2023년 신조차 고장관리 세부현황'!$CY:$CY,"SIV")</f>
        <v>0</v>
      </c>
      <c r="AZ368"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분석_15일'!$F368,'2023년 신조차 고장관리 세부현황'!$BC:$BC,"완료",'2023년 신조차 고장관리 세부현황'!$CY:$CY,"SIV")</f>
        <v>0</v>
      </c>
      <c r="BA368"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분석_15일'!$F368,'2023년 신조차 고장관리 세부현황'!$BC:$BC,"완료",'2023년 신조차 고장관리 세부현황'!$CY:$CY,"SIV")</f>
        <v>0</v>
      </c>
      <c r="BB368"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분석_15일'!$F368,'2023년 신조차 고장관리 세부현황'!$BC:$BC,"완료",'2023년 신조차 고장관리 세부현황'!$CY:$CY,"SIV")</f>
        <v>0</v>
      </c>
      <c r="BC368"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분석_15일'!$F368,'2023년 신조차 고장관리 세부현황'!$BC:$BC,"완료",'2023년 신조차 고장관리 세부현황'!$CY:$CY,"SIV")</f>
        <v>0</v>
      </c>
      <c r="BD368"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분석_15일'!$F368,'2023년 신조차 고장관리 세부현황'!$BC:$BC,"완료",'2023년 신조차 고장관리 세부현황'!$CY:$CY,"SIV")</f>
        <v>0</v>
      </c>
      <c r="BE368"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분석_15일'!$F368,'2023년 신조차 고장관리 세부현황'!$BC:$BC,"완료",'2023년 신조차 고장관리 세부현황'!$CY:$CY,"SIV")</f>
        <v>0</v>
      </c>
      <c r="BF368"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분석_15일'!$F368,'2023년 신조차 고장관리 세부현황'!$BC:$BC,"완료",'2023년 신조차 고장관리 세부현황'!$CY:$CY,"SIV")</f>
        <v>0</v>
      </c>
      <c r="BG368"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분석_15일'!$F368,'2023년 신조차 고장관리 세부현황'!$BC:$BC,"완료",'2023년 신조차 고장관리 세부현황'!$CY:$CY,"SIV")</f>
        <v>0</v>
      </c>
      <c r="BH368"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분석_15일'!$F368,'2023년 신조차 고장관리 세부현황'!$BC:$BC,"완료",'2023년 신조차 고장관리 세부현황'!$CY:$CY,"SIV")</f>
        <v>0</v>
      </c>
      <c r="BI368"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분석_15일'!$F368,'2023년 신조차 고장관리 세부현황'!$BC:$BC,"완료",'2023년 신조차 고장관리 세부현황'!$CY:$CY,"SIV")</f>
        <v>0</v>
      </c>
      <c r="BJ368"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분석_15일'!$F368,'2023년 신조차 고장관리 세부현황'!$BC:$BC,"완료",'2023년 신조차 고장관리 세부현황'!$CY:$CY,"SIV")</f>
        <v>0</v>
      </c>
      <c r="BK368"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분석_15일'!$F368,'2023년 신조차 고장관리 세부현황'!$BC:$BC,"완료",'2023년 신조차 고장관리 세부현황'!$CY:$CY,"SIV")</f>
        <v>0</v>
      </c>
      <c r="BL368"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분석_15일'!$F368,'2023년 신조차 고장관리 세부현황'!$BC:$BC,"완료",'2023년 신조차 고장관리 세부현황'!$CY:$CY,"SIV")</f>
        <v>0</v>
      </c>
      <c r="BM368"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분석_15일'!$F368,'2023년 신조차 고장관리 세부현황'!$BC:$BC,"완료",'2023년 신조차 고장관리 세부현황'!$CY:$CY,"SIV")</f>
        <v>0</v>
      </c>
      <c r="BN368"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분석_15일'!$F368,'2023년 신조차 고장관리 세부현황'!$BC:$BC,"완료",'2023년 신조차 고장관리 세부현황'!$CY:$CY,"SIV")</f>
        <v>0</v>
      </c>
      <c r="BO368"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분석_15일'!$F368,'2023년 신조차 고장관리 세부현황'!$BC:$BC,"완료",'2023년 신조차 고장관리 세부현황'!$CY:$CY,"SIV")</f>
        <v>0</v>
      </c>
      <c r="BP368"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분석_15일'!$F368,'2023년 신조차 고장관리 세부현황'!$BC:$BC,"완료",'2023년 신조차 고장관리 세부현황'!$CY:$CY,"SIV")</f>
        <v>0</v>
      </c>
      <c r="BQ368"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분석_15일'!$F368,'2023년 신조차 고장관리 세부현황'!$BC:$BC,"완료",'2023년 신조차 고장관리 세부현황'!$CY:$CY,"SIV")</f>
        <v>0</v>
      </c>
      <c r="BR368"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분석_15일'!$F368,'2023년 신조차 고장관리 세부현황'!$BC:$BC,"완료",'2023년 신조차 고장관리 세부현황'!$CY:$CY,"SIV")</f>
        <v>0</v>
      </c>
      <c r="BS368"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분석_15일'!$F368,'2023년 신조차 고장관리 세부현황'!$BC:$BC,"완료",'2023년 신조차 고장관리 세부현황'!$CY:$CY,"SIV")</f>
        <v>0</v>
      </c>
      <c r="BT368"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분석_15일'!$F368,'2023년 신조차 고장관리 세부현황'!$BC:$BC,"완료",'2023년 신조차 고장관리 세부현황'!$CY:$CY,"SIV")</f>
        <v>0</v>
      </c>
      <c r="BU368"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분석_15일'!$F368,'2023년 신조차 고장관리 세부현황'!$BC:$BC,"완료",'2023년 신조차 고장관리 세부현황'!$CY:$CY,"SIV")</f>
        <v>0</v>
      </c>
      <c r="BV368"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분석_15일'!$F368,'2023년 신조차 고장관리 세부현황'!$BC:$BC,"완료",'2023년 신조차 고장관리 세부현황'!$CY:$CY,"SIV")</f>
        <v>0</v>
      </c>
      <c r="BW368"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분석_15일'!$F368,'2023년 신조차 고장관리 세부현황'!$BC:$BC,"완료",'2023년 신조차 고장관리 세부현황'!$CY:$CY,"SIV")</f>
        <v>0</v>
      </c>
      <c r="BX368"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분석_15일'!$F368,'2023년 신조차 고장관리 세부현황'!$BC:$BC,"완료",'2023년 신조차 고장관리 세부현황'!$CY:$CY,"SIV")</f>
        <v>0</v>
      </c>
      <c r="BY368"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분석_15일'!$F368,'2023년 신조차 고장관리 세부현황'!$BC:$BC,"완료",'2023년 신조차 고장관리 세부현황'!$CY:$CY,"SIV")</f>
        <v>0</v>
      </c>
      <c r="BZ368"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분석_15일'!$F368,'2023년 신조차 고장관리 세부현황'!$BC:$BC,"완료",'2023년 신조차 고장관리 세부현황'!$CY:$CY,"SIV")</f>
        <v>0</v>
      </c>
      <c r="CA368"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분석_15일'!$F368,'2023년 신조차 고장관리 세부현황'!$BC:$BC,"완료",'2023년 신조차 고장관리 세부현황'!$CY:$CY,"SIV")</f>
        <v>0</v>
      </c>
      <c r="CB368"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분석_15일'!$F368,'2023년 신조차 고장관리 세부현황'!$BC:$BC,"완료",'2023년 신조차 고장관리 세부현황'!$CY:$CY,"SIV")</f>
        <v>0</v>
      </c>
      <c r="CC368"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분석_15일'!$F368,'2023년 신조차 고장관리 세부현황'!$BC:$BC,"완료",'2023년 신조차 고장관리 세부현황'!$CY:$CY,"SIV")</f>
        <v>0</v>
      </c>
      <c r="CD368"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분석_15일'!$F368,'2023년 신조차 고장관리 세부현황'!$BC:$BC,"완료",'2023년 신조차 고장관리 세부현황'!$CY:$CY,"SIV")</f>
        <v>0</v>
      </c>
      <c r="CE368"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분석_15일'!$F368,'2023년 신조차 고장관리 세부현황'!$BC:$BC,"완료",'2023년 신조차 고장관리 세부현황'!$CY:$CY,"SIV")</f>
        <v>0</v>
      </c>
      <c r="CF368"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분석_15일'!$F368,'2023년 신조차 고장관리 세부현황'!$BC:$BC,"완료",'2023년 신조차 고장관리 세부현황'!$CY:$CY,"SIV")</f>
        <v>0</v>
      </c>
      <c r="CG368"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분석_15일'!$F368,'2023년 신조차 고장관리 세부현황'!$BC:$BC,"완료",'2023년 신조차 고장관리 세부현황'!$CY:$CY,"SIV")</f>
        <v>0</v>
      </c>
      <c r="CH368"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분석_15일'!$F368,'2023년 신조차 고장관리 세부현황'!$BC:$BC,"완료",'2023년 신조차 고장관리 세부현황'!$CY:$CY,"SIV")</f>
        <v>0</v>
      </c>
      <c r="CI368"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분석_15일'!$F368,'2023년 신조차 고장관리 세부현황'!$BC:$BC,"완료",'2023년 신조차 고장관리 세부현황'!$CY:$CY,"SIV")</f>
        <v>0</v>
      </c>
      <c r="CJ368"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분석_15일'!$F368,'2023년 신조차 고장관리 세부현황'!$BC:$BC,"완료",'2023년 신조차 고장관리 세부현황'!$CY:$CY,"SIV")</f>
        <v>0</v>
      </c>
      <c r="CK368"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분석_15일'!$F368,'2023년 신조차 고장관리 세부현황'!$BC:$BC,"완료",'2023년 신조차 고장관리 세부현황'!$CY:$CY,"SIV")</f>
        <v>0</v>
      </c>
      <c r="CL368"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분석_15일'!$F368,'2023년 신조차 고장관리 세부현황'!$BC:$BC,"완료",'2023년 신조차 고장관리 세부현황'!$CY:$CY,"SIV")</f>
        <v>0</v>
      </c>
      <c r="CM368"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분석_15일'!$F368,'2023년 신조차 고장관리 세부현황'!$BC:$BC,"완료",'2023년 신조차 고장관리 세부현황'!$CY:$CY,"SIV")</f>
        <v>0</v>
      </c>
      <c r="CN368"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분석_15일'!$F368,'2023년 신조차 고장관리 세부현황'!$BC:$BC,"완료",'2023년 신조차 고장관리 세부현황'!$CY:$CY,"SIV")</f>
        <v>0</v>
      </c>
      <c r="CO368"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분석_15일'!$F368,'2023년 신조차 고장관리 세부현황'!$BC:$BC,"완료",'2023년 신조차 고장관리 세부현황'!$CY:$CY,"SIV")</f>
        <v>0</v>
      </c>
      <c r="CP368"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분석_15일'!$F368,'2023년 신조차 고장관리 세부현황'!$BC:$BC,"완료",'2023년 신조차 고장관리 세부현황'!$CY:$CY,"SIV")</f>
        <v>0</v>
      </c>
      <c r="CQ368"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분석_15일'!$F368,'2023년 신조차 고장관리 세부현황'!$BC:$BC,"완료",'2023년 신조차 고장관리 세부현황'!$CY:$CY,"SIV")</f>
        <v>0</v>
      </c>
      <c r="CR368"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분석_15일'!$F368,'2023년 신조차 고장관리 세부현황'!$BC:$BC,"완료",'2023년 신조차 고장관리 세부현황'!$CY:$CY,"SIV")</f>
        <v>0</v>
      </c>
      <c r="CS368"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분석_15일'!$F368,'2023년 신조차 고장관리 세부현황'!$BC:$BC,"완료",'2023년 신조차 고장관리 세부현황'!$CY:$CY,"SIV")</f>
        <v>0</v>
      </c>
      <c r="CT368"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분석_15일'!$F368,'2023년 신조차 고장관리 세부현황'!$BC:$BC,"완료",'2023년 신조차 고장관리 세부현황'!$CY:$CY,"SIV")</f>
        <v>0</v>
      </c>
      <c r="CU368"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분석_15일'!$F368,'2023년 신조차 고장관리 세부현황'!$BC:$BC,"완료",'2023년 신조차 고장관리 세부현황'!$CY:$CY,"SIV")</f>
        <v>0</v>
      </c>
      <c r="CV368"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분석_15일'!$F368,'2023년 신조차 고장관리 세부현황'!$BC:$BC,"완료",'2023년 신조차 고장관리 세부현황'!$CY:$CY,"SIV")</f>
        <v>0</v>
      </c>
      <c r="CW368"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분석_15일'!$F368,'2023년 신조차 고장관리 세부현황'!$BC:$BC,"완료",'2023년 신조차 고장관리 세부현황'!$CY:$CY,"SIV")</f>
        <v>0</v>
      </c>
      <c r="CX368">
        <f>SUM(G368:CW368)</f>
        <v>0</v>
      </c>
    </row>
    <row r="370" spans="6:102" x14ac:dyDescent="0.4">
      <c r="F370" t="s">
        <v>401</v>
      </c>
      <c r="CS370" t="s">
        <v>403</v>
      </c>
    </row>
    <row r="371" spans="6:102" x14ac:dyDescent="0.4">
      <c r="F371" s="85" t="s">
        <v>242</v>
      </c>
      <c r="G371" s="85">
        <v>1</v>
      </c>
      <c r="H371" s="85">
        <v>2</v>
      </c>
      <c r="I371" s="85">
        <v>3</v>
      </c>
      <c r="J371" s="85">
        <v>4</v>
      </c>
      <c r="K371" s="85">
        <v>5</v>
      </c>
      <c r="L371" s="85">
        <v>6</v>
      </c>
      <c r="M371" s="85">
        <v>7</v>
      </c>
      <c r="N371" s="85">
        <v>8</v>
      </c>
      <c r="O371" s="85">
        <v>9</v>
      </c>
      <c r="P371" s="85">
        <v>10</v>
      </c>
      <c r="Q371" s="85">
        <v>11</v>
      </c>
      <c r="R371" s="85">
        <v>12</v>
      </c>
      <c r="S371" s="85">
        <v>13</v>
      </c>
      <c r="T371" s="85">
        <v>14</v>
      </c>
      <c r="U371" s="85">
        <v>15</v>
      </c>
      <c r="V371" s="85">
        <v>16</v>
      </c>
      <c r="W371" s="85">
        <v>17</v>
      </c>
      <c r="X371" s="85">
        <v>18</v>
      </c>
      <c r="Y371" s="85">
        <v>19</v>
      </c>
      <c r="Z371" s="85">
        <v>20</v>
      </c>
      <c r="AA371" s="85">
        <v>21</v>
      </c>
      <c r="AB371" s="85">
        <v>22</v>
      </c>
      <c r="AC371" s="85">
        <v>23</v>
      </c>
      <c r="AD371" s="85">
        <v>24</v>
      </c>
      <c r="AE371" s="85">
        <v>25</v>
      </c>
      <c r="AF371" s="85">
        <v>26</v>
      </c>
      <c r="AG371" s="85">
        <v>27</v>
      </c>
      <c r="AH371" s="85">
        <v>28</v>
      </c>
      <c r="AI371" s="85">
        <v>29</v>
      </c>
      <c r="AJ371" s="85">
        <v>30</v>
      </c>
      <c r="AK371" s="85">
        <v>31</v>
      </c>
      <c r="AL371" s="85">
        <v>32</v>
      </c>
      <c r="AM371" s="85">
        <v>33</v>
      </c>
      <c r="AN371" s="85">
        <v>34</v>
      </c>
      <c r="AO371" s="85">
        <v>35</v>
      </c>
      <c r="AP371" s="85">
        <v>36</v>
      </c>
      <c r="AQ371" s="85">
        <v>37</v>
      </c>
      <c r="AR371" s="85">
        <v>38</v>
      </c>
      <c r="AS371" s="85">
        <v>39</v>
      </c>
      <c r="AT371" s="85">
        <v>40</v>
      </c>
      <c r="AU371" s="85">
        <v>41</v>
      </c>
      <c r="AV371" s="85">
        <v>42</v>
      </c>
      <c r="AW371" s="85">
        <v>43</v>
      </c>
      <c r="AX371" s="85">
        <v>44</v>
      </c>
      <c r="AY371" s="85">
        <v>45</v>
      </c>
      <c r="AZ371" s="85">
        <v>46</v>
      </c>
      <c r="BA371" s="85">
        <v>47</v>
      </c>
      <c r="BB371" s="85">
        <v>48</v>
      </c>
      <c r="BC371" s="85">
        <v>49</v>
      </c>
      <c r="BD371" s="85">
        <v>50</v>
      </c>
      <c r="BE371" s="85">
        <v>51</v>
      </c>
      <c r="BF371" s="85">
        <v>52</v>
      </c>
      <c r="BG371" s="85">
        <v>53</v>
      </c>
      <c r="BH371" s="85">
        <v>54</v>
      </c>
      <c r="BI371" s="85">
        <v>55</v>
      </c>
      <c r="BJ371" s="85">
        <v>56</v>
      </c>
      <c r="BK371" s="85">
        <v>57</v>
      </c>
      <c r="BL371" s="85">
        <v>58</v>
      </c>
      <c r="BM371" s="85">
        <v>59</v>
      </c>
      <c r="BN371" s="85">
        <v>60</v>
      </c>
      <c r="BO371" s="85">
        <v>61</v>
      </c>
      <c r="BP371" s="85">
        <v>62</v>
      </c>
      <c r="BQ371" s="85">
        <v>63</v>
      </c>
      <c r="BR371" s="85">
        <v>64</v>
      </c>
      <c r="BS371" s="85">
        <v>65</v>
      </c>
      <c r="BT371" s="85">
        <v>66</v>
      </c>
      <c r="BU371" s="85">
        <v>67</v>
      </c>
      <c r="BV371" s="85">
        <v>68</v>
      </c>
      <c r="BW371" s="85">
        <v>69</v>
      </c>
      <c r="BX371" s="85">
        <v>70</v>
      </c>
      <c r="BY371" s="85">
        <v>71</v>
      </c>
      <c r="BZ371" s="85">
        <v>72</v>
      </c>
      <c r="CA371" s="85">
        <v>73</v>
      </c>
      <c r="CB371" s="85">
        <v>74</v>
      </c>
      <c r="CC371" s="85">
        <v>75</v>
      </c>
      <c r="CD371" s="85">
        <v>76</v>
      </c>
      <c r="CE371" s="85">
        <v>77</v>
      </c>
      <c r="CF371" s="85">
        <v>78</v>
      </c>
      <c r="CG371" s="85">
        <v>79</v>
      </c>
      <c r="CH371" s="85">
        <v>80</v>
      </c>
      <c r="CI371" s="85">
        <v>81</v>
      </c>
      <c r="CJ371" s="85">
        <v>82</v>
      </c>
      <c r="CK371" s="85">
        <v>83</v>
      </c>
      <c r="CL371" s="85">
        <v>84</v>
      </c>
      <c r="CM371" s="85">
        <v>85</v>
      </c>
      <c r="CN371" s="85">
        <v>86</v>
      </c>
      <c r="CO371" s="85">
        <v>87</v>
      </c>
      <c r="CP371" s="85">
        <v>88</v>
      </c>
      <c r="CQ371" s="85">
        <v>89</v>
      </c>
      <c r="CR371" s="85">
        <v>90</v>
      </c>
      <c r="CS371" s="85">
        <v>91</v>
      </c>
      <c r="CT371" s="85">
        <v>92</v>
      </c>
      <c r="CU371" s="85">
        <v>93</v>
      </c>
      <c r="CV371" s="85">
        <v>94</v>
      </c>
      <c r="CW371" s="85">
        <v>95</v>
      </c>
    </row>
    <row r="372" spans="6:102" x14ac:dyDescent="0.4">
      <c r="F372" s="85" t="s">
        <v>239</v>
      </c>
      <c r="G372" s="139">
        <f>15*G371</f>
        <v>15</v>
      </c>
      <c r="H372" s="139">
        <f t="shared" ref="H372:BS372" si="350">15*H371</f>
        <v>30</v>
      </c>
      <c r="I372" s="139">
        <f t="shared" si="350"/>
        <v>45</v>
      </c>
      <c r="J372" s="139">
        <f t="shared" si="350"/>
        <v>60</v>
      </c>
      <c r="K372" s="139">
        <f t="shared" si="350"/>
        <v>75</v>
      </c>
      <c r="L372" s="139">
        <f t="shared" si="350"/>
        <v>90</v>
      </c>
      <c r="M372" s="139">
        <f t="shared" si="350"/>
        <v>105</v>
      </c>
      <c r="N372" s="139">
        <f t="shared" si="350"/>
        <v>120</v>
      </c>
      <c r="O372" s="139">
        <f t="shared" si="350"/>
        <v>135</v>
      </c>
      <c r="P372" s="139">
        <f t="shared" si="350"/>
        <v>150</v>
      </c>
      <c r="Q372" s="139">
        <f t="shared" si="350"/>
        <v>165</v>
      </c>
      <c r="R372" s="139">
        <f t="shared" si="350"/>
        <v>180</v>
      </c>
      <c r="S372" s="139">
        <f t="shared" si="350"/>
        <v>195</v>
      </c>
      <c r="T372" s="139">
        <f t="shared" si="350"/>
        <v>210</v>
      </c>
      <c r="U372" s="139">
        <f t="shared" si="350"/>
        <v>225</v>
      </c>
      <c r="V372" s="139">
        <f t="shared" si="350"/>
        <v>240</v>
      </c>
      <c r="W372" s="139">
        <f t="shared" si="350"/>
        <v>255</v>
      </c>
      <c r="X372" s="139">
        <f t="shared" si="350"/>
        <v>270</v>
      </c>
      <c r="Y372" s="139">
        <f t="shared" si="350"/>
        <v>285</v>
      </c>
      <c r="Z372" s="139">
        <f t="shared" si="350"/>
        <v>300</v>
      </c>
      <c r="AA372" s="139">
        <f t="shared" si="350"/>
        <v>315</v>
      </c>
      <c r="AB372" s="139">
        <f t="shared" si="350"/>
        <v>330</v>
      </c>
      <c r="AC372" s="139">
        <f t="shared" si="350"/>
        <v>345</v>
      </c>
      <c r="AD372" s="139">
        <f t="shared" si="350"/>
        <v>360</v>
      </c>
      <c r="AE372" s="139">
        <f t="shared" si="350"/>
        <v>375</v>
      </c>
      <c r="AF372" s="139">
        <f t="shared" si="350"/>
        <v>390</v>
      </c>
      <c r="AG372" s="139">
        <f t="shared" si="350"/>
        <v>405</v>
      </c>
      <c r="AH372" s="139">
        <f t="shared" si="350"/>
        <v>420</v>
      </c>
      <c r="AI372" s="139">
        <f t="shared" si="350"/>
        <v>435</v>
      </c>
      <c r="AJ372" s="139">
        <f t="shared" si="350"/>
        <v>450</v>
      </c>
      <c r="AK372" s="139">
        <f t="shared" si="350"/>
        <v>465</v>
      </c>
      <c r="AL372" s="139">
        <f t="shared" si="350"/>
        <v>480</v>
      </c>
      <c r="AM372" s="139">
        <f t="shared" si="350"/>
        <v>495</v>
      </c>
      <c r="AN372" s="139">
        <f t="shared" si="350"/>
        <v>510</v>
      </c>
      <c r="AO372" s="139">
        <f t="shared" si="350"/>
        <v>525</v>
      </c>
      <c r="AP372" s="139">
        <f t="shared" si="350"/>
        <v>540</v>
      </c>
      <c r="AQ372" s="139">
        <f t="shared" si="350"/>
        <v>555</v>
      </c>
      <c r="AR372" s="139">
        <f t="shared" si="350"/>
        <v>570</v>
      </c>
      <c r="AS372" s="139">
        <f t="shared" si="350"/>
        <v>585</v>
      </c>
      <c r="AT372" s="139">
        <f t="shared" si="350"/>
        <v>600</v>
      </c>
      <c r="AU372" s="139">
        <f t="shared" si="350"/>
        <v>615</v>
      </c>
      <c r="AV372" s="139">
        <f t="shared" si="350"/>
        <v>630</v>
      </c>
      <c r="AW372" s="139">
        <f t="shared" si="350"/>
        <v>645</v>
      </c>
      <c r="AX372" s="139">
        <f t="shared" si="350"/>
        <v>660</v>
      </c>
      <c r="AY372" s="139">
        <f t="shared" si="350"/>
        <v>675</v>
      </c>
      <c r="AZ372" s="139">
        <f t="shared" si="350"/>
        <v>690</v>
      </c>
      <c r="BA372" s="139">
        <f t="shared" si="350"/>
        <v>705</v>
      </c>
      <c r="BB372" s="139">
        <f t="shared" si="350"/>
        <v>720</v>
      </c>
      <c r="BC372" s="139">
        <f t="shared" si="350"/>
        <v>735</v>
      </c>
      <c r="BD372" s="139">
        <f t="shared" si="350"/>
        <v>750</v>
      </c>
      <c r="BE372" s="139">
        <f t="shared" si="350"/>
        <v>765</v>
      </c>
      <c r="BF372" s="139">
        <f t="shared" si="350"/>
        <v>780</v>
      </c>
      <c r="BG372" s="139">
        <f t="shared" si="350"/>
        <v>795</v>
      </c>
      <c r="BH372" s="139">
        <f t="shared" si="350"/>
        <v>810</v>
      </c>
      <c r="BI372" s="139">
        <f t="shared" si="350"/>
        <v>825</v>
      </c>
      <c r="BJ372" s="139">
        <f t="shared" si="350"/>
        <v>840</v>
      </c>
      <c r="BK372" s="139">
        <f t="shared" si="350"/>
        <v>855</v>
      </c>
      <c r="BL372" s="139">
        <f t="shared" si="350"/>
        <v>870</v>
      </c>
      <c r="BM372" s="139">
        <f t="shared" si="350"/>
        <v>885</v>
      </c>
      <c r="BN372" s="139">
        <f t="shared" si="350"/>
        <v>900</v>
      </c>
      <c r="BO372" s="139">
        <f t="shared" si="350"/>
        <v>915</v>
      </c>
      <c r="BP372" s="139">
        <f t="shared" si="350"/>
        <v>930</v>
      </c>
      <c r="BQ372" s="139">
        <f t="shared" si="350"/>
        <v>945</v>
      </c>
      <c r="BR372" s="139">
        <f t="shared" si="350"/>
        <v>960</v>
      </c>
      <c r="BS372" s="139">
        <f t="shared" si="350"/>
        <v>975</v>
      </c>
      <c r="BT372" s="139">
        <f t="shared" ref="BT372:CW372" si="351">15*BT371</f>
        <v>990</v>
      </c>
      <c r="BU372" s="139">
        <f t="shared" si="351"/>
        <v>1005</v>
      </c>
      <c r="BV372" s="139">
        <f t="shared" si="351"/>
        <v>1020</v>
      </c>
      <c r="BW372" s="139">
        <f t="shared" si="351"/>
        <v>1035</v>
      </c>
      <c r="BX372" s="139">
        <f t="shared" si="351"/>
        <v>1050</v>
      </c>
      <c r="BY372" s="139">
        <f t="shared" si="351"/>
        <v>1065</v>
      </c>
      <c r="BZ372" s="139">
        <f t="shared" si="351"/>
        <v>1080</v>
      </c>
      <c r="CA372" s="139">
        <f t="shared" si="351"/>
        <v>1095</v>
      </c>
      <c r="CB372" s="139">
        <f t="shared" si="351"/>
        <v>1110</v>
      </c>
      <c r="CC372" s="139">
        <f t="shared" si="351"/>
        <v>1125</v>
      </c>
      <c r="CD372" s="139">
        <f t="shared" si="351"/>
        <v>1140</v>
      </c>
      <c r="CE372" s="139">
        <f t="shared" si="351"/>
        <v>1155</v>
      </c>
      <c r="CF372" s="139">
        <f t="shared" si="351"/>
        <v>1170</v>
      </c>
      <c r="CG372" s="139">
        <f t="shared" si="351"/>
        <v>1185</v>
      </c>
      <c r="CH372" s="139">
        <f t="shared" si="351"/>
        <v>1200</v>
      </c>
      <c r="CI372" s="139">
        <f t="shared" si="351"/>
        <v>1215</v>
      </c>
      <c r="CJ372" s="139">
        <f t="shared" si="351"/>
        <v>1230</v>
      </c>
      <c r="CK372" s="139">
        <f t="shared" si="351"/>
        <v>1245</v>
      </c>
      <c r="CL372" s="139">
        <f t="shared" si="351"/>
        <v>1260</v>
      </c>
      <c r="CM372" s="139">
        <f t="shared" si="351"/>
        <v>1275</v>
      </c>
      <c r="CN372" s="139">
        <f t="shared" si="351"/>
        <v>1290</v>
      </c>
      <c r="CO372" s="139">
        <f t="shared" si="351"/>
        <v>1305</v>
      </c>
      <c r="CP372" s="139">
        <f t="shared" si="351"/>
        <v>1320</v>
      </c>
      <c r="CQ372" s="139">
        <f t="shared" si="351"/>
        <v>1335</v>
      </c>
      <c r="CR372" s="139">
        <f t="shared" si="351"/>
        <v>1350</v>
      </c>
      <c r="CS372" s="139">
        <f t="shared" si="351"/>
        <v>1365</v>
      </c>
      <c r="CT372" s="139">
        <f t="shared" si="351"/>
        <v>1380</v>
      </c>
      <c r="CU372" s="139">
        <f t="shared" si="351"/>
        <v>1395</v>
      </c>
      <c r="CV372" s="139">
        <f t="shared" si="351"/>
        <v>1410</v>
      </c>
      <c r="CW372" s="139">
        <f t="shared" si="351"/>
        <v>1425</v>
      </c>
    </row>
    <row r="373" spans="6:102" x14ac:dyDescent="0.4">
      <c r="F373" s="85" t="s">
        <v>154</v>
      </c>
      <c r="G373" s="85">
        <f>COUNTIFS('2023년 신조차 고장관리 세부현황'!$K:$K,"448R",'2023년 신조차 고장관리 세부현황'!$P:$P,"&gt;="&amp;G371,'2023년 신조차 고장관리 세부현황'!$P:$P,"&lt;"&amp;'트랜드 분석_15일'!G372,'2023년 신조차 고장관리 세부현황'!$BC:$BC,"완료",'2023년 신조차 고장관리 세부현황'!$CY:$CY,"SIV")</f>
        <v>0</v>
      </c>
      <c r="H373" s="85">
        <f>COUNTIFS('2023년 신조차 고장관리 세부현황'!$K:$K,"448R",'2023년 신조차 고장관리 세부현황'!$P:$P,"&gt;="&amp;'트랜드 분석_15일'!G$27,'2023년 신조차 고장관리 세부현황'!$P:$P,"&lt;"&amp;'트랜드 분석_15일'!H$27,'2023년 신조차 고장관리 세부현황'!$BC:$BC,"완료",'2023년 신조차 고장관리 세부현황'!$CY:$CY,"SIV")</f>
        <v>0</v>
      </c>
      <c r="I373" s="85">
        <f>COUNTIFS('2023년 신조차 고장관리 세부현황'!$K:$K,"448R",'2023년 신조차 고장관리 세부현황'!$P:$P,"&gt;="&amp;'트랜드 분석_15일'!H$27,'2023년 신조차 고장관리 세부현황'!$P:$P,"&lt;"&amp;'트랜드 분석_15일'!I$27,'2023년 신조차 고장관리 세부현황'!$BC:$BC,"완료",'2023년 신조차 고장관리 세부현황'!$CY:$CY,"SIV")</f>
        <v>0</v>
      </c>
      <c r="J373" s="85">
        <f>COUNTIFS('2023년 신조차 고장관리 세부현황'!$K:$K,"448R",'2023년 신조차 고장관리 세부현황'!$P:$P,"&gt;="&amp;'트랜드 분석_15일'!I$27,'2023년 신조차 고장관리 세부현황'!$P:$P,"&lt;"&amp;'트랜드 분석_15일'!J$27,'2023년 신조차 고장관리 세부현황'!$BC:$BC,"완료",'2023년 신조차 고장관리 세부현황'!$CY:$CY,"SIV")</f>
        <v>0</v>
      </c>
      <c r="K373" s="85">
        <f>COUNTIFS('2023년 신조차 고장관리 세부현황'!$K:$K,"448R",'2023년 신조차 고장관리 세부현황'!$P:$P,"&gt;="&amp;'트랜드 분석_15일'!J$27,'2023년 신조차 고장관리 세부현황'!$P:$P,"&lt;"&amp;'트랜드 분석_15일'!K$27,'2023년 신조차 고장관리 세부현황'!$BC:$BC,"완료",'2023년 신조차 고장관리 세부현황'!$CY:$CY,"SIV")</f>
        <v>0</v>
      </c>
      <c r="L373" s="85">
        <f>COUNTIFS('2023년 신조차 고장관리 세부현황'!$K:$K,"448R",'2023년 신조차 고장관리 세부현황'!$P:$P,"&gt;="&amp;'트랜드 분석_15일'!K$27,'2023년 신조차 고장관리 세부현황'!$P:$P,"&lt;"&amp;'트랜드 분석_15일'!L$27,'2023년 신조차 고장관리 세부현황'!$BC:$BC,"완료",'2023년 신조차 고장관리 세부현황'!$CY:$CY,"SIV")</f>
        <v>0</v>
      </c>
      <c r="M373" s="85">
        <f>COUNTIFS('2023년 신조차 고장관리 세부현황'!$K:$K,"448R",'2023년 신조차 고장관리 세부현황'!$P:$P,"&gt;="&amp;'트랜드 분석_15일'!L$27,'2023년 신조차 고장관리 세부현황'!$P:$P,"&lt;"&amp;'트랜드 분석_15일'!M$27,'2023년 신조차 고장관리 세부현황'!$BC:$BC,"완료",'2023년 신조차 고장관리 세부현황'!$CY:$CY,"SIV")</f>
        <v>0</v>
      </c>
      <c r="N373" s="85">
        <f>COUNTIFS('2023년 신조차 고장관리 세부현황'!$K:$K,"448R",'2023년 신조차 고장관리 세부현황'!$P:$P,"&gt;="&amp;'트랜드 분석_15일'!M$27,'2023년 신조차 고장관리 세부현황'!$P:$P,"&lt;"&amp;'트랜드 분석_15일'!N$27,'2023년 신조차 고장관리 세부현황'!$BC:$BC,"완료",'2023년 신조차 고장관리 세부현황'!$CY:$CY,"SIV")</f>
        <v>0</v>
      </c>
      <c r="O373" s="85">
        <f>COUNTIFS('2023년 신조차 고장관리 세부현황'!$K:$K,"448R",'2023년 신조차 고장관리 세부현황'!$P:$P,"&gt;="&amp;'트랜드 분석_15일'!N$27,'2023년 신조차 고장관리 세부현황'!$P:$P,"&lt;"&amp;'트랜드 분석_15일'!O$27,'2023년 신조차 고장관리 세부현황'!$BC:$BC,"완료",'2023년 신조차 고장관리 세부현황'!$CY:$CY,"SIV")</f>
        <v>0</v>
      </c>
      <c r="P373" s="85">
        <f ca="1">COUNTIFS('2023년 신조차 고장관리 세부현황'!$K:$K,"448R",'2023년 신조차 고장관리 세부현황'!$P:$P,"&gt;="&amp;'트랜드 분석_15일'!O$27,'2023년 신조차 고장관리 세부현황'!$P:$P,"&lt;"&amp;'트랜드 분석_15일'!P$27,'2023년 신조차 고장관리 세부현황'!$BC:$BC,"완료",'2023년 신조차 고장관리 세부현황'!$CY:$CY,"SIV")</f>
        <v>0</v>
      </c>
      <c r="Q373" s="85">
        <f ca="1">COUNTIFS('2023년 신조차 고장관리 세부현황'!$K:$K,"448R",'2023년 신조차 고장관리 세부현황'!$P:$P,"&gt;="&amp;'트랜드 분석_15일'!P$27,'2023년 신조차 고장관리 세부현황'!$P:$P,"&lt;"&amp;'트랜드 분석_15일'!Q$27,'2023년 신조차 고장관리 세부현황'!$BC:$BC,"완료",'2023년 신조차 고장관리 세부현황'!$CY:$CY,"SIV")</f>
        <v>0</v>
      </c>
      <c r="R373" s="85">
        <f ca="1">COUNTIFS('2023년 신조차 고장관리 세부현황'!$K:$K,"448R",'2023년 신조차 고장관리 세부현황'!$P:$P,"&gt;="&amp;'트랜드 분석_15일'!Q$27,'2023년 신조차 고장관리 세부현황'!$P:$P,"&lt;"&amp;'트랜드 분석_15일'!R$27,'2023년 신조차 고장관리 세부현황'!$BC:$BC,"완료",'2023년 신조차 고장관리 세부현황'!$CY:$CY,"SIV")</f>
        <v>0</v>
      </c>
      <c r="S373" s="85">
        <f ca="1">COUNTIFS('2023년 신조차 고장관리 세부현황'!$K:$K,"448R",'2023년 신조차 고장관리 세부현황'!$P:$P,"&gt;="&amp;'트랜드 분석_15일'!R$27,'2023년 신조차 고장관리 세부현황'!$P:$P,"&lt;"&amp;'트랜드 분석_15일'!S$27,'2023년 신조차 고장관리 세부현황'!$BC:$BC,"완료",'2023년 신조차 고장관리 세부현황'!$CY:$CY,"SIV")</f>
        <v>0</v>
      </c>
      <c r="T373" s="85">
        <f ca="1">COUNTIFS('2023년 신조차 고장관리 세부현황'!$K:$K,"448R",'2023년 신조차 고장관리 세부현황'!$P:$P,"&gt;="&amp;'트랜드 분석_15일'!S$27,'2023년 신조차 고장관리 세부현황'!$P:$P,"&lt;"&amp;'트랜드 분석_15일'!T$27,'2023년 신조차 고장관리 세부현황'!$BC:$BC,"완료",'2023년 신조차 고장관리 세부현황'!$CY:$CY,"SIV")</f>
        <v>0</v>
      </c>
      <c r="U373" s="85">
        <f>COUNTIFS('2023년 신조차 고장관리 세부현황'!$K:$K,"448R",'2023년 신조차 고장관리 세부현황'!$P:$P,"&gt;="&amp;'트랜드 분석_15일'!T$27,'2023년 신조차 고장관리 세부현황'!$P:$P,"&lt;"&amp;'트랜드 분석_15일'!U$27,'2023년 신조차 고장관리 세부현황'!$BC:$BC,"완료",'2023년 신조차 고장관리 세부현황'!$CY:$CY,"SIV")</f>
        <v>0</v>
      </c>
      <c r="V373" s="85">
        <f>COUNTIFS('2023년 신조차 고장관리 세부현황'!$K:$K,"448R",'2023년 신조차 고장관리 세부현황'!$P:$P,"&gt;="&amp;'트랜드 분석_15일'!U$27,'2023년 신조차 고장관리 세부현황'!$P:$P,"&lt;"&amp;'트랜드 분석_15일'!V$27,'2023년 신조차 고장관리 세부현황'!$BC:$BC,"완료",'2023년 신조차 고장관리 세부현황'!$CY:$CY,"SIV")</f>
        <v>0</v>
      </c>
      <c r="W373" s="85">
        <f ca="1">COUNTIFS('2023년 신조차 고장관리 세부현황'!$K:$K,"448R",'2023년 신조차 고장관리 세부현황'!$P:$P,"&gt;="&amp;'트랜드 분석_15일'!V$27,'2023년 신조차 고장관리 세부현황'!$P:$P,"&lt;"&amp;'트랜드 분석_15일'!W$27,'2023년 신조차 고장관리 세부현황'!$BC:$BC,"완료",'2023년 신조차 고장관리 세부현황'!$CY:$CY,"SIV")</f>
        <v>0</v>
      </c>
      <c r="X373" s="85">
        <f ca="1">COUNTIFS('2023년 신조차 고장관리 세부현황'!$K:$K,"448R",'2023년 신조차 고장관리 세부현황'!$P:$P,"&gt;="&amp;'트랜드 분석_15일'!W$27,'2023년 신조차 고장관리 세부현황'!$P:$P,"&lt;"&amp;'트랜드 분석_15일'!X$27,'2023년 신조차 고장관리 세부현황'!$BC:$BC,"완료",'2023년 신조차 고장관리 세부현황'!$CY:$CY,"SIV")</f>
        <v>0</v>
      </c>
      <c r="Y373" s="85">
        <f ca="1">COUNTIFS('2023년 신조차 고장관리 세부현황'!$K:$K,"448R",'2023년 신조차 고장관리 세부현황'!$P:$P,"&gt;="&amp;'트랜드 분석_15일'!X$27,'2023년 신조차 고장관리 세부현황'!$P:$P,"&lt;"&amp;'트랜드 분석_15일'!Y$27,'2023년 신조차 고장관리 세부현황'!$BC:$BC,"완료",'2023년 신조차 고장관리 세부현황'!$CY:$CY,"SIV")</f>
        <v>0</v>
      </c>
      <c r="Z373" s="85">
        <f ca="1">COUNTIFS('2023년 신조차 고장관리 세부현황'!$K:$K,"448R",'2023년 신조차 고장관리 세부현황'!$P:$P,"&gt;="&amp;'트랜드 분석_15일'!Y$27,'2023년 신조차 고장관리 세부현황'!$P:$P,"&lt;"&amp;'트랜드 분석_15일'!Z$27,'2023년 신조차 고장관리 세부현황'!$BC:$BC,"완료",'2023년 신조차 고장관리 세부현황'!$CY:$CY,"SIV")</f>
        <v>0</v>
      </c>
      <c r="AA373" s="85">
        <f ca="1">COUNTIFS('2023년 신조차 고장관리 세부현황'!$K:$K,"448R",'2023년 신조차 고장관리 세부현황'!$P:$P,"&gt;="&amp;'트랜드 분석_15일'!Z$27,'2023년 신조차 고장관리 세부현황'!$P:$P,"&lt;"&amp;'트랜드 분석_15일'!AA$27,'2023년 신조차 고장관리 세부현황'!$BC:$BC,"완료",'2023년 신조차 고장관리 세부현황'!$CY:$CY,"SIV")</f>
        <v>0</v>
      </c>
      <c r="AB373" s="85">
        <f ca="1">COUNTIFS('2023년 신조차 고장관리 세부현황'!$K:$K,"448R",'2023년 신조차 고장관리 세부현황'!$P:$P,"&gt;="&amp;'트랜드 분석_15일'!AA$27,'2023년 신조차 고장관리 세부현황'!$P:$P,"&lt;"&amp;'트랜드 분석_15일'!AB$27,'2023년 신조차 고장관리 세부현황'!$BC:$BC,"완료",'2023년 신조차 고장관리 세부현황'!$CY:$CY,"SIV")</f>
        <v>0</v>
      </c>
      <c r="AC373" s="85">
        <f ca="1">COUNTIFS('2023년 신조차 고장관리 세부현황'!$K:$K,"448R",'2023년 신조차 고장관리 세부현황'!$P:$P,"&gt;="&amp;'트랜드 분석_15일'!AB$27,'2023년 신조차 고장관리 세부현황'!$P:$P,"&lt;"&amp;'트랜드 분석_15일'!AC$27,'2023년 신조차 고장관리 세부현황'!$BC:$BC,"완료",'2023년 신조차 고장관리 세부현황'!$CY:$CY,"SIV")</f>
        <v>0</v>
      </c>
      <c r="AD373" s="85">
        <f ca="1">COUNTIFS('2023년 신조차 고장관리 세부현황'!$K:$K,"448R",'2023년 신조차 고장관리 세부현황'!$P:$P,"&gt;="&amp;'트랜드 분석_15일'!AC$27,'2023년 신조차 고장관리 세부현황'!$P:$P,"&lt;"&amp;'트랜드 분석_15일'!AD$27,'2023년 신조차 고장관리 세부현황'!$BC:$BC,"완료",'2023년 신조차 고장관리 세부현황'!$CY:$CY,"SIV")</f>
        <v>0</v>
      </c>
      <c r="AE373" s="85">
        <f ca="1">COUNTIFS('2023년 신조차 고장관리 세부현황'!$K:$K,"448R",'2023년 신조차 고장관리 세부현황'!$P:$P,"&gt;="&amp;'트랜드 분석_15일'!AD$27,'2023년 신조차 고장관리 세부현황'!$P:$P,"&lt;"&amp;'트랜드 분석_15일'!AE$27,'2023년 신조차 고장관리 세부현황'!$BC:$BC,"완료",'2023년 신조차 고장관리 세부현황'!$CY:$CY,"SIV")</f>
        <v>0</v>
      </c>
      <c r="AF373" s="85">
        <f ca="1">COUNTIFS('2023년 신조차 고장관리 세부현황'!$K:$K,"448R",'2023년 신조차 고장관리 세부현황'!$P:$P,"&gt;="&amp;'트랜드 분석_15일'!AE$27,'2023년 신조차 고장관리 세부현황'!$P:$P,"&lt;"&amp;'트랜드 분석_15일'!AF$27,'2023년 신조차 고장관리 세부현황'!$BC:$BC,"완료",'2023년 신조차 고장관리 세부현황'!$CY:$CY,"SIV")</f>
        <v>0</v>
      </c>
      <c r="AG373" s="85">
        <f ca="1">COUNTIFS('2023년 신조차 고장관리 세부현황'!$K:$K,"448R",'2023년 신조차 고장관리 세부현황'!$P:$P,"&gt;="&amp;'트랜드 분석_15일'!AF$27,'2023년 신조차 고장관리 세부현황'!$P:$P,"&lt;"&amp;'트랜드 분석_15일'!AG$27,'2023년 신조차 고장관리 세부현황'!$BC:$BC,"완료",'2023년 신조차 고장관리 세부현황'!$CY:$CY,"SIV")</f>
        <v>0</v>
      </c>
      <c r="AH373" s="85">
        <f>COUNTIFS('2023년 신조차 고장관리 세부현황'!$K:$K,"448R",'2023년 신조차 고장관리 세부현황'!$P:$P,"&gt;="&amp;'트랜드 분석_15일'!AG$27,'2023년 신조차 고장관리 세부현황'!$P:$P,"&lt;"&amp;'트랜드 분석_15일'!AH$27,'2023년 신조차 고장관리 세부현황'!$BC:$BC,"완료",'2023년 신조차 고장관리 세부현황'!$CY:$CY,"SIV")</f>
        <v>0</v>
      </c>
      <c r="AI373" s="85">
        <f>COUNTIFS('2023년 신조차 고장관리 세부현황'!$K:$K,"448R",'2023년 신조차 고장관리 세부현황'!$P:$P,"&gt;="&amp;'트랜드 분석_15일'!AH$27,'2023년 신조차 고장관리 세부현황'!$P:$P,"&lt;"&amp;'트랜드 분석_15일'!AI$27,'2023년 신조차 고장관리 세부현황'!$BC:$BC,"완료",'2023년 신조차 고장관리 세부현황'!$CY:$CY,"SIV")</f>
        <v>0</v>
      </c>
      <c r="AJ373" s="85">
        <f>COUNTIFS('2023년 신조차 고장관리 세부현황'!$K:$K,"448R",'2023년 신조차 고장관리 세부현황'!$P:$P,"&gt;="&amp;'트랜드 분석_15일'!AI$27,'2023년 신조차 고장관리 세부현황'!$P:$P,"&lt;"&amp;'트랜드 분석_15일'!AJ$27,'2023년 신조차 고장관리 세부현황'!$BC:$BC,"완료",'2023년 신조차 고장관리 세부현황'!$CY:$CY,"SIV")</f>
        <v>0</v>
      </c>
      <c r="AK373" s="85">
        <f ca="1">COUNTIFS('2023년 신조차 고장관리 세부현황'!$K:$K,"448R",'2023년 신조차 고장관리 세부현황'!$P:$P,"&gt;="&amp;'트랜드 분석_15일'!AJ$27,'2023년 신조차 고장관리 세부현황'!$P:$P,"&lt;"&amp;'트랜드 분석_15일'!AK$27,'2023년 신조차 고장관리 세부현황'!$BC:$BC,"완료",'2023년 신조차 고장관리 세부현황'!$CY:$CY,"SIV")</f>
        <v>0</v>
      </c>
      <c r="AL373" s="85">
        <f ca="1">COUNTIFS('2023년 신조차 고장관리 세부현황'!$K:$K,"448R",'2023년 신조차 고장관리 세부현황'!$P:$P,"&gt;="&amp;'트랜드 분석_15일'!AK$27,'2023년 신조차 고장관리 세부현황'!$P:$P,"&lt;"&amp;'트랜드 분석_15일'!AL$27,'2023년 신조차 고장관리 세부현황'!$BC:$BC,"완료",'2023년 신조차 고장관리 세부현황'!$CY:$CY,"SIV")</f>
        <v>0</v>
      </c>
      <c r="AM373" s="85">
        <f>COUNTIFS('2023년 신조차 고장관리 세부현황'!$K:$K,"448R",'2023년 신조차 고장관리 세부현황'!$P:$P,"&gt;="&amp;'트랜드 분석_15일'!AL$27,'2023년 신조차 고장관리 세부현황'!$P:$P,"&lt;"&amp;'트랜드 분석_15일'!AM$27,'2023년 신조차 고장관리 세부현황'!$BC:$BC,"완료",'2023년 신조차 고장관리 세부현황'!$CY:$CY,"SIV")</f>
        <v>0</v>
      </c>
      <c r="AN373" s="85">
        <f>COUNTIFS('2023년 신조차 고장관리 세부현황'!$K:$K,"448R",'2023년 신조차 고장관리 세부현황'!$P:$P,"&gt;="&amp;'트랜드 분석_15일'!AM$27,'2023년 신조차 고장관리 세부현황'!$P:$P,"&lt;"&amp;'트랜드 분석_15일'!AN$27,'2023년 신조차 고장관리 세부현황'!$BC:$BC,"완료",'2023년 신조차 고장관리 세부현황'!$CY:$CY,"SIV")</f>
        <v>0</v>
      </c>
      <c r="AO373" s="85">
        <f ca="1">COUNTIFS('2023년 신조차 고장관리 세부현황'!$K:$K,"448R",'2023년 신조차 고장관리 세부현황'!$P:$P,"&gt;="&amp;'트랜드 분석_15일'!AN$27,'2023년 신조차 고장관리 세부현황'!$P:$P,"&lt;"&amp;'트랜드 분석_15일'!AO$27,'2023년 신조차 고장관리 세부현황'!$BC:$BC,"완료",'2023년 신조차 고장관리 세부현황'!$CY:$CY,"SIV")</f>
        <v>0</v>
      </c>
      <c r="AP373" s="85">
        <f>COUNTIFS('2023년 신조차 고장관리 세부현황'!$K:$K,"448R",'2023년 신조차 고장관리 세부현황'!$P:$P,"&gt;="&amp;'트랜드 분석_15일'!AO$27,'2023년 신조차 고장관리 세부현황'!$P:$P,"&lt;"&amp;'트랜드 분석_15일'!AP$27,'2023년 신조차 고장관리 세부현황'!$BC:$BC,"완료",'2023년 신조차 고장관리 세부현황'!$CY:$CY,"SIV")</f>
        <v>0</v>
      </c>
      <c r="AQ373" s="85">
        <f ca="1">COUNTIFS('2023년 신조차 고장관리 세부현황'!$K:$K,"448R",'2023년 신조차 고장관리 세부현황'!$P:$P,"&gt;="&amp;'트랜드 분석_15일'!AP$27,'2023년 신조차 고장관리 세부현황'!$P:$P,"&lt;"&amp;'트랜드 분석_15일'!AQ$27,'2023년 신조차 고장관리 세부현황'!$BC:$BC,"완료",'2023년 신조차 고장관리 세부현황'!$CY:$CY,"SIV")</f>
        <v>0</v>
      </c>
      <c r="AR373" s="85">
        <f>COUNTIFS('2023년 신조차 고장관리 세부현황'!$K:$K,"448R",'2023년 신조차 고장관리 세부현황'!$P:$P,"&gt;="&amp;'트랜드 분석_15일'!AQ$27,'2023년 신조차 고장관리 세부현황'!$P:$P,"&lt;"&amp;'트랜드 분석_15일'!AR$27,'2023년 신조차 고장관리 세부현황'!$BC:$BC,"완료",'2023년 신조차 고장관리 세부현황'!$CY:$CY,"SIV")</f>
        <v>0</v>
      </c>
      <c r="AS373" s="85">
        <f>COUNTIFS('2023년 신조차 고장관리 세부현황'!$K:$K,"448R",'2023년 신조차 고장관리 세부현황'!$P:$P,"&gt;="&amp;'트랜드 분석_15일'!AR$27,'2023년 신조차 고장관리 세부현황'!$P:$P,"&lt;"&amp;'트랜드 분석_15일'!AS$27,'2023년 신조차 고장관리 세부현황'!$BC:$BC,"완료",'2023년 신조차 고장관리 세부현황'!$CY:$CY,"SIV")</f>
        <v>0</v>
      </c>
      <c r="AT373" s="85">
        <f>COUNTIFS('2023년 신조차 고장관리 세부현황'!$K:$K,"448R",'2023년 신조차 고장관리 세부현황'!$P:$P,"&gt;="&amp;'트랜드 분석_15일'!AS$27,'2023년 신조차 고장관리 세부현황'!$P:$P,"&lt;"&amp;'트랜드 분석_15일'!AT$27,'2023년 신조차 고장관리 세부현황'!$BC:$BC,"완료",'2023년 신조차 고장관리 세부현황'!$CY:$CY,"SIV")</f>
        <v>0</v>
      </c>
      <c r="AU373" s="85">
        <f>COUNTIFS('2023년 신조차 고장관리 세부현황'!$K:$K,"448R",'2023년 신조차 고장관리 세부현황'!$P:$P,"&gt;="&amp;'트랜드 분석_15일'!AT$27,'2023년 신조차 고장관리 세부현황'!$P:$P,"&lt;"&amp;'트랜드 분석_15일'!AU$27,'2023년 신조차 고장관리 세부현황'!$BC:$BC,"완료",'2023년 신조차 고장관리 세부현황'!$CY:$CY,"SIV")</f>
        <v>0</v>
      </c>
      <c r="AV373" s="85">
        <f>COUNTIFS('2023년 신조차 고장관리 세부현황'!$K:$K,"448R",'2023년 신조차 고장관리 세부현황'!$P:$P,"&gt;="&amp;'트랜드 분석_15일'!AU$27,'2023년 신조차 고장관리 세부현황'!$P:$P,"&lt;"&amp;'트랜드 분석_15일'!AV$27,'2023년 신조차 고장관리 세부현황'!$BC:$BC,"완료",'2023년 신조차 고장관리 세부현황'!$CY:$CY,"SIV")</f>
        <v>0</v>
      </c>
      <c r="AW373" s="85">
        <f>COUNTIFS('2023년 신조차 고장관리 세부현황'!$K:$K,"448R",'2023년 신조차 고장관리 세부현황'!$P:$P,"&gt;="&amp;'트랜드 분석_15일'!AV$27,'2023년 신조차 고장관리 세부현황'!$P:$P,"&lt;"&amp;'트랜드 분석_15일'!AW$27,'2023년 신조차 고장관리 세부현황'!$BC:$BC,"완료",'2023년 신조차 고장관리 세부현황'!$CY:$CY,"SIV")</f>
        <v>0</v>
      </c>
      <c r="AX373" s="85">
        <f>COUNTIFS('2023년 신조차 고장관리 세부현황'!$K:$K,"448R",'2023년 신조차 고장관리 세부현황'!$P:$P,"&gt;="&amp;'트랜드 분석_15일'!AW$27,'2023년 신조차 고장관리 세부현황'!$P:$P,"&lt;"&amp;'트랜드 분석_15일'!AX$27,'2023년 신조차 고장관리 세부현황'!$BC:$BC,"완료",'2023년 신조차 고장관리 세부현황'!$CY:$CY,"SIV")</f>
        <v>0</v>
      </c>
      <c r="AY373" s="85">
        <f>COUNTIFS('2023년 신조차 고장관리 세부현황'!$K:$K,"448R",'2023년 신조차 고장관리 세부현황'!$P:$P,"&gt;="&amp;'트랜드 분석_15일'!AX$27,'2023년 신조차 고장관리 세부현황'!$P:$P,"&lt;"&amp;'트랜드 분석_15일'!AY$27,'2023년 신조차 고장관리 세부현황'!$BC:$BC,"완료",'2023년 신조차 고장관리 세부현황'!$CY:$CY,"SIV")</f>
        <v>0</v>
      </c>
      <c r="AZ373" s="85">
        <f>COUNTIFS('2023년 신조차 고장관리 세부현황'!$K:$K,"448R",'2023년 신조차 고장관리 세부현황'!$P:$P,"&gt;="&amp;'트랜드 분석_15일'!AY$27,'2023년 신조차 고장관리 세부현황'!$P:$P,"&lt;"&amp;'트랜드 분석_15일'!AZ$27,'2023년 신조차 고장관리 세부현황'!$BC:$BC,"완료",'2023년 신조차 고장관리 세부현황'!$CY:$CY,"SIV")</f>
        <v>0</v>
      </c>
      <c r="BA373" s="85">
        <f>COUNTIFS('2023년 신조차 고장관리 세부현황'!$K:$K,"448R",'2023년 신조차 고장관리 세부현황'!$P:$P,"&gt;="&amp;'트랜드 분석_15일'!AZ$27,'2023년 신조차 고장관리 세부현황'!$P:$P,"&lt;"&amp;'트랜드 분석_15일'!BA$27,'2023년 신조차 고장관리 세부현황'!$BC:$BC,"완료",'2023년 신조차 고장관리 세부현황'!$CY:$CY,"SIV")</f>
        <v>0</v>
      </c>
      <c r="BB373" s="85">
        <f>COUNTIFS('2023년 신조차 고장관리 세부현황'!$K:$K,"448R",'2023년 신조차 고장관리 세부현황'!$P:$P,"&gt;="&amp;'트랜드 분석_15일'!BA$27,'2023년 신조차 고장관리 세부현황'!$P:$P,"&lt;"&amp;'트랜드 분석_15일'!BB$27,'2023년 신조차 고장관리 세부현황'!$BC:$BC,"완료",'2023년 신조차 고장관리 세부현황'!$CY:$CY,"SIV")</f>
        <v>0</v>
      </c>
      <c r="BC373" s="85">
        <f>COUNTIFS('2023년 신조차 고장관리 세부현황'!$K:$K,"448R",'2023년 신조차 고장관리 세부현황'!$P:$P,"&gt;="&amp;'트랜드 분석_15일'!BB$27,'2023년 신조차 고장관리 세부현황'!$P:$P,"&lt;"&amp;'트랜드 분석_15일'!BC$27,'2023년 신조차 고장관리 세부현황'!$BC:$BC,"완료",'2023년 신조차 고장관리 세부현황'!$CY:$CY,"SIV")</f>
        <v>0</v>
      </c>
      <c r="BD373" s="85">
        <f>COUNTIFS('2023년 신조차 고장관리 세부현황'!$K:$K,"448R",'2023년 신조차 고장관리 세부현황'!$P:$P,"&gt;="&amp;'트랜드 분석_15일'!BC$27,'2023년 신조차 고장관리 세부현황'!$P:$P,"&lt;"&amp;'트랜드 분석_15일'!BD$27,'2023년 신조차 고장관리 세부현황'!$BC:$BC,"완료",'2023년 신조차 고장관리 세부현황'!$CY:$CY,"SIV")</f>
        <v>0</v>
      </c>
      <c r="BE373" s="85">
        <f>COUNTIFS('2023년 신조차 고장관리 세부현황'!$K:$K,"448R",'2023년 신조차 고장관리 세부현황'!$P:$P,"&gt;="&amp;'트랜드 분석_15일'!BD$27,'2023년 신조차 고장관리 세부현황'!$P:$P,"&lt;"&amp;'트랜드 분석_15일'!BE$27,'2023년 신조차 고장관리 세부현황'!$BC:$BC,"완료",'2023년 신조차 고장관리 세부현황'!$CY:$CY,"SIV")</f>
        <v>0</v>
      </c>
      <c r="BF373" s="85">
        <f>COUNTIFS('2023년 신조차 고장관리 세부현황'!$K:$K,"448R",'2023년 신조차 고장관리 세부현황'!$P:$P,"&gt;="&amp;'트랜드 분석_15일'!BE$27,'2023년 신조차 고장관리 세부현황'!$P:$P,"&lt;"&amp;'트랜드 분석_15일'!BF$27,'2023년 신조차 고장관리 세부현황'!$BC:$BC,"완료",'2023년 신조차 고장관리 세부현황'!$CY:$CY,"SIV")</f>
        <v>0</v>
      </c>
      <c r="BG373" s="85">
        <f>COUNTIFS('2023년 신조차 고장관리 세부현황'!$K:$K,"448R",'2023년 신조차 고장관리 세부현황'!$P:$P,"&gt;="&amp;'트랜드 분석_15일'!BF$27,'2023년 신조차 고장관리 세부현황'!$P:$P,"&lt;"&amp;'트랜드 분석_15일'!BG$27,'2023년 신조차 고장관리 세부현황'!$BC:$BC,"완료",'2023년 신조차 고장관리 세부현황'!$CY:$CY,"SIV")</f>
        <v>0</v>
      </c>
      <c r="BH373" s="85">
        <f>COUNTIFS('2023년 신조차 고장관리 세부현황'!$K:$K,"448R",'2023년 신조차 고장관리 세부현황'!$P:$P,"&gt;="&amp;'트랜드 분석_15일'!BG$27,'2023년 신조차 고장관리 세부현황'!$P:$P,"&lt;"&amp;'트랜드 분석_15일'!BH$27,'2023년 신조차 고장관리 세부현황'!$BC:$BC,"완료",'2023년 신조차 고장관리 세부현황'!$CY:$CY,"SIV")</f>
        <v>0</v>
      </c>
      <c r="BI373" s="85">
        <f>COUNTIFS('2023년 신조차 고장관리 세부현황'!$K:$K,"448R",'2023년 신조차 고장관리 세부현황'!$P:$P,"&gt;="&amp;'트랜드 분석_15일'!BH$27,'2023년 신조차 고장관리 세부현황'!$P:$P,"&lt;"&amp;'트랜드 분석_15일'!BI$27,'2023년 신조차 고장관리 세부현황'!$BC:$BC,"완료",'2023년 신조차 고장관리 세부현황'!$CY:$CY,"SIV")</f>
        <v>0</v>
      </c>
      <c r="BJ373" s="85">
        <f>COUNTIFS('2023년 신조차 고장관리 세부현황'!$K:$K,"448R",'2023년 신조차 고장관리 세부현황'!$P:$P,"&gt;="&amp;'트랜드 분석_15일'!BI$27,'2023년 신조차 고장관리 세부현황'!$P:$P,"&lt;"&amp;'트랜드 분석_15일'!BJ$27,'2023년 신조차 고장관리 세부현황'!$BC:$BC,"완료",'2023년 신조차 고장관리 세부현황'!$CY:$CY,"SIV")</f>
        <v>0</v>
      </c>
      <c r="BK373" s="85">
        <f>COUNTIFS('2023년 신조차 고장관리 세부현황'!$K:$K,"448R",'2023년 신조차 고장관리 세부현황'!$P:$P,"&gt;="&amp;'트랜드 분석_15일'!BJ$27,'2023년 신조차 고장관리 세부현황'!$P:$P,"&lt;"&amp;'트랜드 분석_15일'!BK$27,'2023년 신조차 고장관리 세부현황'!$BC:$BC,"완료",'2023년 신조차 고장관리 세부현황'!$CY:$CY,"SIV")</f>
        <v>0</v>
      </c>
      <c r="BL373" s="85">
        <f>COUNTIFS('2023년 신조차 고장관리 세부현황'!$K:$K,"448R",'2023년 신조차 고장관리 세부현황'!$P:$P,"&gt;="&amp;'트랜드 분석_15일'!BK$27,'2023년 신조차 고장관리 세부현황'!$P:$P,"&lt;"&amp;'트랜드 분석_15일'!BL$27,'2023년 신조차 고장관리 세부현황'!$BC:$BC,"완료",'2023년 신조차 고장관리 세부현황'!$CY:$CY,"SIV")</f>
        <v>0</v>
      </c>
      <c r="BM373" s="85">
        <f>COUNTIFS('2023년 신조차 고장관리 세부현황'!$K:$K,"448R",'2023년 신조차 고장관리 세부현황'!$P:$P,"&gt;="&amp;'트랜드 분석_15일'!BL$27,'2023년 신조차 고장관리 세부현황'!$P:$P,"&lt;"&amp;'트랜드 분석_15일'!BM$27,'2023년 신조차 고장관리 세부현황'!$BC:$BC,"완료",'2023년 신조차 고장관리 세부현황'!$CY:$CY,"SIV")</f>
        <v>0</v>
      </c>
      <c r="BN373" s="85">
        <f>COUNTIFS('2023년 신조차 고장관리 세부현황'!$K:$K,"448R",'2023년 신조차 고장관리 세부현황'!$P:$P,"&gt;="&amp;'트랜드 분석_15일'!BM$27,'2023년 신조차 고장관리 세부현황'!$P:$P,"&lt;"&amp;'트랜드 분석_15일'!BN$27,'2023년 신조차 고장관리 세부현황'!$BC:$BC,"완료",'2023년 신조차 고장관리 세부현황'!$CY:$CY,"SIV")</f>
        <v>0</v>
      </c>
      <c r="BO373" s="85">
        <f>COUNTIFS('2023년 신조차 고장관리 세부현황'!$K:$K,"448R",'2023년 신조차 고장관리 세부현황'!$P:$P,"&gt;="&amp;'트랜드 분석_15일'!BN$27,'2023년 신조차 고장관리 세부현황'!$P:$P,"&lt;"&amp;'트랜드 분석_15일'!BO$27,'2023년 신조차 고장관리 세부현황'!$BC:$BC,"완료",'2023년 신조차 고장관리 세부현황'!$CY:$CY,"SIV")</f>
        <v>0</v>
      </c>
      <c r="BP373" s="85">
        <f>COUNTIFS('2023년 신조차 고장관리 세부현황'!$K:$K,"448R",'2023년 신조차 고장관리 세부현황'!$P:$P,"&gt;="&amp;'트랜드 분석_15일'!BO$27,'2023년 신조차 고장관리 세부현황'!$P:$P,"&lt;"&amp;'트랜드 분석_15일'!BP$27,'2023년 신조차 고장관리 세부현황'!$BC:$BC,"완료",'2023년 신조차 고장관리 세부현황'!$CY:$CY,"SIV")</f>
        <v>0</v>
      </c>
      <c r="BQ373" s="85">
        <f>COUNTIFS('2023년 신조차 고장관리 세부현황'!$K:$K,"448R",'2023년 신조차 고장관리 세부현황'!$P:$P,"&gt;="&amp;'트랜드 분석_15일'!BP$27,'2023년 신조차 고장관리 세부현황'!$P:$P,"&lt;"&amp;'트랜드 분석_15일'!BQ$27,'2023년 신조차 고장관리 세부현황'!$BC:$BC,"완료",'2023년 신조차 고장관리 세부현황'!$CY:$CY,"SIV")</f>
        <v>0</v>
      </c>
      <c r="BR373" s="85">
        <f>COUNTIFS('2023년 신조차 고장관리 세부현황'!$K:$K,"448R",'2023년 신조차 고장관리 세부현황'!$P:$P,"&gt;="&amp;'트랜드 분석_15일'!BQ$27,'2023년 신조차 고장관리 세부현황'!$P:$P,"&lt;"&amp;'트랜드 분석_15일'!BR$27,'2023년 신조차 고장관리 세부현황'!$BC:$BC,"완료",'2023년 신조차 고장관리 세부현황'!$CY:$CY,"SIV")</f>
        <v>0</v>
      </c>
      <c r="BS373" s="85">
        <f>COUNTIFS('2023년 신조차 고장관리 세부현황'!$K:$K,"448R",'2023년 신조차 고장관리 세부현황'!$P:$P,"&gt;="&amp;'트랜드 분석_15일'!BR$27,'2023년 신조차 고장관리 세부현황'!$P:$P,"&lt;"&amp;'트랜드 분석_15일'!BS$27,'2023년 신조차 고장관리 세부현황'!$BC:$BC,"완료",'2023년 신조차 고장관리 세부현황'!$CY:$CY,"SIV")</f>
        <v>0</v>
      </c>
      <c r="BT373" s="85">
        <f>COUNTIFS('2023년 신조차 고장관리 세부현황'!$K:$K,"448R",'2023년 신조차 고장관리 세부현황'!$P:$P,"&gt;="&amp;'트랜드 분석_15일'!BS$27,'2023년 신조차 고장관리 세부현황'!$P:$P,"&lt;"&amp;'트랜드 분석_15일'!BT$27,'2023년 신조차 고장관리 세부현황'!$BC:$BC,"완료",'2023년 신조차 고장관리 세부현황'!$CY:$CY,"SIV")</f>
        <v>0</v>
      </c>
      <c r="BU373" s="85">
        <f>COUNTIFS('2023년 신조차 고장관리 세부현황'!$K:$K,"448R",'2023년 신조차 고장관리 세부현황'!$P:$P,"&gt;="&amp;'트랜드 분석_15일'!BT$27,'2023년 신조차 고장관리 세부현황'!$P:$P,"&lt;"&amp;'트랜드 분석_15일'!BU$27,'2023년 신조차 고장관리 세부현황'!$BC:$BC,"완료",'2023년 신조차 고장관리 세부현황'!$CY:$CY,"SIV")</f>
        <v>0</v>
      </c>
      <c r="BV373" s="85">
        <f>COUNTIFS('2023년 신조차 고장관리 세부현황'!$K:$K,"448R",'2023년 신조차 고장관리 세부현황'!$P:$P,"&gt;="&amp;'트랜드 분석_15일'!BU$27,'2023년 신조차 고장관리 세부현황'!$P:$P,"&lt;"&amp;'트랜드 분석_15일'!BV$27,'2023년 신조차 고장관리 세부현황'!$BC:$BC,"완료",'2023년 신조차 고장관리 세부현황'!$CY:$CY,"SIV")</f>
        <v>0</v>
      </c>
      <c r="BW373" s="85">
        <f>COUNTIFS('2023년 신조차 고장관리 세부현황'!$K:$K,"448R",'2023년 신조차 고장관리 세부현황'!$P:$P,"&gt;="&amp;'트랜드 분석_15일'!BV$27,'2023년 신조차 고장관리 세부현황'!$P:$P,"&lt;"&amp;'트랜드 분석_15일'!BW$27,'2023년 신조차 고장관리 세부현황'!$BC:$BC,"완료",'2023년 신조차 고장관리 세부현황'!$CY:$CY,"SIV")</f>
        <v>0</v>
      </c>
      <c r="BX373" s="85">
        <f>COUNTIFS('2023년 신조차 고장관리 세부현황'!$K:$K,"448R",'2023년 신조차 고장관리 세부현황'!$P:$P,"&gt;="&amp;'트랜드 분석_15일'!BW$27,'2023년 신조차 고장관리 세부현황'!$P:$P,"&lt;"&amp;'트랜드 분석_15일'!BX$27,'2023년 신조차 고장관리 세부현황'!$BC:$BC,"완료",'2023년 신조차 고장관리 세부현황'!$CY:$CY,"SIV")</f>
        <v>0</v>
      </c>
      <c r="BY373" s="85">
        <f>COUNTIFS('2023년 신조차 고장관리 세부현황'!$K:$K,"448R",'2023년 신조차 고장관리 세부현황'!$P:$P,"&gt;="&amp;'트랜드 분석_15일'!BX$27,'2023년 신조차 고장관리 세부현황'!$P:$P,"&lt;"&amp;'트랜드 분석_15일'!BY$27,'2023년 신조차 고장관리 세부현황'!$BC:$BC,"완료",'2023년 신조차 고장관리 세부현황'!$CY:$CY,"SIV")</f>
        <v>0</v>
      </c>
      <c r="BZ373" s="85">
        <f>COUNTIFS('2023년 신조차 고장관리 세부현황'!$K:$K,"448R",'2023년 신조차 고장관리 세부현황'!$P:$P,"&gt;="&amp;'트랜드 분석_15일'!BY$27,'2023년 신조차 고장관리 세부현황'!$P:$P,"&lt;"&amp;'트랜드 분석_15일'!BZ$27,'2023년 신조차 고장관리 세부현황'!$BC:$BC,"완료",'2023년 신조차 고장관리 세부현황'!$CY:$CY,"SIV")</f>
        <v>0</v>
      </c>
      <c r="CA373" s="85">
        <f>COUNTIFS('2023년 신조차 고장관리 세부현황'!$K:$K,"448R",'2023년 신조차 고장관리 세부현황'!$P:$P,"&gt;="&amp;'트랜드 분석_15일'!BZ$27,'2023년 신조차 고장관리 세부현황'!$P:$P,"&lt;"&amp;'트랜드 분석_15일'!CA$27,'2023년 신조차 고장관리 세부현황'!$BC:$BC,"완료",'2023년 신조차 고장관리 세부현황'!$CY:$CY,"SIV")</f>
        <v>0</v>
      </c>
      <c r="CB373" s="85">
        <f>COUNTIFS('2023년 신조차 고장관리 세부현황'!$K:$K,"448R",'2023년 신조차 고장관리 세부현황'!$P:$P,"&gt;="&amp;'트랜드 분석_15일'!CA$27,'2023년 신조차 고장관리 세부현황'!$P:$P,"&lt;"&amp;'트랜드 분석_15일'!CB$27,'2023년 신조차 고장관리 세부현황'!$BC:$BC,"완료",'2023년 신조차 고장관리 세부현황'!$CY:$CY,"SIV")</f>
        <v>0</v>
      </c>
      <c r="CC373" s="85">
        <f>COUNTIFS('2023년 신조차 고장관리 세부현황'!$K:$K,"448R",'2023년 신조차 고장관리 세부현황'!$P:$P,"&gt;="&amp;'트랜드 분석_15일'!CB$27,'2023년 신조차 고장관리 세부현황'!$P:$P,"&lt;"&amp;'트랜드 분석_15일'!CC$27,'2023년 신조차 고장관리 세부현황'!$BC:$BC,"완료",'2023년 신조차 고장관리 세부현황'!$CY:$CY,"SIV")</f>
        <v>0</v>
      </c>
      <c r="CD373" s="85">
        <f>COUNTIFS('2023년 신조차 고장관리 세부현황'!$K:$K,"448R",'2023년 신조차 고장관리 세부현황'!$P:$P,"&gt;="&amp;'트랜드 분석_15일'!CC$27,'2023년 신조차 고장관리 세부현황'!$P:$P,"&lt;"&amp;'트랜드 분석_15일'!CD$27,'2023년 신조차 고장관리 세부현황'!$BC:$BC,"완료",'2023년 신조차 고장관리 세부현황'!$CY:$CY,"SIV")</f>
        <v>0</v>
      </c>
      <c r="CE373" s="85">
        <f>COUNTIFS('2023년 신조차 고장관리 세부현황'!$K:$K,"448R",'2023년 신조차 고장관리 세부현황'!$P:$P,"&gt;="&amp;'트랜드 분석_15일'!CD$27,'2023년 신조차 고장관리 세부현황'!$P:$P,"&lt;"&amp;'트랜드 분석_15일'!CE$27,'2023년 신조차 고장관리 세부현황'!$BC:$BC,"완료",'2023년 신조차 고장관리 세부현황'!$CY:$CY,"SIV")</f>
        <v>0</v>
      </c>
      <c r="CF373" s="85">
        <f>COUNTIFS('2023년 신조차 고장관리 세부현황'!$K:$K,"448R",'2023년 신조차 고장관리 세부현황'!$P:$P,"&gt;="&amp;'트랜드 분석_15일'!CE$27,'2023년 신조차 고장관리 세부현황'!$P:$P,"&lt;"&amp;'트랜드 분석_15일'!CF$27,'2023년 신조차 고장관리 세부현황'!$BC:$BC,"완료",'2023년 신조차 고장관리 세부현황'!$CY:$CY,"SIV")</f>
        <v>0</v>
      </c>
      <c r="CG373" s="85">
        <f>COUNTIFS('2023년 신조차 고장관리 세부현황'!$K:$K,"448R",'2023년 신조차 고장관리 세부현황'!$P:$P,"&gt;="&amp;'트랜드 분석_15일'!CF$27,'2023년 신조차 고장관리 세부현황'!$P:$P,"&lt;"&amp;'트랜드 분석_15일'!CG$27,'2023년 신조차 고장관리 세부현황'!$BC:$BC,"완료",'2023년 신조차 고장관리 세부현황'!$CY:$CY,"SIV")</f>
        <v>0</v>
      </c>
      <c r="CH373" s="85">
        <f>COUNTIFS('2023년 신조차 고장관리 세부현황'!$K:$K,"448R",'2023년 신조차 고장관리 세부현황'!$P:$P,"&gt;="&amp;'트랜드 분석_15일'!CG$27,'2023년 신조차 고장관리 세부현황'!$P:$P,"&lt;"&amp;'트랜드 분석_15일'!CH$27,'2023년 신조차 고장관리 세부현황'!$BC:$BC,"완료",'2023년 신조차 고장관리 세부현황'!$CY:$CY,"SIV")</f>
        <v>0</v>
      </c>
      <c r="CI373" s="85">
        <f>COUNTIFS('2023년 신조차 고장관리 세부현황'!$K:$K,"448R",'2023년 신조차 고장관리 세부현황'!$P:$P,"&gt;="&amp;'트랜드 분석_15일'!CH$27,'2023년 신조차 고장관리 세부현황'!$P:$P,"&lt;"&amp;'트랜드 분석_15일'!CI$27,'2023년 신조차 고장관리 세부현황'!$BC:$BC,"완료",'2023년 신조차 고장관리 세부현황'!$CY:$CY,"SIV")</f>
        <v>0</v>
      </c>
      <c r="CJ373" s="85">
        <f>COUNTIFS('2023년 신조차 고장관리 세부현황'!$K:$K,"448R",'2023년 신조차 고장관리 세부현황'!$P:$P,"&gt;="&amp;'트랜드 분석_15일'!CI$27,'2023년 신조차 고장관리 세부현황'!$P:$P,"&lt;"&amp;'트랜드 분석_15일'!CJ$27,'2023년 신조차 고장관리 세부현황'!$BC:$BC,"완료",'2023년 신조차 고장관리 세부현황'!$CY:$CY,"SIV")</f>
        <v>0</v>
      </c>
      <c r="CK373" s="85">
        <f>COUNTIFS('2023년 신조차 고장관리 세부현황'!$K:$K,"448R",'2023년 신조차 고장관리 세부현황'!$P:$P,"&gt;="&amp;'트랜드 분석_15일'!CJ$27,'2023년 신조차 고장관리 세부현황'!$P:$P,"&lt;"&amp;'트랜드 분석_15일'!CK$27,'2023년 신조차 고장관리 세부현황'!$BC:$BC,"완료",'2023년 신조차 고장관리 세부현황'!$CY:$CY,"SIV")</f>
        <v>0</v>
      </c>
      <c r="CL373" s="85">
        <f>COUNTIFS('2023년 신조차 고장관리 세부현황'!$K:$K,"448R",'2023년 신조차 고장관리 세부현황'!$P:$P,"&gt;="&amp;'트랜드 분석_15일'!CK$27,'2023년 신조차 고장관리 세부현황'!$P:$P,"&lt;"&amp;'트랜드 분석_15일'!CL$27,'2023년 신조차 고장관리 세부현황'!$BC:$BC,"완료",'2023년 신조차 고장관리 세부현황'!$CY:$CY,"SIV")</f>
        <v>0</v>
      </c>
      <c r="CM373" s="85">
        <f>COUNTIFS('2023년 신조차 고장관리 세부현황'!$K:$K,"448R",'2023년 신조차 고장관리 세부현황'!$P:$P,"&gt;="&amp;'트랜드 분석_15일'!CL$27,'2023년 신조차 고장관리 세부현황'!$P:$P,"&lt;"&amp;'트랜드 분석_15일'!CM$27,'2023년 신조차 고장관리 세부현황'!$BC:$BC,"완료",'2023년 신조차 고장관리 세부현황'!$CY:$CY,"SIV")</f>
        <v>0</v>
      </c>
      <c r="CN373" s="85">
        <f>COUNTIFS('2023년 신조차 고장관리 세부현황'!$K:$K,"448R",'2023년 신조차 고장관리 세부현황'!$P:$P,"&gt;="&amp;'트랜드 분석_15일'!CM$27,'2023년 신조차 고장관리 세부현황'!$P:$P,"&lt;"&amp;'트랜드 분석_15일'!CN$27,'2023년 신조차 고장관리 세부현황'!$BC:$BC,"완료",'2023년 신조차 고장관리 세부현황'!$CY:$CY,"SIV")</f>
        <v>0</v>
      </c>
      <c r="CO373" s="85">
        <f>COUNTIFS('2023년 신조차 고장관리 세부현황'!$K:$K,"448R",'2023년 신조차 고장관리 세부현황'!$P:$P,"&gt;="&amp;'트랜드 분석_15일'!CN$27,'2023년 신조차 고장관리 세부현황'!$P:$P,"&lt;"&amp;'트랜드 분석_15일'!CO$27,'2023년 신조차 고장관리 세부현황'!$BC:$BC,"완료",'2023년 신조차 고장관리 세부현황'!$CY:$CY,"SIV")</f>
        <v>0</v>
      </c>
      <c r="CP373" s="85">
        <f>COUNTIFS('2023년 신조차 고장관리 세부현황'!$K:$K,"448R",'2023년 신조차 고장관리 세부현황'!$P:$P,"&gt;="&amp;'트랜드 분석_15일'!CO$27,'2023년 신조차 고장관리 세부현황'!$P:$P,"&lt;"&amp;'트랜드 분석_15일'!CP$27,'2023년 신조차 고장관리 세부현황'!$BC:$BC,"완료",'2023년 신조차 고장관리 세부현황'!$CY:$CY,"SIV")</f>
        <v>0</v>
      </c>
      <c r="CQ373" s="85">
        <f>COUNTIFS('2023년 신조차 고장관리 세부현황'!$K:$K,"448R",'2023년 신조차 고장관리 세부현황'!$P:$P,"&gt;="&amp;'트랜드 분석_15일'!CP$27,'2023년 신조차 고장관리 세부현황'!$P:$P,"&lt;"&amp;'트랜드 분석_15일'!CQ$27,'2023년 신조차 고장관리 세부현황'!$BC:$BC,"완료",'2023년 신조차 고장관리 세부현황'!$CY:$CY,"SIV")</f>
        <v>0</v>
      </c>
      <c r="CR373" s="85">
        <f>COUNTIFS('2023년 신조차 고장관리 세부현황'!$K:$K,"448R",'2023년 신조차 고장관리 세부현황'!$P:$P,"&gt;="&amp;'트랜드 분석_15일'!CQ$27,'2023년 신조차 고장관리 세부현황'!$P:$P,"&lt;"&amp;'트랜드 분석_15일'!CR$27,'2023년 신조차 고장관리 세부현황'!$BC:$BC,"완료",'2023년 신조차 고장관리 세부현황'!$CY:$CY,"SIV")</f>
        <v>0</v>
      </c>
      <c r="CS373" s="85">
        <f>COUNTIFS('2023년 신조차 고장관리 세부현황'!$K:$K,"448R",'2023년 신조차 고장관리 세부현황'!$P:$P,"&gt;="&amp;'트랜드 분석_15일'!CR$27,'2023년 신조차 고장관리 세부현황'!$P:$P,"&lt;"&amp;'트랜드 분석_15일'!CS$27,'2023년 신조차 고장관리 세부현황'!$BC:$BC,"완료",'2023년 신조차 고장관리 세부현황'!$CY:$CY,"SIV")</f>
        <v>0</v>
      </c>
      <c r="CT373" s="85">
        <f>COUNTIFS('2023년 신조차 고장관리 세부현황'!$K:$K,"448R",'2023년 신조차 고장관리 세부현황'!$P:$P,"&gt;="&amp;'트랜드 분석_15일'!CS$27,'2023년 신조차 고장관리 세부현황'!$P:$P,"&lt;"&amp;'트랜드 분석_15일'!CT$27,'2023년 신조차 고장관리 세부현황'!$BC:$BC,"완료",'2023년 신조차 고장관리 세부현황'!$CY:$CY,"SIV")</f>
        <v>0</v>
      </c>
      <c r="CU373" s="85">
        <f>COUNTIFS('2023년 신조차 고장관리 세부현황'!$K:$K,"448R",'2023년 신조차 고장관리 세부현황'!$P:$P,"&gt;="&amp;'트랜드 분석_15일'!CT$27,'2023년 신조차 고장관리 세부현황'!$P:$P,"&lt;"&amp;'트랜드 분석_15일'!CU$27,'2023년 신조차 고장관리 세부현황'!$BC:$BC,"완료",'2023년 신조차 고장관리 세부현황'!$CY:$CY,"SIV")</f>
        <v>0</v>
      </c>
      <c r="CV373" s="85">
        <f>COUNTIFS('2023년 신조차 고장관리 세부현황'!$K:$K,"448R",'2023년 신조차 고장관리 세부현황'!$P:$P,"&gt;="&amp;'트랜드 분석_15일'!CU$27,'2023년 신조차 고장관리 세부현황'!$P:$P,"&lt;"&amp;'트랜드 분석_15일'!CV$27,'2023년 신조차 고장관리 세부현황'!$BC:$BC,"완료",'2023년 신조차 고장관리 세부현황'!$CY:$CY,"SIV")</f>
        <v>0</v>
      </c>
      <c r="CW373" s="85">
        <f>COUNTIFS('2023년 신조차 고장관리 세부현황'!$K:$K,"448R",'2023년 신조차 고장관리 세부현황'!$P:$P,"&gt;="&amp;'트랜드 분석_15일'!CV$27,'2023년 신조차 고장관리 세부현황'!$P:$P,"&lt;"&amp;'트랜드 분석_15일'!CW$27,'2023년 신조차 고장관리 세부현황'!$BC:$BC,"완료",'2023년 신조차 고장관리 세부현황'!$CY:$CY,"SIV")</f>
        <v>0</v>
      </c>
      <c r="CX373">
        <f ca="1">SUM(G373:CW373)</f>
        <v>0</v>
      </c>
    </row>
    <row r="374" spans="6:102" x14ac:dyDescent="0.4">
      <c r="F374" s="85" t="s">
        <v>164</v>
      </c>
      <c r="G374" s="85">
        <f>COUNTIFS('2023년 신조차 고장관리 세부현황'!$K:$K,"448R",'2023년 신조차 고장관리 세부현황'!$P:$P,"&gt;="&amp;$G$26,'2023년 신조차 고장관리 세부현황'!$P:$P,"&lt;"&amp;'트랜드 분석_15일'!G$27,'2023년 신조차 고장관리 세부현황'!$S:$S,'트랜드 분석_15일'!$F374,'2023년 신조차 고장관리 세부현황'!$BC:$BC,"완료",'2023년 신조차 고장관리 세부현황'!$CY:$CY,"SIV")</f>
        <v>0</v>
      </c>
      <c r="H374"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분석_15일'!$F374,'2023년 신조차 고장관리 세부현황'!$BC:$BC,"완료",'2023년 신조차 고장관리 세부현황'!$CY:$CY,"SIV")</f>
        <v>0</v>
      </c>
      <c r="I374"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분석_15일'!$F374,'2023년 신조차 고장관리 세부현황'!$BC:$BC,"완료",'2023년 신조차 고장관리 세부현황'!$CY:$CY,"SIV")</f>
        <v>0</v>
      </c>
      <c r="J374"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분석_15일'!$F374,'2023년 신조차 고장관리 세부현황'!$BC:$BC,"완료",'2023년 신조차 고장관리 세부현황'!$CY:$CY,"SIV")</f>
        <v>0</v>
      </c>
      <c r="K374"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분석_15일'!$F374,'2023년 신조차 고장관리 세부현황'!$BC:$BC,"완료",'2023년 신조차 고장관리 세부현황'!$CY:$CY,"SIV")</f>
        <v>0</v>
      </c>
      <c r="L374"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분석_15일'!$F374,'2023년 신조차 고장관리 세부현황'!$BC:$BC,"완료",'2023년 신조차 고장관리 세부현황'!$CY:$CY,"SIV")</f>
        <v>0</v>
      </c>
      <c r="M374"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분석_15일'!$F374,'2023년 신조차 고장관리 세부현황'!$BC:$BC,"완료",'2023년 신조차 고장관리 세부현황'!$CY:$CY,"SIV")</f>
        <v>0</v>
      </c>
      <c r="N374"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분석_15일'!$F374,'2023년 신조차 고장관리 세부현황'!$BC:$BC,"완료",'2023년 신조차 고장관리 세부현황'!$CY:$CY,"SIV")</f>
        <v>0</v>
      </c>
      <c r="O374"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분석_15일'!$F374,'2023년 신조차 고장관리 세부현황'!$BC:$BC,"완료",'2023년 신조차 고장관리 세부현황'!$CY:$CY,"SIV")</f>
        <v>0</v>
      </c>
      <c r="P374"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분석_15일'!$F374,'2023년 신조차 고장관리 세부현황'!$BC:$BC,"완료",'2023년 신조차 고장관리 세부현황'!$CY:$CY,"SIV")</f>
        <v>0</v>
      </c>
      <c r="Q374"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분석_15일'!$F374,'2023년 신조차 고장관리 세부현황'!$BC:$BC,"완료",'2023년 신조차 고장관리 세부현황'!$CY:$CY,"SIV")</f>
        <v>0</v>
      </c>
      <c r="R374"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분석_15일'!$F374,'2023년 신조차 고장관리 세부현황'!$BC:$BC,"완료",'2023년 신조차 고장관리 세부현황'!$CY:$CY,"SIV")</f>
        <v>0</v>
      </c>
      <c r="S374"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분석_15일'!$F374,'2023년 신조차 고장관리 세부현황'!$BC:$BC,"완료",'2023년 신조차 고장관리 세부현황'!$CY:$CY,"SIV")</f>
        <v>0</v>
      </c>
      <c r="T374"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분석_15일'!$F374,'2023년 신조차 고장관리 세부현황'!$BC:$BC,"완료",'2023년 신조차 고장관리 세부현황'!$CY:$CY,"SIV")</f>
        <v>0</v>
      </c>
      <c r="U374"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분석_15일'!$F374,'2023년 신조차 고장관리 세부현황'!$BC:$BC,"완료",'2023년 신조차 고장관리 세부현황'!$CY:$CY,"SIV")</f>
        <v>0</v>
      </c>
      <c r="V374"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분석_15일'!$F374,'2023년 신조차 고장관리 세부현황'!$BC:$BC,"완료",'2023년 신조차 고장관리 세부현황'!$CY:$CY,"SIV")</f>
        <v>0</v>
      </c>
      <c r="W374"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분석_15일'!$F374,'2023년 신조차 고장관리 세부현황'!$BC:$BC,"완료",'2023년 신조차 고장관리 세부현황'!$CY:$CY,"SIV")</f>
        <v>0</v>
      </c>
      <c r="X374"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분석_15일'!$F374,'2023년 신조차 고장관리 세부현황'!$BC:$BC,"완료",'2023년 신조차 고장관리 세부현황'!$CY:$CY,"SIV")</f>
        <v>0</v>
      </c>
      <c r="Y374"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분석_15일'!$F374,'2023년 신조차 고장관리 세부현황'!$BC:$BC,"완료",'2023년 신조차 고장관리 세부현황'!$CY:$CY,"SIV")</f>
        <v>0</v>
      </c>
      <c r="Z374"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분석_15일'!$F374,'2023년 신조차 고장관리 세부현황'!$BC:$BC,"완료",'2023년 신조차 고장관리 세부현황'!$CY:$CY,"SIV")</f>
        <v>0</v>
      </c>
      <c r="AA374"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분석_15일'!$F374,'2023년 신조차 고장관리 세부현황'!$BC:$BC,"완료",'2023년 신조차 고장관리 세부현황'!$CY:$CY,"SIV")</f>
        <v>0</v>
      </c>
      <c r="AB374"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분석_15일'!$F374,'2023년 신조차 고장관리 세부현황'!$BC:$BC,"완료",'2023년 신조차 고장관리 세부현황'!$CY:$CY,"SIV")</f>
        <v>0</v>
      </c>
      <c r="AC374"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분석_15일'!$F374,'2023년 신조차 고장관리 세부현황'!$BC:$BC,"완료",'2023년 신조차 고장관리 세부현황'!$CY:$CY,"SIV")</f>
        <v>0</v>
      </c>
      <c r="AD374"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분석_15일'!$F374,'2023년 신조차 고장관리 세부현황'!$BC:$BC,"완료",'2023년 신조차 고장관리 세부현황'!$CY:$CY,"SIV")</f>
        <v>0</v>
      </c>
      <c r="AE374"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분석_15일'!$F374,'2023년 신조차 고장관리 세부현황'!$BC:$BC,"완료",'2023년 신조차 고장관리 세부현황'!$CY:$CY,"SIV")</f>
        <v>0</v>
      </c>
      <c r="AF374"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분석_15일'!$F374,'2023년 신조차 고장관리 세부현황'!$BC:$BC,"완료",'2023년 신조차 고장관리 세부현황'!$CY:$CY,"SIV")</f>
        <v>0</v>
      </c>
      <c r="AG374"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분석_15일'!$F374,'2023년 신조차 고장관리 세부현황'!$BC:$BC,"완료",'2023년 신조차 고장관리 세부현황'!$CY:$CY,"SIV")</f>
        <v>0</v>
      </c>
      <c r="AH374"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분석_15일'!$F374,'2023년 신조차 고장관리 세부현황'!$BC:$BC,"완료",'2023년 신조차 고장관리 세부현황'!$CY:$CY,"SIV")</f>
        <v>0</v>
      </c>
      <c r="AI374"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분석_15일'!$F374,'2023년 신조차 고장관리 세부현황'!$BC:$BC,"완료",'2023년 신조차 고장관리 세부현황'!$CY:$CY,"SIV")</f>
        <v>0</v>
      </c>
      <c r="AJ374"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분석_15일'!$F374,'2023년 신조차 고장관리 세부현황'!$BC:$BC,"완료",'2023년 신조차 고장관리 세부현황'!$CY:$CY,"SIV")</f>
        <v>0</v>
      </c>
      <c r="AK374"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분석_15일'!$F374,'2023년 신조차 고장관리 세부현황'!$BC:$BC,"완료",'2023년 신조차 고장관리 세부현황'!$CY:$CY,"SIV")</f>
        <v>0</v>
      </c>
      <c r="AL374"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분석_15일'!$F374,'2023년 신조차 고장관리 세부현황'!$BC:$BC,"완료",'2023년 신조차 고장관리 세부현황'!$CY:$CY,"SIV")</f>
        <v>0</v>
      </c>
      <c r="AM374"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분석_15일'!$F374,'2023년 신조차 고장관리 세부현황'!$BC:$BC,"완료",'2023년 신조차 고장관리 세부현황'!$CY:$CY,"SIV")</f>
        <v>0</v>
      </c>
      <c r="AN374"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분석_15일'!$F374,'2023년 신조차 고장관리 세부현황'!$BC:$BC,"완료",'2023년 신조차 고장관리 세부현황'!$CY:$CY,"SIV")</f>
        <v>0</v>
      </c>
      <c r="AO374"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분석_15일'!$F374,'2023년 신조차 고장관리 세부현황'!$BC:$BC,"완료",'2023년 신조차 고장관리 세부현황'!$CY:$CY,"SIV")</f>
        <v>0</v>
      </c>
      <c r="AP374"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분석_15일'!$F374,'2023년 신조차 고장관리 세부현황'!$BC:$BC,"완료",'2023년 신조차 고장관리 세부현황'!$CY:$CY,"SIV")</f>
        <v>0</v>
      </c>
      <c r="AQ374"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분석_15일'!$F374,'2023년 신조차 고장관리 세부현황'!$BC:$BC,"완료",'2023년 신조차 고장관리 세부현황'!$CY:$CY,"SIV")</f>
        <v>0</v>
      </c>
      <c r="AR374"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분석_15일'!$F374,'2023년 신조차 고장관리 세부현황'!$BC:$BC,"완료",'2023년 신조차 고장관리 세부현황'!$CY:$CY,"SIV")</f>
        <v>0</v>
      </c>
      <c r="AS374"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분석_15일'!$F374,'2023년 신조차 고장관리 세부현황'!$BC:$BC,"완료",'2023년 신조차 고장관리 세부현황'!$CY:$CY,"SIV")</f>
        <v>0</v>
      </c>
      <c r="AT374"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분석_15일'!$F374,'2023년 신조차 고장관리 세부현황'!$BC:$BC,"완료",'2023년 신조차 고장관리 세부현황'!$CY:$CY,"SIV")</f>
        <v>0</v>
      </c>
      <c r="AU374"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분석_15일'!$F374,'2023년 신조차 고장관리 세부현황'!$BC:$BC,"완료",'2023년 신조차 고장관리 세부현황'!$CY:$CY,"SIV")</f>
        <v>0</v>
      </c>
      <c r="AV374"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분석_15일'!$F374,'2023년 신조차 고장관리 세부현황'!$BC:$BC,"완료",'2023년 신조차 고장관리 세부현황'!$CY:$CY,"SIV")</f>
        <v>0</v>
      </c>
      <c r="AW374"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분석_15일'!$F374,'2023년 신조차 고장관리 세부현황'!$BC:$BC,"완료",'2023년 신조차 고장관리 세부현황'!$CY:$CY,"SIV")</f>
        <v>0</v>
      </c>
      <c r="AX374"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분석_15일'!$F374,'2023년 신조차 고장관리 세부현황'!$BC:$BC,"완료",'2023년 신조차 고장관리 세부현황'!$CY:$CY,"SIV")</f>
        <v>0</v>
      </c>
      <c r="AY374"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분석_15일'!$F374,'2023년 신조차 고장관리 세부현황'!$BC:$BC,"완료",'2023년 신조차 고장관리 세부현황'!$CY:$CY,"SIV")</f>
        <v>0</v>
      </c>
      <c r="AZ374"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분석_15일'!$F374,'2023년 신조차 고장관리 세부현황'!$BC:$BC,"완료",'2023년 신조차 고장관리 세부현황'!$CY:$CY,"SIV")</f>
        <v>0</v>
      </c>
      <c r="BA374"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분석_15일'!$F374,'2023년 신조차 고장관리 세부현황'!$BC:$BC,"완료",'2023년 신조차 고장관리 세부현황'!$CY:$CY,"SIV")</f>
        <v>0</v>
      </c>
      <c r="BB374"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분석_15일'!$F374,'2023년 신조차 고장관리 세부현황'!$BC:$BC,"완료",'2023년 신조차 고장관리 세부현황'!$CY:$CY,"SIV")</f>
        <v>0</v>
      </c>
      <c r="BC374"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분석_15일'!$F374,'2023년 신조차 고장관리 세부현황'!$BC:$BC,"완료",'2023년 신조차 고장관리 세부현황'!$CY:$CY,"SIV")</f>
        <v>0</v>
      </c>
      <c r="BD374"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분석_15일'!$F374,'2023년 신조차 고장관리 세부현황'!$BC:$BC,"완료",'2023년 신조차 고장관리 세부현황'!$CY:$CY,"SIV")</f>
        <v>0</v>
      </c>
      <c r="BE374"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분석_15일'!$F374,'2023년 신조차 고장관리 세부현황'!$BC:$BC,"완료",'2023년 신조차 고장관리 세부현황'!$CY:$CY,"SIV")</f>
        <v>0</v>
      </c>
      <c r="BF374"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분석_15일'!$F374,'2023년 신조차 고장관리 세부현황'!$BC:$BC,"완료",'2023년 신조차 고장관리 세부현황'!$CY:$CY,"SIV")</f>
        <v>0</v>
      </c>
      <c r="BG374"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분석_15일'!$F374,'2023년 신조차 고장관리 세부현황'!$BC:$BC,"완료",'2023년 신조차 고장관리 세부현황'!$CY:$CY,"SIV")</f>
        <v>0</v>
      </c>
      <c r="BH374"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분석_15일'!$F374,'2023년 신조차 고장관리 세부현황'!$BC:$BC,"완료",'2023년 신조차 고장관리 세부현황'!$CY:$CY,"SIV")</f>
        <v>0</v>
      </c>
      <c r="BI374"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분석_15일'!$F374,'2023년 신조차 고장관리 세부현황'!$BC:$BC,"완료",'2023년 신조차 고장관리 세부현황'!$CY:$CY,"SIV")</f>
        <v>0</v>
      </c>
      <c r="BJ374"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분석_15일'!$F374,'2023년 신조차 고장관리 세부현황'!$BC:$BC,"완료",'2023년 신조차 고장관리 세부현황'!$CY:$CY,"SIV")</f>
        <v>0</v>
      </c>
      <c r="BK374"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분석_15일'!$F374,'2023년 신조차 고장관리 세부현황'!$BC:$BC,"완료",'2023년 신조차 고장관리 세부현황'!$CY:$CY,"SIV")</f>
        <v>0</v>
      </c>
      <c r="BL374"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분석_15일'!$F374,'2023년 신조차 고장관리 세부현황'!$BC:$BC,"완료",'2023년 신조차 고장관리 세부현황'!$CY:$CY,"SIV")</f>
        <v>0</v>
      </c>
      <c r="BM374"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분석_15일'!$F374,'2023년 신조차 고장관리 세부현황'!$BC:$BC,"완료",'2023년 신조차 고장관리 세부현황'!$CY:$CY,"SIV")</f>
        <v>0</v>
      </c>
      <c r="BN374"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분석_15일'!$F374,'2023년 신조차 고장관리 세부현황'!$BC:$BC,"완료",'2023년 신조차 고장관리 세부현황'!$CY:$CY,"SIV")</f>
        <v>0</v>
      </c>
      <c r="BO374"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분석_15일'!$F374,'2023년 신조차 고장관리 세부현황'!$BC:$BC,"완료",'2023년 신조차 고장관리 세부현황'!$CY:$CY,"SIV")</f>
        <v>0</v>
      </c>
      <c r="BP374"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분석_15일'!$F374,'2023년 신조차 고장관리 세부현황'!$BC:$BC,"완료",'2023년 신조차 고장관리 세부현황'!$CY:$CY,"SIV")</f>
        <v>0</v>
      </c>
      <c r="BQ374"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분석_15일'!$F374,'2023년 신조차 고장관리 세부현황'!$BC:$BC,"완료",'2023년 신조차 고장관리 세부현황'!$CY:$CY,"SIV")</f>
        <v>0</v>
      </c>
      <c r="BR374"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분석_15일'!$F374,'2023년 신조차 고장관리 세부현황'!$BC:$BC,"완료",'2023년 신조차 고장관리 세부현황'!$CY:$CY,"SIV")</f>
        <v>0</v>
      </c>
      <c r="BS374"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분석_15일'!$F374,'2023년 신조차 고장관리 세부현황'!$BC:$BC,"완료",'2023년 신조차 고장관리 세부현황'!$CY:$CY,"SIV")</f>
        <v>0</v>
      </c>
      <c r="BT374"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분석_15일'!$F374,'2023년 신조차 고장관리 세부현황'!$BC:$BC,"완료",'2023년 신조차 고장관리 세부현황'!$CY:$CY,"SIV")</f>
        <v>0</v>
      </c>
      <c r="BU374"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분석_15일'!$F374,'2023년 신조차 고장관리 세부현황'!$BC:$BC,"완료",'2023년 신조차 고장관리 세부현황'!$CY:$CY,"SIV")</f>
        <v>0</v>
      </c>
      <c r="BV374"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분석_15일'!$F374,'2023년 신조차 고장관리 세부현황'!$BC:$BC,"완료",'2023년 신조차 고장관리 세부현황'!$CY:$CY,"SIV")</f>
        <v>0</v>
      </c>
      <c r="BW374"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분석_15일'!$F374,'2023년 신조차 고장관리 세부현황'!$BC:$BC,"완료",'2023년 신조차 고장관리 세부현황'!$CY:$CY,"SIV")</f>
        <v>0</v>
      </c>
      <c r="BX374"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분석_15일'!$F374,'2023년 신조차 고장관리 세부현황'!$BC:$BC,"완료",'2023년 신조차 고장관리 세부현황'!$CY:$CY,"SIV")</f>
        <v>0</v>
      </c>
      <c r="BY374"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분석_15일'!$F374,'2023년 신조차 고장관리 세부현황'!$BC:$BC,"완료",'2023년 신조차 고장관리 세부현황'!$CY:$CY,"SIV")</f>
        <v>0</v>
      </c>
      <c r="BZ374"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분석_15일'!$F374,'2023년 신조차 고장관리 세부현황'!$BC:$BC,"완료",'2023년 신조차 고장관리 세부현황'!$CY:$CY,"SIV")</f>
        <v>0</v>
      </c>
      <c r="CA374"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분석_15일'!$F374,'2023년 신조차 고장관리 세부현황'!$BC:$BC,"완료",'2023년 신조차 고장관리 세부현황'!$CY:$CY,"SIV")</f>
        <v>0</v>
      </c>
      <c r="CB374"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분석_15일'!$F374,'2023년 신조차 고장관리 세부현황'!$BC:$BC,"완료",'2023년 신조차 고장관리 세부현황'!$CY:$CY,"SIV")</f>
        <v>0</v>
      </c>
      <c r="CC374"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분석_15일'!$F374,'2023년 신조차 고장관리 세부현황'!$BC:$BC,"완료",'2023년 신조차 고장관리 세부현황'!$CY:$CY,"SIV")</f>
        <v>0</v>
      </c>
      <c r="CD374"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분석_15일'!$F374,'2023년 신조차 고장관리 세부현황'!$BC:$BC,"완료",'2023년 신조차 고장관리 세부현황'!$CY:$CY,"SIV")</f>
        <v>0</v>
      </c>
      <c r="CE374"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분석_15일'!$F374,'2023년 신조차 고장관리 세부현황'!$BC:$BC,"완료",'2023년 신조차 고장관리 세부현황'!$CY:$CY,"SIV")</f>
        <v>0</v>
      </c>
      <c r="CF374"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분석_15일'!$F374,'2023년 신조차 고장관리 세부현황'!$BC:$BC,"완료",'2023년 신조차 고장관리 세부현황'!$CY:$CY,"SIV")</f>
        <v>0</v>
      </c>
      <c r="CG374"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분석_15일'!$F374,'2023년 신조차 고장관리 세부현황'!$BC:$BC,"완료",'2023년 신조차 고장관리 세부현황'!$CY:$CY,"SIV")</f>
        <v>0</v>
      </c>
      <c r="CH374"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분석_15일'!$F374,'2023년 신조차 고장관리 세부현황'!$BC:$BC,"완료",'2023년 신조차 고장관리 세부현황'!$CY:$CY,"SIV")</f>
        <v>0</v>
      </c>
      <c r="CI374"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분석_15일'!$F374,'2023년 신조차 고장관리 세부현황'!$BC:$BC,"완료",'2023년 신조차 고장관리 세부현황'!$CY:$CY,"SIV")</f>
        <v>0</v>
      </c>
      <c r="CJ374"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분석_15일'!$F374,'2023년 신조차 고장관리 세부현황'!$BC:$BC,"완료",'2023년 신조차 고장관리 세부현황'!$CY:$CY,"SIV")</f>
        <v>0</v>
      </c>
      <c r="CK374"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분석_15일'!$F374,'2023년 신조차 고장관리 세부현황'!$BC:$BC,"완료",'2023년 신조차 고장관리 세부현황'!$CY:$CY,"SIV")</f>
        <v>0</v>
      </c>
      <c r="CL374"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분석_15일'!$F374,'2023년 신조차 고장관리 세부현황'!$BC:$BC,"완료",'2023년 신조차 고장관리 세부현황'!$CY:$CY,"SIV")</f>
        <v>0</v>
      </c>
      <c r="CM374"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분석_15일'!$F374,'2023년 신조차 고장관리 세부현황'!$BC:$BC,"완료",'2023년 신조차 고장관리 세부현황'!$CY:$CY,"SIV")</f>
        <v>0</v>
      </c>
      <c r="CN374"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분석_15일'!$F374,'2023년 신조차 고장관리 세부현황'!$BC:$BC,"완료",'2023년 신조차 고장관리 세부현황'!$CY:$CY,"SIV")</f>
        <v>0</v>
      </c>
      <c r="CO374"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분석_15일'!$F374,'2023년 신조차 고장관리 세부현황'!$BC:$BC,"완료",'2023년 신조차 고장관리 세부현황'!$CY:$CY,"SIV")</f>
        <v>0</v>
      </c>
      <c r="CP374"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분석_15일'!$F374,'2023년 신조차 고장관리 세부현황'!$BC:$BC,"완료",'2023년 신조차 고장관리 세부현황'!$CY:$CY,"SIV")</f>
        <v>0</v>
      </c>
      <c r="CQ374"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분석_15일'!$F374,'2023년 신조차 고장관리 세부현황'!$BC:$BC,"완료",'2023년 신조차 고장관리 세부현황'!$CY:$CY,"SIV")</f>
        <v>0</v>
      </c>
      <c r="CR374"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분석_15일'!$F374,'2023년 신조차 고장관리 세부현황'!$BC:$BC,"완료",'2023년 신조차 고장관리 세부현황'!$CY:$CY,"SIV")</f>
        <v>0</v>
      </c>
      <c r="CS374"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분석_15일'!$F374,'2023년 신조차 고장관리 세부현황'!$BC:$BC,"완료",'2023년 신조차 고장관리 세부현황'!$CY:$CY,"SIV")</f>
        <v>0</v>
      </c>
      <c r="CT374"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분석_15일'!$F374,'2023년 신조차 고장관리 세부현황'!$BC:$BC,"완료",'2023년 신조차 고장관리 세부현황'!$CY:$CY,"SIV")</f>
        <v>0</v>
      </c>
      <c r="CU374"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분석_15일'!$F374,'2023년 신조차 고장관리 세부현황'!$BC:$BC,"완료",'2023년 신조차 고장관리 세부현황'!$CY:$CY,"SIV")</f>
        <v>0</v>
      </c>
      <c r="CV374"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분석_15일'!$F374,'2023년 신조차 고장관리 세부현황'!$BC:$BC,"완료",'2023년 신조차 고장관리 세부현황'!$CY:$CY,"SIV")</f>
        <v>0</v>
      </c>
      <c r="CW374"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분석_15일'!$F374,'2023년 신조차 고장관리 세부현황'!$BC:$BC,"완료",'2023년 신조차 고장관리 세부현황'!$CY:$CY,"SIV")</f>
        <v>0</v>
      </c>
      <c r="CX374">
        <f>SUM(G374:CW374)</f>
        <v>0</v>
      </c>
    </row>
    <row r="375" spans="6:102" x14ac:dyDescent="0.4">
      <c r="F375" s="85" t="s">
        <v>223</v>
      </c>
      <c r="G375" s="85">
        <f>COUNTIFS('2023년 신조차 고장관리 세부현황'!$K:$K,"448R",'2023년 신조차 고장관리 세부현황'!$P:$P,"&gt;="&amp;$G$26,'2023년 신조차 고장관리 세부현황'!$P:$P,"&lt;"&amp;'트랜드 분석_15일'!G$27,'2023년 신조차 고장관리 세부현황'!$S:$S,'트랜드 분석_15일'!$F375,'2023년 신조차 고장관리 세부현황'!$BC:$BC,"완료",'2023년 신조차 고장관리 세부현황'!$CY:$CY,"SIV")</f>
        <v>0</v>
      </c>
      <c r="H375"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분석_15일'!$F375,'2023년 신조차 고장관리 세부현황'!$BC:$BC,"완료",'2023년 신조차 고장관리 세부현황'!$CY:$CY,"SIV")</f>
        <v>0</v>
      </c>
      <c r="I375"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분석_15일'!$F375,'2023년 신조차 고장관리 세부현황'!$BC:$BC,"완료",'2023년 신조차 고장관리 세부현황'!$CY:$CY,"SIV")</f>
        <v>0</v>
      </c>
      <c r="J375"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분석_15일'!$F375,'2023년 신조차 고장관리 세부현황'!$BC:$BC,"완료",'2023년 신조차 고장관리 세부현황'!$CY:$CY,"SIV")</f>
        <v>0</v>
      </c>
      <c r="K375"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분석_15일'!$F375,'2023년 신조차 고장관리 세부현황'!$BC:$BC,"완료",'2023년 신조차 고장관리 세부현황'!$CY:$CY,"SIV")</f>
        <v>0</v>
      </c>
      <c r="L375"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분석_15일'!$F375,'2023년 신조차 고장관리 세부현황'!$BC:$BC,"완료",'2023년 신조차 고장관리 세부현황'!$CY:$CY,"SIV")</f>
        <v>0</v>
      </c>
      <c r="M375"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분석_15일'!$F375,'2023년 신조차 고장관리 세부현황'!$BC:$BC,"완료",'2023년 신조차 고장관리 세부현황'!$CY:$CY,"SIV")</f>
        <v>0</v>
      </c>
      <c r="N375"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분석_15일'!$F375,'2023년 신조차 고장관리 세부현황'!$BC:$BC,"완료",'2023년 신조차 고장관리 세부현황'!$CY:$CY,"SIV")</f>
        <v>0</v>
      </c>
      <c r="O375"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분석_15일'!$F375,'2023년 신조차 고장관리 세부현황'!$BC:$BC,"완료",'2023년 신조차 고장관리 세부현황'!$CY:$CY,"SIV")</f>
        <v>0</v>
      </c>
      <c r="P375" s="85">
        <f ca="1">COUNTIFS('2023년 신조차 고장관리 세부현황'!$K:$K,"448R",'2023년 신조차 고장관리 세부현황'!$P:$P,"&gt;="&amp;'트랜드 분석_15일'!O$27,'2023년 신조차 고장관리 세부현황'!$P:$P,"&lt;"&amp;'트랜드 분석_15일'!P$27,'2023년 신조차 고장관리 세부현황'!$S:$S,'트랜드 분석_15일'!$F375,'2023년 신조차 고장관리 세부현황'!$BC:$BC,"완료",'2023년 신조차 고장관리 세부현황'!$CY:$CY,"SIV")</f>
        <v>0</v>
      </c>
      <c r="Q375"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분석_15일'!$F375,'2023년 신조차 고장관리 세부현황'!$BC:$BC,"완료",'2023년 신조차 고장관리 세부현황'!$CY:$CY,"SIV")</f>
        <v>0</v>
      </c>
      <c r="R375" s="85">
        <f ca="1">COUNTIFS('2023년 신조차 고장관리 세부현황'!$K:$K,"448R",'2023년 신조차 고장관리 세부현황'!$P:$P,"&gt;="&amp;'트랜드 분석_15일'!Q$27,'2023년 신조차 고장관리 세부현황'!$P:$P,"&lt;"&amp;'트랜드 분석_15일'!R$27,'2023년 신조차 고장관리 세부현황'!$S:$S,'트랜드 분석_15일'!$F375,'2023년 신조차 고장관리 세부현황'!$BC:$BC,"완료",'2023년 신조차 고장관리 세부현황'!$CY:$CY,"SIV")</f>
        <v>0</v>
      </c>
      <c r="S375" s="85">
        <f ca="1">COUNTIFS('2023년 신조차 고장관리 세부현황'!$K:$K,"448R",'2023년 신조차 고장관리 세부현황'!$P:$P,"&gt;="&amp;'트랜드 분석_15일'!R$27,'2023년 신조차 고장관리 세부현황'!$P:$P,"&lt;"&amp;'트랜드 분석_15일'!S$27,'2023년 신조차 고장관리 세부현황'!$S:$S,'트랜드 분석_15일'!$F375,'2023년 신조차 고장관리 세부현황'!$BC:$BC,"완료",'2023년 신조차 고장관리 세부현황'!$CY:$CY,"SIV")</f>
        <v>0</v>
      </c>
      <c r="T375"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분석_15일'!$F375,'2023년 신조차 고장관리 세부현황'!$BC:$BC,"완료",'2023년 신조차 고장관리 세부현황'!$CY:$CY,"SIV")</f>
        <v>0</v>
      </c>
      <c r="U375"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분석_15일'!$F375,'2023년 신조차 고장관리 세부현황'!$BC:$BC,"완료",'2023년 신조차 고장관리 세부현황'!$CY:$CY,"SIV")</f>
        <v>0</v>
      </c>
      <c r="V375"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분석_15일'!$F375,'2023년 신조차 고장관리 세부현황'!$BC:$BC,"완료",'2023년 신조차 고장관리 세부현황'!$CY:$CY,"SIV")</f>
        <v>0</v>
      </c>
      <c r="W375" s="85">
        <f ca="1">COUNTIFS('2023년 신조차 고장관리 세부현황'!$K:$K,"448R",'2023년 신조차 고장관리 세부현황'!$P:$P,"&gt;="&amp;'트랜드 분석_15일'!V$27,'2023년 신조차 고장관리 세부현황'!$P:$P,"&lt;"&amp;'트랜드 분석_15일'!W$27,'2023년 신조차 고장관리 세부현황'!$S:$S,'트랜드 분석_15일'!$F375,'2023년 신조차 고장관리 세부현황'!$BC:$BC,"완료",'2023년 신조차 고장관리 세부현황'!$CY:$CY,"SIV")</f>
        <v>0</v>
      </c>
      <c r="X375"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분석_15일'!$F375,'2023년 신조차 고장관리 세부현황'!$BC:$BC,"완료",'2023년 신조차 고장관리 세부현황'!$CY:$CY,"SIV")</f>
        <v>0</v>
      </c>
      <c r="Y375" s="85">
        <f ca="1">COUNTIFS('2023년 신조차 고장관리 세부현황'!$K:$K,"448R",'2023년 신조차 고장관리 세부현황'!$P:$P,"&gt;="&amp;'트랜드 분석_15일'!X$27,'2023년 신조차 고장관리 세부현황'!$P:$P,"&lt;"&amp;'트랜드 분석_15일'!Y$27,'2023년 신조차 고장관리 세부현황'!$S:$S,'트랜드 분석_15일'!$F375,'2023년 신조차 고장관리 세부현황'!$BC:$BC,"완료",'2023년 신조차 고장관리 세부현황'!$CY:$CY,"SIV")</f>
        <v>0</v>
      </c>
      <c r="Z375" s="85">
        <f ca="1">COUNTIFS('2023년 신조차 고장관리 세부현황'!$K:$K,"448R",'2023년 신조차 고장관리 세부현황'!$P:$P,"&gt;="&amp;'트랜드 분석_15일'!Y$27,'2023년 신조차 고장관리 세부현황'!$P:$P,"&lt;"&amp;'트랜드 분석_15일'!Z$27,'2023년 신조차 고장관리 세부현황'!$S:$S,'트랜드 분석_15일'!$F375,'2023년 신조차 고장관리 세부현황'!$BC:$BC,"완료",'2023년 신조차 고장관리 세부현황'!$CY:$CY,"SIV")</f>
        <v>0</v>
      </c>
      <c r="AA375"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분석_15일'!$F375,'2023년 신조차 고장관리 세부현황'!$BC:$BC,"완료",'2023년 신조차 고장관리 세부현황'!$CY:$CY,"SIV")</f>
        <v>0</v>
      </c>
      <c r="AB375" s="85">
        <f ca="1">COUNTIFS('2023년 신조차 고장관리 세부현황'!$K:$K,"448R",'2023년 신조차 고장관리 세부현황'!$P:$P,"&gt;="&amp;'트랜드 분석_15일'!AA$27,'2023년 신조차 고장관리 세부현황'!$P:$P,"&lt;"&amp;'트랜드 분석_15일'!AB$27,'2023년 신조차 고장관리 세부현황'!$S:$S,'트랜드 분석_15일'!$F375,'2023년 신조차 고장관리 세부현황'!$BC:$BC,"완료",'2023년 신조차 고장관리 세부현황'!$CY:$CY,"SIV")</f>
        <v>0</v>
      </c>
      <c r="AC375" s="85">
        <f ca="1">COUNTIFS('2023년 신조차 고장관리 세부현황'!$K:$K,"448R",'2023년 신조차 고장관리 세부현황'!$P:$P,"&gt;="&amp;'트랜드 분석_15일'!AB$27,'2023년 신조차 고장관리 세부현황'!$P:$P,"&lt;"&amp;'트랜드 분석_15일'!AC$27,'2023년 신조차 고장관리 세부현황'!$S:$S,'트랜드 분석_15일'!$F375,'2023년 신조차 고장관리 세부현황'!$BC:$BC,"완료",'2023년 신조차 고장관리 세부현황'!$CY:$CY,"SIV")</f>
        <v>0</v>
      </c>
      <c r="AD375"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분석_15일'!$F375,'2023년 신조차 고장관리 세부현황'!$BC:$BC,"완료",'2023년 신조차 고장관리 세부현황'!$CY:$CY,"SIV")</f>
        <v>0</v>
      </c>
      <c r="AE375" s="85">
        <f ca="1">COUNTIFS('2023년 신조차 고장관리 세부현황'!$K:$K,"448R",'2023년 신조차 고장관리 세부현황'!$P:$P,"&gt;="&amp;'트랜드 분석_15일'!AD$27,'2023년 신조차 고장관리 세부현황'!$P:$P,"&lt;"&amp;'트랜드 분석_15일'!AE$27,'2023년 신조차 고장관리 세부현황'!$S:$S,'트랜드 분석_15일'!$F375,'2023년 신조차 고장관리 세부현황'!$BC:$BC,"완료",'2023년 신조차 고장관리 세부현황'!$CY:$CY,"SIV")</f>
        <v>0</v>
      </c>
      <c r="AF375" s="85">
        <f ca="1">COUNTIFS('2023년 신조차 고장관리 세부현황'!$K:$K,"448R",'2023년 신조차 고장관리 세부현황'!$P:$P,"&gt;="&amp;'트랜드 분석_15일'!AE$27,'2023년 신조차 고장관리 세부현황'!$P:$P,"&lt;"&amp;'트랜드 분석_15일'!AF$27,'2023년 신조차 고장관리 세부현황'!$S:$S,'트랜드 분석_15일'!$F375,'2023년 신조차 고장관리 세부현황'!$BC:$BC,"완료",'2023년 신조차 고장관리 세부현황'!$CY:$CY,"SIV")</f>
        <v>0</v>
      </c>
      <c r="AG375"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분석_15일'!$F375,'2023년 신조차 고장관리 세부현황'!$BC:$BC,"완료",'2023년 신조차 고장관리 세부현황'!$CY:$CY,"SIV")</f>
        <v>0</v>
      </c>
      <c r="AH375"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분석_15일'!$F375,'2023년 신조차 고장관리 세부현황'!$BC:$BC,"완료",'2023년 신조차 고장관리 세부현황'!$CY:$CY,"SIV")</f>
        <v>0</v>
      </c>
      <c r="AI375"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분석_15일'!$F375,'2023년 신조차 고장관리 세부현황'!$BC:$BC,"완료",'2023년 신조차 고장관리 세부현황'!$CY:$CY,"SIV")</f>
        <v>0</v>
      </c>
      <c r="AJ375"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분석_15일'!$F375,'2023년 신조차 고장관리 세부현황'!$BC:$BC,"완료",'2023년 신조차 고장관리 세부현황'!$CY:$CY,"SIV")</f>
        <v>0</v>
      </c>
      <c r="AK375"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분석_15일'!$F375,'2023년 신조차 고장관리 세부현황'!$BC:$BC,"완료",'2023년 신조차 고장관리 세부현황'!$CY:$CY,"SIV")</f>
        <v>0</v>
      </c>
      <c r="AL375"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분석_15일'!$F375,'2023년 신조차 고장관리 세부현황'!$BC:$BC,"완료",'2023년 신조차 고장관리 세부현황'!$CY:$CY,"SIV")</f>
        <v>0</v>
      </c>
      <c r="AM375"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분석_15일'!$F375,'2023년 신조차 고장관리 세부현황'!$BC:$BC,"완료",'2023년 신조차 고장관리 세부현황'!$CY:$CY,"SIV")</f>
        <v>0</v>
      </c>
      <c r="AN375"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분석_15일'!$F375,'2023년 신조차 고장관리 세부현황'!$BC:$BC,"완료",'2023년 신조차 고장관리 세부현황'!$CY:$CY,"SIV")</f>
        <v>0</v>
      </c>
      <c r="AO375"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분석_15일'!$F375,'2023년 신조차 고장관리 세부현황'!$BC:$BC,"완료",'2023년 신조차 고장관리 세부현황'!$CY:$CY,"SIV")</f>
        <v>0</v>
      </c>
      <c r="AP375"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분석_15일'!$F375,'2023년 신조차 고장관리 세부현황'!$BC:$BC,"완료",'2023년 신조차 고장관리 세부현황'!$CY:$CY,"SIV")</f>
        <v>0</v>
      </c>
      <c r="AQ375"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분석_15일'!$F375,'2023년 신조차 고장관리 세부현황'!$BC:$BC,"완료",'2023년 신조차 고장관리 세부현황'!$CY:$CY,"SIV")</f>
        <v>0</v>
      </c>
      <c r="AR375"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분석_15일'!$F375,'2023년 신조차 고장관리 세부현황'!$BC:$BC,"완료",'2023년 신조차 고장관리 세부현황'!$CY:$CY,"SIV")</f>
        <v>0</v>
      </c>
      <c r="AS375"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분석_15일'!$F375,'2023년 신조차 고장관리 세부현황'!$BC:$BC,"완료",'2023년 신조차 고장관리 세부현황'!$CY:$CY,"SIV")</f>
        <v>0</v>
      </c>
      <c r="AT375"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분석_15일'!$F375,'2023년 신조차 고장관리 세부현황'!$BC:$BC,"완료",'2023년 신조차 고장관리 세부현황'!$CY:$CY,"SIV")</f>
        <v>0</v>
      </c>
      <c r="AU375"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분석_15일'!$F375,'2023년 신조차 고장관리 세부현황'!$BC:$BC,"완료",'2023년 신조차 고장관리 세부현황'!$CY:$CY,"SIV")</f>
        <v>0</v>
      </c>
      <c r="AV375"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분석_15일'!$F375,'2023년 신조차 고장관리 세부현황'!$BC:$BC,"완료",'2023년 신조차 고장관리 세부현황'!$CY:$CY,"SIV")</f>
        <v>0</v>
      </c>
      <c r="AW375"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분석_15일'!$F375,'2023년 신조차 고장관리 세부현황'!$BC:$BC,"완료",'2023년 신조차 고장관리 세부현황'!$CY:$CY,"SIV")</f>
        <v>0</v>
      </c>
      <c r="AX375"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분석_15일'!$F375,'2023년 신조차 고장관리 세부현황'!$BC:$BC,"완료",'2023년 신조차 고장관리 세부현황'!$CY:$CY,"SIV")</f>
        <v>0</v>
      </c>
      <c r="AY375"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분석_15일'!$F375,'2023년 신조차 고장관리 세부현황'!$BC:$BC,"완료",'2023년 신조차 고장관리 세부현황'!$CY:$CY,"SIV")</f>
        <v>0</v>
      </c>
      <c r="AZ375"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분석_15일'!$F375,'2023년 신조차 고장관리 세부현황'!$BC:$BC,"완료",'2023년 신조차 고장관리 세부현황'!$CY:$CY,"SIV")</f>
        <v>0</v>
      </c>
      <c r="BA375"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분석_15일'!$F375,'2023년 신조차 고장관리 세부현황'!$BC:$BC,"완료",'2023년 신조차 고장관리 세부현황'!$CY:$CY,"SIV")</f>
        <v>0</v>
      </c>
      <c r="BB375"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분석_15일'!$F375,'2023년 신조차 고장관리 세부현황'!$BC:$BC,"완료",'2023년 신조차 고장관리 세부현황'!$CY:$CY,"SIV")</f>
        <v>0</v>
      </c>
      <c r="BC375"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분석_15일'!$F375,'2023년 신조차 고장관리 세부현황'!$BC:$BC,"완료",'2023년 신조차 고장관리 세부현황'!$CY:$CY,"SIV")</f>
        <v>0</v>
      </c>
      <c r="BD375"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분석_15일'!$F375,'2023년 신조차 고장관리 세부현황'!$BC:$BC,"완료",'2023년 신조차 고장관리 세부현황'!$CY:$CY,"SIV")</f>
        <v>0</v>
      </c>
      <c r="BE375"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분석_15일'!$F375,'2023년 신조차 고장관리 세부현황'!$BC:$BC,"완료",'2023년 신조차 고장관리 세부현황'!$CY:$CY,"SIV")</f>
        <v>0</v>
      </c>
      <c r="BF375"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분석_15일'!$F375,'2023년 신조차 고장관리 세부현황'!$BC:$BC,"완료",'2023년 신조차 고장관리 세부현황'!$CY:$CY,"SIV")</f>
        <v>0</v>
      </c>
      <c r="BG375"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분석_15일'!$F375,'2023년 신조차 고장관리 세부현황'!$BC:$BC,"완료",'2023년 신조차 고장관리 세부현황'!$CY:$CY,"SIV")</f>
        <v>0</v>
      </c>
      <c r="BH375"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분석_15일'!$F375,'2023년 신조차 고장관리 세부현황'!$BC:$BC,"완료",'2023년 신조차 고장관리 세부현황'!$CY:$CY,"SIV")</f>
        <v>0</v>
      </c>
      <c r="BI375"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분석_15일'!$F375,'2023년 신조차 고장관리 세부현황'!$BC:$BC,"완료",'2023년 신조차 고장관리 세부현황'!$CY:$CY,"SIV")</f>
        <v>0</v>
      </c>
      <c r="BJ375"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분석_15일'!$F375,'2023년 신조차 고장관리 세부현황'!$BC:$BC,"완료",'2023년 신조차 고장관리 세부현황'!$CY:$CY,"SIV")</f>
        <v>0</v>
      </c>
      <c r="BK375"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분석_15일'!$F375,'2023년 신조차 고장관리 세부현황'!$BC:$BC,"완료",'2023년 신조차 고장관리 세부현황'!$CY:$CY,"SIV")</f>
        <v>0</v>
      </c>
      <c r="BL375"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분석_15일'!$F375,'2023년 신조차 고장관리 세부현황'!$BC:$BC,"완료",'2023년 신조차 고장관리 세부현황'!$CY:$CY,"SIV")</f>
        <v>0</v>
      </c>
      <c r="BM375"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분석_15일'!$F375,'2023년 신조차 고장관리 세부현황'!$BC:$BC,"완료",'2023년 신조차 고장관리 세부현황'!$CY:$CY,"SIV")</f>
        <v>0</v>
      </c>
      <c r="BN375"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분석_15일'!$F375,'2023년 신조차 고장관리 세부현황'!$BC:$BC,"완료",'2023년 신조차 고장관리 세부현황'!$CY:$CY,"SIV")</f>
        <v>0</v>
      </c>
      <c r="BO375"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분석_15일'!$F375,'2023년 신조차 고장관리 세부현황'!$BC:$BC,"완료",'2023년 신조차 고장관리 세부현황'!$CY:$CY,"SIV")</f>
        <v>0</v>
      </c>
      <c r="BP375"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분석_15일'!$F375,'2023년 신조차 고장관리 세부현황'!$BC:$BC,"완료",'2023년 신조차 고장관리 세부현황'!$CY:$CY,"SIV")</f>
        <v>0</v>
      </c>
      <c r="BQ375"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분석_15일'!$F375,'2023년 신조차 고장관리 세부현황'!$BC:$BC,"완료",'2023년 신조차 고장관리 세부현황'!$CY:$CY,"SIV")</f>
        <v>0</v>
      </c>
      <c r="BR375"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분석_15일'!$F375,'2023년 신조차 고장관리 세부현황'!$BC:$BC,"완료",'2023년 신조차 고장관리 세부현황'!$CY:$CY,"SIV")</f>
        <v>0</v>
      </c>
      <c r="BS375"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분석_15일'!$F375,'2023년 신조차 고장관리 세부현황'!$BC:$BC,"완료",'2023년 신조차 고장관리 세부현황'!$CY:$CY,"SIV")</f>
        <v>0</v>
      </c>
      <c r="BT375"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분석_15일'!$F375,'2023년 신조차 고장관리 세부현황'!$BC:$BC,"완료",'2023년 신조차 고장관리 세부현황'!$CY:$CY,"SIV")</f>
        <v>0</v>
      </c>
      <c r="BU375"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분석_15일'!$F375,'2023년 신조차 고장관리 세부현황'!$BC:$BC,"완료",'2023년 신조차 고장관리 세부현황'!$CY:$CY,"SIV")</f>
        <v>0</v>
      </c>
      <c r="BV375"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분석_15일'!$F375,'2023년 신조차 고장관리 세부현황'!$BC:$BC,"완료",'2023년 신조차 고장관리 세부현황'!$CY:$CY,"SIV")</f>
        <v>0</v>
      </c>
      <c r="BW375"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분석_15일'!$F375,'2023년 신조차 고장관리 세부현황'!$BC:$BC,"완료",'2023년 신조차 고장관리 세부현황'!$CY:$CY,"SIV")</f>
        <v>0</v>
      </c>
      <c r="BX375"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분석_15일'!$F375,'2023년 신조차 고장관리 세부현황'!$BC:$BC,"완료",'2023년 신조차 고장관리 세부현황'!$CY:$CY,"SIV")</f>
        <v>0</v>
      </c>
      <c r="BY375"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분석_15일'!$F375,'2023년 신조차 고장관리 세부현황'!$BC:$BC,"완료",'2023년 신조차 고장관리 세부현황'!$CY:$CY,"SIV")</f>
        <v>0</v>
      </c>
      <c r="BZ375"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분석_15일'!$F375,'2023년 신조차 고장관리 세부현황'!$BC:$BC,"완료",'2023년 신조차 고장관리 세부현황'!$CY:$CY,"SIV")</f>
        <v>0</v>
      </c>
      <c r="CA375"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분석_15일'!$F375,'2023년 신조차 고장관리 세부현황'!$BC:$BC,"완료",'2023년 신조차 고장관리 세부현황'!$CY:$CY,"SIV")</f>
        <v>0</v>
      </c>
      <c r="CB375"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분석_15일'!$F375,'2023년 신조차 고장관리 세부현황'!$BC:$BC,"완료",'2023년 신조차 고장관리 세부현황'!$CY:$CY,"SIV")</f>
        <v>0</v>
      </c>
      <c r="CC375"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분석_15일'!$F375,'2023년 신조차 고장관리 세부현황'!$BC:$BC,"완료",'2023년 신조차 고장관리 세부현황'!$CY:$CY,"SIV")</f>
        <v>0</v>
      </c>
      <c r="CD375"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분석_15일'!$F375,'2023년 신조차 고장관리 세부현황'!$BC:$BC,"완료",'2023년 신조차 고장관리 세부현황'!$CY:$CY,"SIV")</f>
        <v>0</v>
      </c>
      <c r="CE375"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분석_15일'!$F375,'2023년 신조차 고장관리 세부현황'!$BC:$BC,"완료",'2023년 신조차 고장관리 세부현황'!$CY:$CY,"SIV")</f>
        <v>0</v>
      </c>
      <c r="CF375"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분석_15일'!$F375,'2023년 신조차 고장관리 세부현황'!$BC:$BC,"완료",'2023년 신조차 고장관리 세부현황'!$CY:$CY,"SIV")</f>
        <v>0</v>
      </c>
      <c r="CG375"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분석_15일'!$F375,'2023년 신조차 고장관리 세부현황'!$BC:$BC,"완료",'2023년 신조차 고장관리 세부현황'!$CY:$CY,"SIV")</f>
        <v>0</v>
      </c>
      <c r="CH375"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분석_15일'!$F375,'2023년 신조차 고장관리 세부현황'!$BC:$BC,"완료",'2023년 신조차 고장관리 세부현황'!$CY:$CY,"SIV")</f>
        <v>0</v>
      </c>
      <c r="CI375"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분석_15일'!$F375,'2023년 신조차 고장관리 세부현황'!$BC:$BC,"완료",'2023년 신조차 고장관리 세부현황'!$CY:$CY,"SIV")</f>
        <v>0</v>
      </c>
      <c r="CJ375"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분석_15일'!$F375,'2023년 신조차 고장관리 세부현황'!$BC:$BC,"완료",'2023년 신조차 고장관리 세부현황'!$CY:$CY,"SIV")</f>
        <v>0</v>
      </c>
      <c r="CK375"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분석_15일'!$F375,'2023년 신조차 고장관리 세부현황'!$BC:$BC,"완료",'2023년 신조차 고장관리 세부현황'!$CY:$CY,"SIV")</f>
        <v>0</v>
      </c>
      <c r="CL375"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분석_15일'!$F375,'2023년 신조차 고장관리 세부현황'!$BC:$BC,"완료",'2023년 신조차 고장관리 세부현황'!$CY:$CY,"SIV")</f>
        <v>0</v>
      </c>
      <c r="CM375"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분석_15일'!$F375,'2023년 신조차 고장관리 세부현황'!$BC:$BC,"완료",'2023년 신조차 고장관리 세부현황'!$CY:$CY,"SIV")</f>
        <v>0</v>
      </c>
      <c r="CN375"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분석_15일'!$F375,'2023년 신조차 고장관리 세부현황'!$BC:$BC,"완료",'2023년 신조차 고장관리 세부현황'!$CY:$CY,"SIV")</f>
        <v>0</v>
      </c>
      <c r="CO375"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분석_15일'!$F375,'2023년 신조차 고장관리 세부현황'!$BC:$BC,"완료",'2023년 신조차 고장관리 세부현황'!$CY:$CY,"SIV")</f>
        <v>0</v>
      </c>
      <c r="CP375"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분석_15일'!$F375,'2023년 신조차 고장관리 세부현황'!$BC:$BC,"완료",'2023년 신조차 고장관리 세부현황'!$CY:$CY,"SIV")</f>
        <v>0</v>
      </c>
      <c r="CQ375"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분석_15일'!$F375,'2023년 신조차 고장관리 세부현황'!$BC:$BC,"완료",'2023년 신조차 고장관리 세부현황'!$CY:$CY,"SIV")</f>
        <v>0</v>
      </c>
      <c r="CR375"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분석_15일'!$F375,'2023년 신조차 고장관리 세부현황'!$BC:$BC,"완료",'2023년 신조차 고장관리 세부현황'!$CY:$CY,"SIV")</f>
        <v>0</v>
      </c>
      <c r="CS375"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분석_15일'!$F375,'2023년 신조차 고장관리 세부현황'!$BC:$BC,"완료",'2023년 신조차 고장관리 세부현황'!$CY:$CY,"SIV")</f>
        <v>0</v>
      </c>
      <c r="CT375"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분석_15일'!$F375,'2023년 신조차 고장관리 세부현황'!$BC:$BC,"완료",'2023년 신조차 고장관리 세부현황'!$CY:$CY,"SIV")</f>
        <v>0</v>
      </c>
      <c r="CU375"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분석_15일'!$F375,'2023년 신조차 고장관리 세부현황'!$BC:$BC,"완료",'2023년 신조차 고장관리 세부현황'!$CY:$CY,"SIV")</f>
        <v>0</v>
      </c>
      <c r="CV375"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분석_15일'!$F375,'2023년 신조차 고장관리 세부현황'!$BC:$BC,"완료",'2023년 신조차 고장관리 세부현황'!$CY:$CY,"SIV")</f>
        <v>0</v>
      </c>
      <c r="CW375"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분석_15일'!$F375,'2023년 신조차 고장관리 세부현황'!$BC:$BC,"완료",'2023년 신조차 고장관리 세부현황'!$CY:$CY,"SIV")</f>
        <v>0</v>
      </c>
      <c r="CX375">
        <f ca="1">SUM(G375:CW375)</f>
        <v>0</v>
      </c>
    </row>
    <row r="376" spans="6:102" x14ac:dyDescent="0.4">
      <c r="F376" s="85" t="s">
        <v>243</v>
      </c>
      <c r="G376" s="85">
        <f>G374+G375</f>
        <v>0</v>
      </c>
      <c r="H376" s="85">
        <f t="shared" ref="H376" si="352">H374+H375</f>
        <v>0</v>
      </c>
      <c r="I376" s="85">
        <f t="shared" ref="I376:BT376" si="353">I374+I375</f>
        <v>0</v>
      </c>
      <c r="J376" s="85">
        <f t="shared" si="353"/>
        <v>0</v>
      </c>
      <c r="K376" s="85">
        <f t="shared" si="353"/>
        <v>0</v>
      </c>
      <c r="L376" s="85">
        <f t="shared" si="353"/>
        <v>0</v>
      </c>
      <c r="M376" s="85">
        <f t="shared" si="353"/>
        <v>0</v>
      </c>
      <c r="N376" s="85">
        <f t="shared" si="353"/>
        <v>0</v>
      </c>
      <c r="O376" s="85">
        <f t="shared" si="353"/>
        <v>0</v>
      </c>
      <c r="P376" s="85">
        <f t="shared" ca="1" si="353"/>
        <v>0</v>
      </c>
      <c r="Q376" s="85">
        <f t="shared" si="353"/>
        <v>0</v>
      </c>
      <c r="R376" s="85">
        <f t="shared" ca="1" si="353"/>
        <v>0</v>
      </c>
      <c r="S376" s="85">
        <f t="shared" ca="1" si="353"/>
        <v>0</v>
      </c>
      <c r="T376" s="85">
        <f t="shared" si="353"/>
        <v>0</v>
      </c>
      <c r="U376" s="85">
        <f t="shared" si="353"/>
        <v>0</v>
      </c>
      <c r="V376" s="85">
        <f t="shared" si="353"/>
        <v>0</v>
      </c>
      <c r="W376" s="85">
        <f t="shared" ca="1" si="353"/>
        <v>0</v>
      </c>
      <c r="X376" s="85">
        <f t="shared" si="353"/>
        <v>0</v>
      </c>
      <c r="Y376" s="85">
        <f t="shared" ca="1" si="353"/>
        <v>0</v>
      </c>
      <c r="Z376" s="85">
        <f t="shared" ca="1" si="353"/>
        <v>0</v>
      </c>
      <c r="AA376" s="85">
        <f t="shared" si="353"/>
        <v>0</v>
      </c>
      <c r="AB376" s="85">
        <f t="shared" ca="1" si="353"/>
        <v>0</v>
      </c>
      <c r="AC376" s="85">
        <f t="shared" ca="1" si="353"/>
        <v>0</v>
      </c>
      <c r="AD376" s="85">
        <f t="shared" si="353"/>
        <v>0</v>
      </c>
      <c r="AE376" s="85">
        <f t="shared" ca="1" si="353"/>
        <v>0</v>
      </c>
      <c r="AF376" s="85">
        <f t="shared" ca="1" si="353"/>
        <v>0</v>
      </c>
      <c r="AG376" s="85">
        <f t="shared" si="353"/>
        <v>0</v>
      </c>
      <c r="AH376" s="85">
        <f t="shared" si="353"/>
        <v>0</v>
      </c>
      <c r="AI376" s="85">
        <f t="shared" si="353"/>
        <v>0</v>
      </c>
      <c r="AJ376" s="85">
        <f t="shared" si="353"/>
        <v>0</v>
      </c>
      <c r="AK376" s="85">
        <f t="shared" si="353"/>
        <v>0</v>
      </c>
      <c r="AL376" s="85">
        <f t="shared" si="353"/>
        <v>0</v>
      </c>
      <c r="AM376" s="85">
        <f t="shared" si="353"/>
        <v>0</v>
      </c>
      <c r="AN376" s="85">
        <f t="shared" si="353"/>
        <v>0</v>
      </c>
      <c r="AO376" s="85">
        <f t="shared" si="353"/>
        <v>0</v>
      </c>
      <c r="AP376" s="85">
        <f t="shared" si="353"/>
        <v>0</v>
      </c>
      <c r="AQ376" s="85">
        <f t="shared" si="353"/>
        <v>0</v>
      </c>
      <c r="AR376" s="85">
        <f t="shared" si="353"/>
        <v>0</v>
      </c>
      <c r="AS376" s="85">
        <f t="shared" si="353"/>
        <v>0</v>
      </c>
      <c r="AT376" s="85">
        <f t="shared" si="353"/>
        <v>0</v>
      </c>
      <c r="AU376" s="85">
        <f t="shared" si="353"/>
        <v>0</v>
      </c>
      <c r="AV376" s="85">
        <f t="shared" si="353"/>
        <v>0</v>
      </c>
      <c r="AW376" s="85">
        <f t="shared" si="353"/>
        <v>0</v>
      </c>
      <c r="AX376" s="85">
        <f t="shared" si="353"/>
        <v>0</v>
      </c>
      <c r="AY376" s="85">
        <f t="shared" si="353"/>
        <v>0</v>
      </c>
      <c r="AZ376" s="85">
        <f t="shared" si="353"/>
        <v>0</v>
      </c>
      <c r="BA376" s="85">
        <f t="shared" si="353"/>
        <v>0</v>
      </c>
      <c r="BB376" s="85">
        <f t="shared" si="353"/>
        <v>0</v>
      </c>
      <c r="BC376" s="85">
        <f t="shared" si="353"/>
        <v>0</v>
      </c>
      <c r="BD376" s="85">
        <f t="shared" si="353"/>
        <v>0</v>
      </c>
      <c r="BE376" s="85">
        <f t="shared" si="353"/>
        <v>0</v>
      </c>
      <c r="BF376" s="85">
        <f t="shared" si="353"/>
        <v>0</v>
      </c>
      <c r="BG376" s="85">
        <f t="shared" si="353"/>
        <v>0</v>
      </c>
      <c r="BH376" s="85">
        <f t="shared" si="353"/>
        <v>0</v>
      </c>
      <c r="BI376" s="85">
        <f t="shared" si="353"/>
        <v>0</v>
      </c>
      <c r="BJ376" s="85">
        <f t="shared" si="353"/>
        <v>0</v>
      </c>
      <c r="BK376" s="85">
        <f t="shared" si="353"/>
        <v>0</v>
      </c>
      <c r="BL376" s="85">
        <f t="shared" si="353"/>
        <v>0</v>
      </c>
      <c r="BM376" s="85">
        <f t="shared" si="353"/>
        <v>0</v>
      </c>
      <c r="BN376" s="85">
        <f t="shared" si="353"/>
        <v>0</v>
      </c>
      <c r="BO376" s="85">
        <f t="shared" si="353"/>
        <v>0</v>
      </c>
      <c r="BP376" s="85">
        <f t="shared" si="353"/>
        <v>0</v>
      </c>
      <c r="BQ376" s="85">
        <f t="shared" si="353"/>
        <v>0</v>
      </c>
      <c r="BR376" s="85">
        <f t="shared" si="353"/>
        <v>0</v>
      </c>
      <c r="BS376" s="85">
        <f t="shared" si="353"/>
        <v>0</v>
      </c>
      <c r="BT376" s="85">
        <f t="shared" si="353"/>
        <v>0</v>
      </c>
      <c r="BU376" s="85">
        <f t="shared" ref="BU376:CW376" si="354">BU374+BU375</f>
        <v>0</v>
      </c>
      <c r="BV376" s="85">
        <f t="shared" si="354"/>
        <v>0</v>
      </c>
      <c r="BW376" s="85">
        <f t="shared" si="354"/>
        <v>0</v>
      </c>
      <c r="BX376" s="85">
        <f t="shared" si="354"/>
        <v>0</v>
      </c>
      <c r="BY376" s="85">
        <f t="shared" si="354"/>
        <v>0</v>
      </c>
      <c r="BZ376" s="85">
        <f t="shared" si="354"/>
        <v>0</v>
      </c>
      <c r="CA376" s="85">
        <f t="shared" si="354"/>
        <v>0</v>
      </c>
      <c r="CB376" s="85">
        <f t="shared" si="354"/>
        <v>0</v>
      </c>
      <c r="CC376" s="85">
        <f t="shared" si="354"/>
        <v>0</v>
      </c>
      <c r="CD376" s="85">
        <f t="shared" si="354"/>
        <v>0</v>
      </c>
      <c r="CE376" s="85">
        <f t="shared" si="354"/>
        <v>0</v>
      </c>
      <c r="CF376" s="85">
        <f t="shared" si="354"/>
        <v>0</v>
      </c>
      <c r="CG376" s="85">
        <f t="shared" si="354"/>
        <v>0</v>
      </c>
      <c r="CH376" s="85">
        <f t="shared" si="354"/>
        <v>0</v>
      </c>
      <c r="CI376" s="85">
        <f t="shared" si="354"/>
        <v>0</v>
      </c>
      <c r="CJ376" s="85">
        <f t="shared" si="354"/>
        <v>0</v>
      </c>
      <c r="CK376" s="85">
        <f t="shared" si="354"/>
        <v>0</v>
      </c>
      <c r="CL376" s="85">
        <f t="shared" si="354"/>
        <v>0</v>
      </c>
      <c r="CM376" s="85">
        <f t="shared" si="354"/>
        <v>0</v>
      </c>
      <c r="CN376" s="85">
        <f t="shared" si="354"/>
        <v>0</v>
      </c>
      <c r="CO376" s="85">
        <f t="shared" si="354"/>
        <v>0</v>
      </c>
      <c r="CP376" s="85">
        <f t="shared" si="354"/>
        <v>0</v>
      </c>
      <c r="CQ376" s="85">
        <f t="shared" si="354"/>
        <v>0</v>
      </c>
      <c r="CR376" s="85">
        <f t="shared" si="354"/>
        <v>0</v>
      </c>
      <c r="CS376" s="85">
        <f t="shared" si="354"/>
        <v>0</v>
      </c>
      <c r="CT376" s="85">
        <f t="shared" si="354"/>
        <v>0</v>
      </c>
      <c r="CU376" s="85">
        <f t="shared" si="354"/>
        <v>0</v>
      </c>
      <c r="CV376" s="85">
        <f t="shared" si="354"/>
        <v>0</v>
      </c>
      <c r="CW376" s="85">
        <f t="shared" si="354"/>
        <v>0</v>
      </c>
      <c r="CX376">
        <f ca="1">SUM(G376:CW376)</f>
        <v>0</v>
      </c>
    </row>
    <row r="377" spans="6:102" x14ac:dyDescent="0.4">
      <c r="F377" s="86" t="s">
        <v>222</v>
      </c>
      <c r="G377" s="85">
        <f>COUNTIFS('2023년 신조차 고장관리 세부현황'!$K:$K,"448R",'2023년 신조차 고장관리 세부현황'!$P:$P,"&gt;="&amp;$G$26,'2023년 신조차 고장관리 세부현황'!$P:$P,"&lt;"&amp;'트랜드 분석_15일'!G$27,'2023년 신조차 고장관리 세부현황'!$S:$S,'트랜드 분석_15일'!$F377,'2023년 신조차 고장관리 세부현황'!$BC:$BC,"완료",'2023년 신조차 고장관리 세부현황'!$CY:$CY,"SIV")</f>
        <v>0</v>
      </c>
      <c r="H377"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분석_15일'!$F377,'2023년 신조차 고장관리 세부현황'!$BC:$BC,"완료",'2023년 신조차 고장관리 세부현황'!$CY:$CY,"SIV")</f>
        <v>0</v>
      </c>
      <c r="I377"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분석_15일'!$F377,'2023년 신조차 고장관리 세부현황'!$BC:$BC,"완료",'2023년 신조차 고장관리 세부현황'!$CY:$CY,"SIV")</f>
        <v>0</v>
      </c>
      <c r="J377"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분석_15일'!$F377,'2023년 신조차 고장관리 세부현황'!$BC:$BC,"완료",'2023년 신조차 고장관리 세부현황'!$CY:$CY,"SIV")</f>
        <v>0</v>
      </c>
      <c r="K377"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분석_15일'!$F377,'2023년 신조차 고장관리 세부현황'!$BC:$BC,"완료",'2023년 신조차 고장관리 세부현황'!$CY:$CY,"SIV")</f>
        <v>0</v>
      </c>
      <c r="L377"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분석_15일'!$F377,'2023년 신조차 고장관리 세부현황'!$BC:$BC,"완료",'2023년 신조차 고장관리 세부현황'!$CY:$CY,"SIV")</f>
        <v>0</v>
      </c>
      <c r="M377"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분석_15일'!$F377,'2023년 신조차 고장관리 세부현황'!$BC:$BC,"완료",'2023년 신조차 고장관리 세부현황'!$CY:$CY,"SIV")</f>
        <v>0</v>
      </c>
      <c r="N377"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분석_15일'!$F377,'2023년 신조차 고장관리 세부현황'!$BC:$BC,"완료",'2023년 신조차 고장관리 세부현황'!$CY:$CY,"SIV")</f>
        <v>0</v>
      </c>
      <c r="O377"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분석_15일'!$F377,'2023년 신조차 고장관리 세부현황'!$BC:$BC,"완료",'2023년 신조차 고장관리 세부현황'!$CY:$CY,"SIV")</f>
        <v>0</v>
      </c>
      <c r="P377"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분석_15일'!$F377,'2023년 신조차 고장관리 세부현황'!$BC:$BC,"완료",'2023년 신조차 고장관리 세부현황'!$CY:$CY,"SIV")</f>
        <v>0</v>
      </c>
      <c r="Q377"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분석_15일'!$F377,'2023년 신조차 고장관리 세부현황'!$BC:$BC,"완료",'2023년 신조차 고장관리 세부현황'!$CY:$CY,"SIV")</f>
        <v>0</v>
      </c>
      <c r="R377"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분석_15일'!$F377,'2023년 신조차 고장관리 세부현황'!$BC:$BC,"완료",'2023년 신조차 고장관리 세부현황'!$CY:$CY,"SIV")</f>
        <v>0</v>
      </c>
      <c r="S377"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분석_15일'!$F377,'2023년 신조차 고장관리 세부현황'!$BC:$BC,"완료",'2023년 신조차 고장관리 세부현황'!$CY:$CY,"SIV")</f>
        <v>0</v>
      </c>
      <c r="T377"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분석_15일'!$F377,'2023년 신조차 고장관리 세부현황'!$BC:$BC,"완료",'2023년 신조차 고장관리 세부현황'!$CY:$CY,"SIV")</f>
        <v>0</v>
      </c>
      <c r="U377"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분석_15일'!$F377,'2023년 신조차 고장관리 세부현황'!$BC:$BC,"완료",'2023년 신조차 고장관리 세부현황'!$CY:$CY,"SIV")</f>
        <v>0</v>
      </c>
      <c r="V377"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분석_15일'!$F377,'2023년 신조차 고장관리 세부현황'!$BC:$BC,"완료",'2023년 신조차 고장관리 세부현황'!$CY:$CY,"SIV")</f>
        <v>0</v>
      </c>
      <c r="W377"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분석_15일'!$F377,'2023년 신조차 고장관리 세부현황'!$BC:$BC,"완료",'2023년 신조차 고장관리 세부현황'!$CY:$CY,"SIV")</f>
        <v>0</v>
      </c>
      <c r="X377"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분석_15일'!$F377,'2023년 신조차 고장관리 세부현황'!$BC:$BC,"완료",'2023년 신조차 고장관리 세부현황'!$CY:$CY,"SIV")</f>
        <v>0</v>
      </c>
      <c r="Y377"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분석_15일'!$F377,'2023년 신조차 고장관리 세부현황'!$BC:$BC,"완료",'2023년 신조차 고장관리 세부현황'!$CY:$CY,"SIV")</f>
        <v>0</v>
      </c>
      <c r="Z377"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분석_15일'!$F377,'2023년 신조차 고장관리 세부현황'!$BC:$BC,"완료",'2023년 신조차 고장관리 세부현황'!$CY:$CY,"SIV")</f>
        <v>0</v>
      </c>
      <c r="AA377"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분석_15일'!$F377,'2023년 신조차 고장관리 세부현황'!$BC:$BC,"완료",'2023년 신조차 고장관리 세부현황'!$CY:$CY,"SIV")</f>
        <v>0</v>
      </c>
      <c r="AB377"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분석_15일'!$F377,'2023년 신조차 고장관리 세부현황'!$BC:$BC,"완료",'2023년 신조차 고장관리 세부현황'!$CY:$CY,"SIV")</f>
        <v>0</v>
      </c>
      <c r="AC377"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분석_15일'!$F377,'2023년 신조차 고장관리 세부현황'!$BC:$BC,"완료",'2023년 신조차 고장관리 세부현황'!$CY:$CY,"SIV")</f>
        <v>0</v>
      </c>
      <c r="AD377"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분석_15일'!$F377,'2023년 신조차 고장관리 세부현황'!$BC:$BC,"완료",'2023년 신조차 고장관리 세부현황'!$CY:$CY,"SIV")</f>
        <v>0</v>
      </c>
      <c r="AE377"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분석_15일'!$F377,'2023년 신조차 고장관리 세부현황'!$BC:$BC,"완료",'2023년 신조차 고장관리 세부현황'!$CY:$CY,"SIV")</f>
        <v>0</v>
      </c>
      <c r="AF377"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분석_15일'!$F377,'2023년 신조차 고장관리 세부현황'!$BC:$BC,"완료",'2023년 신조차 고장관리 세부현황'!$CY:$CY,"SIV")</f>
        <v>0</v>
      </c>
      <c r="AG377"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분석_15일'!$F377,'2023년 신조차 고장관리 세부현황'!$BC:$BC,"완료",'2023년 신조차 고장관리 세부현황'!$CY:$CY,"SIV")</f>
        <v>0</v>
      </c>
      <c r="AH377"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분석_15일'!$F377,'2023년 신조차 고장관리 세부현황'!$BC:$BC,"완료",'2023년 신조차 고장관리 세부현황'!$CY:$CY,"SIV")</f>
        <v>0</v>
      </c>
      <c r="AI377"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분석_15일'!$F377,'2023년 신조차 고장관리 세부현황'!$BC:$BC,"완료",'2023년 신조차 고장관리 세부현황'!$CY:$CY,"SIV")</f>
        <v>0</v>
      </c>
      <c r="AJ377"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분석_15일'!$F377,'2023년 신조차 고장관리 세부현황'!$BC:$BC,"완료",'2023년 신조차 고장관리 세부현황'!$CY:$CY,"SIV")</f>
        <v>0</v>
      </c>
      <c r="AK377"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분석_15일'!$F377,'2023년 신조차 고장관리 세부현황'!$BC:$BC,"완료",'2023년 신조차 고장관리 세부현황'!$CY:$CY,"SIV")</f>
        <v>0</v>
      </c>
      <c r="AL377"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분석_15일'!$F377,'2023년 신조차 고장관리 세부현황'!$BC:$BC,"완료",'2023년 신조차 고장관리 세부현황'!$CY:$CY,"SIV")</f>
        <v>0</v>
      </c>
      <c r="AM377"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분석_15일'!$F377,'2023년 신조차 고장관리 세부현황'!$BC:$BC,"완료",'2023년 신조차 고장관리 세부현황'!$CY:$CY,"SIV")</f>
        <v>0</v>
      </c>
      <c r="AN377"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분석_15일'!$F377,'2023년 신조차 고장관리 세부현황'!$BC:$BC,"완료",'2023년 신조차 고장관리 세부현황'!$CY:$CY,"SIV")</f>
        <v>0</v>
      </c>
      <c r="AO377"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분석_15일'!$F377,'2023년 신조차 고장관리 세부현황'!$BC:$BC,"완료",'2023년 신조차 고장관리 세부현황'!$CY:$CY,"SIV")</f>
        <v>0</v>
      </c>
      <c r="AP377"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분석_15일'!$F377,'2023년 신조차 고장관리 세부현황'!$BC:$BC,"완료",'2023년 신조차 고장관리 세부현황'!$CY:$CY,"SIV")</f>
        <v>0</v>
      </c>
      <c r="AQ377"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분석_15일'!$F377,'2023년 신조차 고장관리 세부현황'!$BC:$BC,"완료",'2023년 신조차 고장관리 세부현황'!$CY:$CY,"SIV")</f>
        <v>0</v>
      </c>
      <c r="AR377"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분석_15일'!$F377,'2023년 신조차 고장관리 세부현황'!$BC:$BC,"완료",'2023년 신조차 고장관리 세부현황'!$CY:$CY,"SIV")</f>
        <v>0</v>
      </c>
      <c r="AS377"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분석_15일'!$F377,'2023년 신조차 고장관리 세부현황'!$BC:$BC,"완료",'2023년 신조차 고장관리 세부현황'!$CY:$CY,"SIV")</f>
        <v>0</v>
      </c>
      <c r="AT377"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분석_15일'!$F377,'2023년 신조차 고장관리 세부현황'!$BC:$BC,"완료",'2023년 신조차 고장관리 세부현황'!$CY:$CY,"SIV")</f>
        <v>0</v>
      </c>
      <c r="AU377"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분석_15일'!$F377,'2023년 신조차 고장관리 세부현황'!$BC:$BC,"완료",'2023년 신조차 고장관리 세부현황'!$CY:$CY,"SIV")</f>
        <v>0</v>
      </c>
      <c r="AV377"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분석_15일'!$F377,'2023년 신조차 고장관리 세부현황'!$BC:$BC,"완료",'2023년 신조차 고장관리 세부현황'!$CY:$CY,"SIV")</f>
        <v>0</v>
      </c>
      <c r="AW377"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분석_15일'!$F377,'2023년 신조차 고장관리 세부현황'!$BC:$BC,"완료",'2023년 신조차 고장관리 세부현황'!$CY:$CY,"SIV")</f>
        <v>0</v>
      </c>
      <c r="AX377"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분석_15일'!$F377,'2023년 신조차 고장관리 세부현황'!$BC:$BC,"완료",'2023년 신조차 고장관리 세부현황'!$CY:$CY,"SIV")</f>
        <v>0</v>
      </c>
      <c r="AY377"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분석_15일'!$F377,'2023년 신조차 고장관리 세부현황'!$BC:$BC,"완료",'2023년 신조차 고장관리 세부현황'!$CY:$CY,"SIV")</f>
        <v>0</v>
      </c>
      <c r="AZ377"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분석_15일'!$F377,'2023년 신조차 고장관리 세부현황'!$BC:$BC,"완료",'2023년 신조차 고장관리 세부현황'!$CY:$CY,"SIV")</f>
        <v>0</v>
      </c>
      <c r="BA377"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분석_15일'!$F377,'2023년 신조차 고장관리 세부현황'!$BC:$BC,"완료",'2023년 신조차 고장관리 세부현황'!$CY:$CY,"SIV")</f>
        <v>0</v>
      </c>
      <c r="BB377"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분석_15일'!$F377,'2023년 신조차 고장관리 세부현황'!$BC:$BC,"완료",'2023년 신조차 고장관리 세부현황'!$CY:$CY,"SIV")</f>
        <v>0</v>
      </c>
      <c r="BC377"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분석_15일'!$F377,'2023년 신조차 고장관리 세부현황'!$BC:$BC,"완료",'2023년 신조차 고장관리 세부현황'!$CY:$CY,"SIV")</f>
        <v>0</v>
      </c>
      <c r="BD377"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분석_15일'!$F377,'2023년 신조차 고장관리 세부현황'!$BC:$BC,"완료",'2023년 신조차 고장관리 세부현황'!$CY:$CY,"SIV")</f>
        <v>0</v>
      </c>
      <c r="BE377"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분석_15일'!$F377,'2023년 신조차 고장관리 세부현황'!$BC:$BC,"완료",'2023년 신조차 고장관리 세부현황'!$CY:$CY,"SIV")</f>
        <v>0</v>
      </c>
      <c r="BF377"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분석_15일'!$F377,'2023년 신조차 고장관리 세부현황'!$BC:$BC,"완료",'2023년 신조차 고장관리 세부현황'!$CY:$CY,"SIV")</f>
        <v>0</v>
      </c>
      <c r="BG377"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분석_15일'!$F377,'2023년 신조차 고장관리 세부현황'!$BC:$BC,"완료",'2023년 신조차 고장관리 세부현황'!$CY:$CY,"SIV")</f>
        <v>0</v>
      </c>
      <c r="BH377"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분석_15일'!$F377,'2023년 신조차 고장관리 세부현황'!$BC:$BC,"완료",'2023년 신조차 고장관리 세부현황'!$CY:$CY,"SIV")</f>
        <v>0</v>
      </c>
      <c r="BI377"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분석_15일'!$F377,'2023년 신조차 고장관리 세부현황'!$BC:$BC,"완료",'2023년 신조차 고장관리 세부현황'!$CY:$CY,"SIV")</f>
        <v>0</v>
      </c>
      <c r="BJ377"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분석_15일'!$F377,'2023년 신조차 고장관리 세부현황'!$BC:$BC,"완료",'2023년 신조차 고장관리 세부현황'!$CY:$CY,"SIV")</f>
        <v>0</v>
      </c>
      <c r="BK377"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분석_15일'!$F377,'2023년 신조차 고장관리 세부현황'!$BC:$BC,"완료",'2023년 신조차 고장관리 세부현황'!$CY:$CY,"SIV")</f>
        <v>0</v>
      </c>
      <c r="BL377"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분석_15일'!$F377,'2023년 신조차 고장관리 세부현황'!$BC:$BC,"완료",'2023년 신조차 고장관리 세부현황'!$CY:$CY,"SIV")</f>
        <v>0</v>
      </c>
      <c r="BM377"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분석_15일'!$F377,'2023년 신조차 고장관리 세부현황'!$BC:$BC,"완료",'2023년 신조차 고장관리 세부현황'!$CY:$CY,"SIV")</f>
        <v>0</v>
      </c>
      <c r="BN377"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분석_15일'!$F377,'2023년 신조차 고장관리 세부현황'!$BC:$BC,"완료",'2023년 신조차 고장관리 세부현황'!$CY:$CY,"SIV")</f>
        <v>0</v>
      </c>
      <c r="BO377"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분석_15일'!$F377,'2023년 신조차 고장관리 세부현황'!$BC:$BC,"완료",'2023년 신조차 고장관리 세부현황'!$CY:$CY,"SIV")</f>
        <v>0</v>
      </c>
      <c r="BP377"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분석_15일'!$F377,'2023년 신조차 고장관리 세부현황'!$BC:$BC,"완료",'2023년 신조차 고장관리 세부현황'!$CY:$CY,"SIV")</f>
        <v>0</v>
      </c>
      <c r="BQ377"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분석_15일'!$F377,'2023년 신조차 고장관리 세부현황'!$BC:$BC,"완료",'2023년 신조차 고장관리 세부현황'!$CY:$CY,"SIV")</f>
        <v>0</v>
      </c>
      <c r="BR377"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분석_15일'!$F377,'2023년 신조차 고장관리 세부현황'!$BC:$BC,"완료",'2023년 신조차 고장관리 세부현황'!$CY:$CY,"SIV")</f>
        <v>0</v>
      </c>
      <c r="BS377"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분석_15일'!$F377,'2023년 신조차 고장관리 세부현황'!$BC:$BC,"완료",'2023년 신조차 고장관리 세부현황'!$CY:$CY,"SIV")</f>
        <v>0</v>
      </c>
      <c r="BT377"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분석_15일'!$F377,'2023년 신조차 고장관리 세부현황'!$BC:$BC,"완료",'2023년 신조차 고장관리 세부현황'!$CY:$CY,"SIV")</f>
        <v>0</v>
      </c>
      <c r="BU377"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분석_15일'!$F377,'2023년 신조차 고장관리 세부현황'!$BC:$BC,"완료",'2023년 신조차 고장관리 세부현황'!$CY:$CY,"SIV")</f>
        <v>0</v>
      </c>
      <c r="BV377"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분석_15일'!$F377,'2023년 신조차 고장관리 세부현황'!$BC:$BC,"완료",'2023년 신조차 고장관리 세부현황'!$CY:$CY,"SIV")</f>
        <v>0</v>
      </c>
      <c r="BW377"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분석_15일'!$F377,'2023년 신조차 고장관리 세부현황'!$BC:$BC,"완료",'2023년 신조차 고장관리 세부현황'!$CY:$CY,"SIV")</f>
        <v>0</v>
      </c>
      <c r="BX377"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분석_15일'!$F377,'2023년 신조차 고장관리 세부현황'!$BC:$BC,"완료",'2023년 신조차 고장관리 세부현황'!$CY:$CY,"SIV")</f>
        <v>0</v>
      </c>
      <c r="BY377"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분석_15일'!$F377,'2023년 신조차 고장관리 세부현황'!$BC:$BC,"완료",'2023년 신조차 고장관리 세부현황'!$CY:$CY,"SIV")</f>
        <v>0</v>
      </c>
      <c r="BZ377"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분석_15일'!$F377,'2023년 신조차 고장관리 세부현황'!$BC:$BC,"완료",'2023년 신조차 고장관리 세부현황'!$CY:$CY,"SIV")</f>
        <v>0</v>
      </c>
      <c r="CA377"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분석_15일'!$F377,'2023년 신조차 고장관리 세부현황'!$BC:$BC,"완료",'2023년 신조차 고장관리 세부현황'!$CY:$CY,"SIV")</f>
        <v>0</v>
      </c>
      <c r="CB377"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분석_15일'!$F377,'2023년 신조차 고장관리 세부현황'!$BC:$BC,"완료",'2023년 신조차 고장관리 세부현황'!$CY:$CY,"SIV")</f>
        <v>0</v>
      </c>
      <c r="CC377"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분석_15일'!$F377,'2023년 신조차 고장관리 세부현황'!$BC:$BC,"완료",'2023년 신조차 고장관리 세부현황'!$CY:$CY,"SIV")</f>
        <v>0</v>
      </c>
      <c r="CD377"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분석_15일'!$F377,'2023년 신조차 고장관리 세부현황'!$BC:$BC,"완료",'2023년 신조차 고장관리 세부현황'!$CY:$CY,"SIV")</f>
        <v>0</v>
      </c>
      <c r="CE377"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분석_15일'!$F377,'2023년 신조차 고장관리 세부현황'!$BC:$BC,"완료",'2023년 신조차 고장관리 세부현황'!$CY:$CY,"SIV")</f>
        <v>0</v>
      </c>
      <c r="CF377"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분석_15일'!$F377,'2023년 신조차 고장관리 세부현황'!$BC:$BC,"완료",'2023년 신조차 고장관리 세부현황'!$CY:$CY,"SIV")</f>
        <v>0</v>
      </c>
      <c r="CG377"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분석_15일'!$F377,'2023년 신조차 고장관리 세부현황'!$BC:$BC,"완료",'2023년 신조차 고장관리 세부현황'!$CY:$CY,"SIV")</f>
        <v>0</v>
      </c>
      <c r="CH377"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분석_15일'!$F377,'2023년 신조차 고장관리 세부현황'!$BC:$BC,"완료",'2023년 신조차 고장관리 세부현황'!$CY:$CY,"SIV")</f>
        <v>0</v>
      </c>
      <c r="CI377"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분석_15일'!$F377,'2023년 신조차 고장관리 세부현황'!$BC:$BC,"완료",'2023년 신조차 고장관리 세부현황'!$CY:$CY,"SIV")</f>
        <v>0</v>
      </c>
      <c r="CJ377"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분석_15일'!$F377,'2023년 신조차 고장관리 세부현황'!$BC:$BC,"완료",'2023년 신조차 고장관리 세부현황'!$CY:$CY,"SIV")</f>
        <v>0</v>
      </c>
      <c r="CK377"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분석_15일'!$F377,'2023년 신조차 고장관리 세부현황'!$BC:$BC,"완료",'2023년 신조차 고장관리 세부현황'!$CY:$CY,"SIV")</f>
        <v>0</v>
      </c>
      <c r="CL377"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분석_15일'!$F377,'2023년 신조차 고장관리 세부현황'!$BC:$BC,"완료",'2023년 신조차 고장관리 세부현황'!$CY:$CY,"SIV")</f>
        <v>0</v>
      </c>
      <c r="CM377"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분석_15일'!$F377,'2023년 신조차 고장관리 세부현황'!$BC:$BC,"완료",'2023년 신조차 고장관리 세부현황'!$CY:$CY,"SIV")</f>
        <v>0</v>
      </c>
      <c r="CN377"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분석_15일'!$F377,'2023년 신조차 고장관리 세부현황'!$BC:$BC,"완료",'2023년 신조차 고장관리 세부현황'!$CY:$CY,"SIV")</f>
        <v>0</v>
      </c>
      <c r="CO377"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분석_15일'!$F377,'2023년 신조차 고장관리 세부현황'!$BC:$BC,"완료",'2023년 신조차 고장관리 세부현황'!$CY:$CY,"SIV")</f>
        <v>0</v>
      </c>
      <c r="CP377"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분석_15일'!$F377,'2023년 신조차 고장관리 세부현황'!$BC:$BC,"완료",'2023년 신조차 고장관리 세부현황'!$CY:$CY,"SIV")</f>
        <v>0</v>
      </c>
      <c r="CQ377"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분석_15일'!$F377,'2023년 신조차 고장관리 세부현황'!$BC:$BC,"완료",'2023년 신조차 고장관리 세부현황'!$CY:$CY,"SIV")</f>
        <v>0</v>
      </c>
      <c r="CR377"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분석_15일'!$F377,'2023년 신조차 고장관리 세부현황'!$BC:$BC,"완료",'2023년 신조차 고장관리 세부현황'!$CY:$CY,"SIV")</f>
        <v>0</v>
      </c>
      <c r="CS377"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분석_15일'!$F377,'2023년 신조차 고장관리 세부현황'!$BC:$BC,"완료",'2023년 신조차 고장관리 세부현황'!$CY:$CY,"SIV")</f>
        <v>0</v>
      </c>
      <c r="CT377"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분석_15일'!$F377,'2023년 신조차 고장관리 세부현황'!$BC:$BC,"완료",'2023년 신조차 고장관리 세부현황'!$CY:$CY,"SIV")</f>
        <v>0</v>
      </c>
      <c r="CU377"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분석_15일'!$F377,'2023년 신조차 고장관리 세부현황'!$BC:$BC,"완료",'2023년 신조차 고장관리 세부현황'!$CY:$CY,"SIV")</f>
        <v>0</v>
      </c>
      <c r="CV377"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분석_15일'!$F377,'2023년 신조차 고장관리 세부현황'!$BC:$BC,"완료",'2023년 신조차 고장관리 세부현황'!$CY:$CY,"SIV")</f>
        <v>0</v>
      </c>
      <c r="CW377"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분석_15일'!$F377,'2023년 신조차 고장관리 세부현황'!$BC:$BC,"완료",'2023년 신조차 고장관리 세부현황'!$CY:$CY,"SIV")</f>
        <v>0</v>
      </c>
      <c r="CX377">
        <f>SUM(G377:CW377)</f>
        <v>0</v>
      </c>
    </row>
    <row r="380" spans="6:102" x14ac:dyDescent="0.4">
      <c r="F380" t="s">
        <v>653</v>
      </c>
      <c r="CS380" t="s">
        <v>400</v>
      </c>
    </row>
    <row r="381" spans="6:102" x14ac:dyDescent="0.4">
      <c r="F381" s="85" t="s">
        <v>242</v>
      </c>
      <c r="G381" s="85">
        <v>1</v>
      </c>
      <c r="H381" s="85">
        <v>2</v>
      </c>
      <c r="I381" s="85">
        <v>3</v>
      </c>
      <c r="J381" s="85">
        <v>4</v>
      </c>
      <c r="K381" s="85">
        <v>5</v>
      </c>
      <c r="L381" s="85">
        <v>6</v>
      </c>
      <c r="M381" s="85">
        <v>7</v>
      </c>
      <c r="N381" s="85">
        <v>8</v>
      </c>
      <c r="O381" s="85">
        <v>9</v>
      </c>
      <c r="P381" s="85">
        <v>10</v>
      </c>
      <c r="Q381" s="85">
        <v>11</v>
      </c>
      <c r="R381" s="85">
        <v>12</v>
      </c>
      <c r="S381" s="85">
        <v>13</v>
      </c>
      <c r="T381" s="85">
        <v>14</v>
      </c>
      <c r="U381" s="85">
        <v>15</v>
      </c>
      <c r="V381" s="85">
        <v>16</v>
      </c>
      <c r="W381" s="85">
        <v>17</v>
      </c>
      <c r="X381" s="85">
        <v>18</v>
      </c>
      <c r="Y381" s="85">
        <v>19</v>
      </c>
      <c r="Z381" s="85">
        <v>20</v>
      </c>
      <c r="AA381" s="85">
        <v>21</v>
      </c>
      <c r="AB381" s="85">
        <v>22</v>
      </c>
      <c r="AC381" s="85">
        <v>23</v>
      </c>
      <c r="AD381" s="85">
        <v>24</v>
      </c>
      <c r="AE381" s="85">
        <v>25</v>
      </c>
      <c r="AF381" s="85">
        <v>26</v>
      </c>
      <c r="AG381" s="85">
        <v>27</v>
      </c>
      <c r="AH381" s="85">
        <v>28</v>
      </c>
      <c r="AI381" s="85">
        <v>29</v>
      </c>
      <c r="AJ381" s="85">
        <v>30</v>
      </c>
      <c r="AK381" s="85">
        <v>31</v>
      </c>
      <c r="AL381" s="85">
        <v>32</v>
      </c>
      <c r="AM381" s="85">
        <v>33</v>
      </c>
      <c r="AN381" s="85">
        <v>34</v>
      </c>
      <c r="AO381" s="85">
        <v>35</v>
      </c>
      <c r="AP381" s="85">
        <v>36</v>
      </c>
      <c r="AQ381" s="85">
        <v>37</v>
      </c>
      <c r="AR381" s="85">
        <v>38</v>
      </c>
      <c r="AS381" s="85">
        <v>39</v>
      </c>
      <c r="AT381" s="85">
        <v>40</v>
      </c>
      <c r="AU381" s="85">
        <v>41</v>
      </c>
      <c r="AV381" s="85">
        <v>42</v>
      </c>
      <c r="AW381" s="85">
        <v>43</v>
      </c>
      <c r="AX381" s="85">
        <v>44</v>
      </c>
      <c r="AY381" s="85">
        <v>45</v>
      </c>
      <c r="AZ381" s="85">
        <v>46</v>
      </c>
      <c r="BA381" s="85">
        <v>47</v>
      </c>
      <c r="BB381" s="85">
        <v>48</v>
      </c>
      <c r="BC381" s="85">
        <v>49</v>
      </c>
      <c r="BD381" s="85">
        <v>50</v>
      </c>
      <c r="BE381" s="85">
        <v>51</v>
      </c>
      <c r="BF381" s="85">
        <v>52</v>
      </c>
      <c r="BG381" s="85">
        <v>53</v>
      </c>
      <c r="BH381" s="85">
        <v>54</v>
      </c>
      <c r="BI381" s="85">
        <v>55</v>
      </c>
      <c r="BJ381" s="85">
        <v>56</v>
      </c>
      <c r="BK381" s="85">
        <v>57</v>
      </c>
      <c r="BL381" s="85">
        <v>58</v>
      </c>
      <c r="BM381" s="85">
        <v>59</v>
      </c>
      <c r="BN381" s="85">
        <v>60</v>
      </c>
      <c r="BO381" s="85">
        <v>61</v>
      </c>
      <c r="BP381" s="85">
        <v>62</v>
      </c>
      <c r="BQ381" s="85">
        <v>63</v>
      </c>
      <c r="BR381" s="85">
        <v>64</v>
      </c>
      <c r="BS381" s="85">
        <v>65</v>
      </c>
      <c r="BT381" s="85">
        <v>66</v>
      </c>
      <c r="BU381" s="85">
        <v>67</v>
      </c>
      <c r="BV381" s="85">
        <v>68</v>
      </c>
      <c r="BW381" s="85">
        <v>69</v>
      </c>
      <c r="BX381" s="85">
        <v>70</v>
      </c>
      <c r="BY381" s="85">
        <v>71</v>
      </c>
      <c r="BZ381" s="85">
        <v>72</v>
      </c>
      <c r="CA381" s="85">
        <v>73</v>
      </c>
      <c r="CB381" s="85">
        <v>74</v>
      </c>
      <c r="CC381" s="85">
        <v>75</v>
      </c>
      <c r="CD381" s="85">
        <v>76</v>
      </c>
      <c r="CE381" s="85">
        <v>77</v>
      </c>
      <c r="CF381" s="85">
        <v>78</v>
      </c>
      <c r="CG381" s="85">
        <v>79</v>
      </c>
      <c r="CH381" s="85">
        <v>80</v>
      </c>
      <c r="CI381" s="85">
        <v>81</v>
      </c>
      <c r="CJ381" s="85">
        <v>82</v>
      </c>
      <c r="CK381" s="85">
        <v>83</v>
      </c>
      <c r="CL381" s="85">
        <v>84</v>
      </c>
      <c r="CM381" s="85">
        <v>85</v>
      </c>
      <c r="CN381" s="85">
        <v>86</v>
      </c>
      <c r="CO381" s="85">
        <v>87</v>
      </c>
      <c r="CP381" s="85">
        <v>88</v>
      </c>
      <c r="CQ381" s="85">
        <v>89</v>
      </c>
      <c r="CR381" s="85">
        <v>90</v>
      </c>
      <c r="CS381" s="85">
        <v>91</v>
      </c>
      <c r="CT381" s="85">
        <v>92</v>
      </c>
      <c r="CU381" s="85">
        <v>93</v>
      </c>
      <c r="CV381" s="85">
        <v>94</v>
      </c>
      <c r="CW381" s="85">
        <v>95</v>
      </c>
    </row>
    <row r="382" spans="6:102" x14ac:dyDescent="0.4">
      <c r="F382" s="85" t="s">
        <v>239</v>
      </c>
      <c r="G382" s="139">
        <f>15*G381</f>
        <v>15</v>
      </c>
      <c r="H382" s="139">
        <f t="shared" ref="H382:BS382" si="355">15*H381</f>
        <v>30</v>
      </c>
      <c r="I382" s="139">
        <f t="shared" si="355"/>
        <v>45</v>
      </c>
      <c r="J382" s="139">
        <f t="shared" si="355"/>
        <v>60</v>
      </c>
      <c r="K382" s="139">
        <f t="shared" si="355"/>
        <v>75</v>
      </c>
      <c r="L382" s="139">
        <f t="shared" si="355"/>
        <v>90</v>
      </c>
      <c r="M382" s="139">
        <f t="shared" si="355"/>
        <v>105</v>
      </c>
      <c r="N382" s="139">
        <f t="shared" si="355"/>
        <v>120</v>
      </c>
      <c r="O382" s="139">
        <f t="shared" si="355"/>
        <v>135</v>
      </c>
      <c r="P382" s="139">
        <f t="shared" si="355"/>
        <v>150</v>
      </c>
      <c r="Q382" s="139">
        <f t="shared" si="355"/>
        <v>165</v>
      </c>
      <c r="R382" s="139">
        <f t="shared" si="355"/>
        <v>180</v>
      </c>
      <c r="S382" s="139">
        <f t="shared" si="355"/>
        <v>195</v>
      </c>
      <c r="T382" s="139">
        <f t="shared" si="355"/>
        <v>210</v>
      </c>
      <c r="U382" s="139">
        <f t="shared" si="355"/>
        <v>225</v>
      </c>
      <c r="V382" s="139">
        <f t="shared" si="355"/>
        <v>240</v>
      </c>
      <c r="W382" s="139">
        <f t="shared" si="355"/>
        <v>255</v>
      </c>
      <c r="X382" s="139">
        <f t="shared" si="355"/>
        <v>270</v>
      </c>
      <c r="Y382" s="139">
        <f t="shared" si="355"/>
        <v>285</v>
      </c>
      <c r="Z382" s="139">
        <f t="shared" si="355"/>
        <v>300</v>
      </c>
      <c r="AA382" s="139">
        <f t="shared" si="355"/>
        <v>315</v>
      </c>
      <c r="AB382" s="139">
        <f t="shared" si="355"/>
        <v>330</v>
      </c>
      <c r="AC382" s="139">
        <f t="shared" si="355"/>
        <v>345</v>
      </c>
      <c r="AD382" s="139">
        <f t="shared" si="355"/>
        <v>360</v>
      </c>
      <c r="AE382" s="139">
        <f t="shared" si="355"/>
        <v>375</v>
      </c>
      <c r="AF382" s="139">
        <f t="shared" si="355"/>
        <v>390</v>
      </c>
      <c r="AG382" s="139">
        <f t="shared" si="355"/>
        <v>405</v>
      </c>
      <c r="AH382" s="139">
        <f t="shared" si="355"/>
        <v>420</v>
      </c>
      <c r="AI382" s="139">
        <f t="shared" si="355"/>
        <v>435</v>
      </c>
      <c r="AJ382" s="139">
        <f t="shared" si="355"/>
        <v>450</v>
      </c>
      <c r="AK382" s="139">
        <f t="shared" si="355"/>
        <v>465</v>
      </c>
      <c r="AL382" s="139">
        <f t="shared" si="355"/>
        <v>480</v>
      </c>
      <c r="AM382" s="139">
        <f t="shared" si="355"/>
        <v>495</v>
      </c>
      <c r="AN382" s="139">
        <f t="shared" si="355"/>
        <v>510</v>
      </c>
      <c r="AO382" s="139">
        <f t="shared" si="355"/>
        <v>525</v>
      </c>
      <c r="AP382" s="139">
        <f t="shared" si="355"/>
        <v>540</v>
      </c>
      <c r="AQ382" s="139">
        <f t="shared" si="355"/>
        <v>555</v>
      </c>
      <c r="AR382" s="139">
        <f t="shared" si="355"/>
        <v>570</v>
      </c>
      <c r="AS382" s="139">
        <f t="shared" si="355"/>
        <v>585</v>
      </c>
      <c r="AT382" s="139">
        <f t="shared" si="355"/>
        <v>600</v>
      </c>
      <c r="AU382" s="139">
        <f t="shared" si="355"/>
        <v>615</v>
      </c>
      <c r="AV382" s="139">
        <f t="shared" si="355"/>
        <v>630</v>
      </c>
      <c r="AW382" s="139">
        <f t="shared" si="355"/>
        <v>645</v>
      </c>
      <c r="AX382" s="139">
        <f t="shared" si="355"/>
        <v>660</v>
      </c>
      <c r="AY382" s="139">
        <f t="shared" si="355"/>
        <v>675</v>
      </c>
      <c r="AZ382" s="139">
        <f t="shared" si="355"/>
        <v>690</v>
      </c>
      <c r="BA382" s="139">
        <f t="shared" si="355"/>
        <v>705</v>
      </c>
      <c r="BB382" s="139">
        <f t="shared" si="355"/>
        <v>720</v>
      </c>
      <c r="BC382" s="139">
        <f t="shared" si="355"/>
        <v>735</v>
      </c>
      <c r="BD382" s="139">
        <f t="shared" si="355"/>
        <v>750</v>
      </c>
      <c r="BE382" s="139">
        <f t="shared" si="355"/>
        <v>765</v>
      </c>
      <c r="BF382" s="139">
        <f t="shared" si="355"/>
        <v>780</v>
      </c>
      <c r="BG382" s="139">
        <f t="shared" si="355"/>
        <v>795</v>
      </c>
      <c r="BH382" s="139">
        <f t="shared" si="355"/>
        <v>810</v>
      </c>
      <c r="BI382" s="139">
        <f t="shared" si="355"/>
        <v>825</v>
      </c>
      <c r="BJ382" s="139">
        <f t="shared" si="355"/>
        <v>840</v>
      </c>
      <c r="BK382" s="139">
        <f t="shared" si="355"/>
        <v>855</v>
      </c>
      <c r="BL382" s="139">
        <f t="shared" si="355"/>
        <v>870</v>
      </c>
      <c r="BM382" s="139">
        <f t="shared" si="355"/>
        <v>885</v>
      </c>
      <c r="BN382" s="139">
        <f t="shared" si="355"/>
        <v>900</v>
      </c>
      <c r="BO382" s="139">
        <f t="shared" si="355"/>
        <v>915</v>
      </c>
      <c r="BP382" s="139">
        <f t="shared" si="355"/>
        <v>930</v>
      </c>
      <c r="BQ382" s="139">
        <f t="shared" si="355"/>
        <v>945</v>
      </c>
      <c r="BR382" s="139">
        <f t="shared" si="355"/>
        <v>960</v>
      </c>
      <c r="BS382" s="139">
        <f t="shared" si="355"/>
        <v>975</v>
      </c>
      <c r="BT382" s="139">
        <f t="shared" ref="BT382:CW382" si="356">15*BT381</f>
        <v>990</v>
      </c>
      <c r="BU382" s="139">
        <f t="shared" si="356"/>
        <v>1005</v>
      </c>
      <c r="BV382" s="139">
        <f t="shared" si="356"/>
        <v>1020</v>
      </c>
      <c r="BW382" s="139">
        <f t="shared" si="356"/>
        <v>1035</v>
      </c>
      <c r="BX382" s="139">
        <f t="shared" si="356"/>
        <v>1050</v>
      </c>
      <c r="BY382" s="139">
        <f t="shared" si="356"/>
        <v>1065</v>
      </c>
      <c r="BZ382" s="139">
        <f t="shared" si="356"/>
        <v>1080</v>
      </c>
      <c r="CA382" s="139">
        <f t="shared" si="356"/>
        <v>1095</v>
      </c>
      <c r="CB382" s="139">
        <f t="shared" si="356"/>
        <v>1110</v>
      </c>
      <c r="CC382" s="139">
        <f t="shared" si="356"/>
        <v>1125</v>
      </c>
      <c r="CD382" s="139">
        <f t="shared" si="356"/>
        <v>1140</v>
      </c>
      <c r="CE382" s="139">
        <f t="shared" si="356"/>
        <v>1155</v>
      </c>
      <c r="CF382" s="139">
        <f t="shared" si="356"/>
        <v>1170</v>
      </c>
      <c r="CG382" s="139">
        <f t="shared" si="356"/>
        <v>1185</v>
      </c>
      <c r="CH382" s="139">
        <f t="shared" si="356"/>
        <v>1200</v>
      </c>
      <c r="CI382" s="139">
        <f t="shared" si="356"/>
        <v>1215</v>
      </c>
      <c r="CJ382" s="139">
        <f t="shared" si="356"/>
        <v>1230</v>
      </c>
      <c r="CK382" s="139">
        <f t="shared" si="356"/>
        <v>1245</v>
      </c>
      <c r="CL382" s="139">
        <f t="shared" si="356"/>
        <v>1260</v>
      </c>
      <c r="CM382" s="139">
        <f t="shared" si="356"/>
        <v>1275</v>
      </c>
      <c r="CN382" s="139">
        <f t="shared" si="356"/>
        <v>1290</v>
      </c>
      <c r="CO382" s="139">
        <f t="shared" si="356"/>
        <v>1305</v>
      </c>
      <c r="CP382" s="139">
        <f t="shared" si="356"/>
        <v>1320</v>
      </c>
      <c r="CQ382" s="139">
        <f t="shared" si="356"/>
        <v>1335</v>
      </c>
      <c r="CR382" s="139">
        <f t="shared" si="356"/>
        <v>1350</v>
      </c>
      <c r="CS382" s="139">
        <f t="shared" si="356"/>
        <v>1365</v>
      </c>
      <c r="CT382" s="139">
        <f t="shared" si="356"/>
        <v>1380</v>
      </c>
      <c r="CU382" s="139">
        <f t="shared" si="356"/>
        <v>1395</v>
      </c>
      <c r="CV382" s="139">
        <f t="shared" si="356"/>
        <v>1410</v>
      </c>
      <c r="CW382" s="139">
        <f t="shared" si="356"/>
        <v>1425</v>
      </c>
    </row>
    <row r="383" spans="6:102" x14ac:dyDescent="0.4">
      <c r="F383" s="85" t="s">
        <v>154</v>
      </c>
      <c r="G383" s="85">
        <f>COUNTIFS('2023년 신조차 고장관리 세부현황'!$K:$K,"128R",'2023년 신조차 고장관리 세부현황'!$P:$P,"&gt;="&amp;G381,'2023년 신조차 고장관리 세부현황'!$P:$P,"&lt;"&amp;'트랜드 분석_15일'!G382,'2023년 신조차 고장관리 세부현황'!$BC:$BC,"완료",'2023년 신조차 고장관리 세부현황'!$CY:$CY,"밸브")</f>
        <v>0</v>
      </c>
      <c r="H383" s="85">
        <f>COUNTIFS('2023년 신조차 고장관리 세부현황'!$K:$K,"128R",'2023년 신조차 고장관리 세부현황'!$P:$P,"&gt;="&amp;'트랜드 분석_15일'!G$18,'2023년 신조차 고장관리 세부현황'!$P:$P,"&lt;"&amp;'트랜드 분석_15일'!H$18,'2023년 신조차 고장관리 세부현황'!$BC:$BC,"완료",'2023년 신조차 고장관리 세부현황'!$CY:$CY,"밸브")</f>
        <v>0</v>
      </c>
      <c r="I383" s="85">
        <f>COUNTIFS('2023년 신조차 고장관리 세부현황'!$K:$K,"128R",'2023년 신조차 고장관리 세부현황'!$P:$P,"&gt;="&amp;'트랜드 분석_15일'!H$18,'2023년 신조차 고장관리 세부현황'!$P:$P,"&lt;"&amp;'트랜드 분석_15일'!I$18,'2023년 신조차 고장관리 세부현황'!$BC:$BC,"완료",'2023년 신조차 고장관리 세부현황'!$CY:$CY,"밸브")</f>
        <v>0</v>
      </c>
      <c r="J383" s="85">
        <f>COUNTIFS('2023년 신조차 고장관리 세부현황'!$K:$K,"128R",'2023년 신조차 고장관리 세부현황'!$P:$P,"&gt;="&amp;'트랜드 분석_15일'!I$18,'2023년 신조차 고장관리 세부현황'!$P:$P,"&lt;"&amp;'트랜드 분석_15일'!J$18,'2023년 신조차 고장관리 세부현황'!$BC:$BC,"완료",'2023년 신조차 고장관리 세부현황'!$CY:$CY,"밸브")</f>
        <v>0</v>
      </c>
      <c r="K383" s="85">
        <f>COUNTIFS('2023년 신조차 고장관리 세부현황'!$K:$K,"128R",'2023년 신조차 고장관리 세부현황'!$P:$P,"&gt;="&amp;'트랜드 분석_15일'!J$18,'2023년 신조차 고장관리 세부현황'!$P:$P,"&lt;"&amp;'트랜드 분석_15일'!K$18,'2023년 신조차 고장관리 세부현황'!$BC:$BC,"완료",'2023년 신조차 고장관리 세부현황'!$CY:$CY,"밸브")</f>
        <v>0</v>
      </c>
      <c r="L383" s="85">
        <f>COUNTIFS('2023년 신조차 고장관리 세부현황'!$K:$K,"128R",'2023년 신조차 고장관리 세부현황'!$P:$P,"&gt;="&amp;'트랜드 분석_15일'!K$18,'2023년 신조차 고장관리 세부현황'!$P:$P,"&lt;"&amp;'트랜드 분석_15일'!L$18,'2023년 신조차 고장관리 세부현황'!$BC:$BC,"완료",'2023년 신조차 고장관리 세부현황'!$CY:$CY,"밸브")</f>
        <v>0</v>
      </c>
      <c r="M383" s="85">
        <f>COUNTIFS('2023년 신조차 고장관리 세부현황'!$K:$K,"128R",'2023년 신조차 고장관리 세부현황'!$P:$P,"&gt;="&amp;'트랜드 분석_15일'!L$18,'2023년 신조차 고장관리 세부현황'!$P:$P,"&lt;"&amp;'트랜드 분석_15일'!M$18,'2023년 신조차 고장관리 세부현황'!$BC:$BC,"완료",'2023년 신조차 고장관리 세부현황'!$CY:$CY,"밸브")</f>
        <v>0</v>
      </c>
      <c r="N383" s="85">
        <f>COUNTIFS('2023년 신조차 고장관리 세부현황'!$K:$K,"128R",'2023년 신조차 고장관리 세부현황'!$P:$P,"&gt;="&amp;'트랜드 분석_15일'!M$18,'2023년 신조차 고장관리 세부현황'!$P:$P,"&lt;"&amp;'트랜드 분석_15일'!N$18,'2023년 신조차 고장관리 세부현황'!$BC:$BC,"완료",'2023년 신조차 고장관리 세부현황'!$CY:$CY,"밸브")</f>
        <v>0</v>
      </c>
      <c r="O383" s="85">
        <f>COUNTIFS('2023년 신조차 고장관리 세부현황'!$K:$K,"128R",'2023년 신조차 고장관리 세부현황'!$P:$P,"&gt;="&amp;'트랜드 분석_15일'!N$18,'2023년 신조차 고장관리 세부현황'!$P:$P,"&lt;"&amp;'트랜드 분석_15일'!O$18,'2023년 신조차 고장관리 세부현황'!$BC:$BC,"완료",'2023년 신조차 고장관리 세부현황'!$CY:$CY,"밸브")</f>
        <v>0</v>
      </c>
      <c r="P383" s="85">
        <f>COUNTIFS('2023년 신조차 고장관리 세부현황'!$K:$K,"128R",'2023년 신조차 고장관리 세부현황'!$P:$P,"&gt;="&amp;'트랜드 분석_15일'!O$18,'2023년 신조차 고장관리 세부현황'!$P:$P,"&lt;"&amp;'트랜드 분석_15일'!P$18,'2023년 신조차 고장관리 세부현황'!$BC:$BC,"완료",'2023년 신조차 고장관리 세부현황'!$CY:$CY,"밸브")</f>
        <v>0</v>
      </c>
      <c r="Q383" s="85">
        <f>COUNTIFS('2023년 신조차 고장관리 세부현황'!$K:$K,"128R",'2023년 신조차 고장관리 세부현황'!$P:$P,"&gt;="&amp;'트랜드 분석_15일'!P$18,'2023년 신조차 고장관리 세부현황'!$P:$P,"&lt;"&amp;'트랜드 분석_15일'!Q$18,'2023년 신조차 고장관리 세부현황'!$BC:$BC,"완료",'2023년 신조차 고장관리 세부현황'!$CY:$CY,"밸브")</f>
        <v>0</v>
      </c>
      <c r="R383" s="85">
        <f>COUNTIFS('2023년 신조차 고장관리 세부현황'!$K:$K,"128R",'2023년 신조차 고장관리 세부현황'!$P:$P,"&gt;="&amp;'트랜드 분석_15일'!Q$18,'2023년 신조차 고장관리 세부현황'!$P:$P,"&lt;"&amp;'트랜드 분석_15일'!R$18,'2023년 신조차 고장관리 세부현황'!$BC:$BC,"완료",'2023년 신조차 고장관리 세부현황'!$CY:$CY,"밸브")</f>
        <v>0</v>
      </c>
      <c r="S383" s="85">
        <f>COUNTIFS('2023년 신조차 고장관리 세부현황'!$K:$K,"128R",'2023년 신조차 고장관리 세부현황'!$P:$P,"&gt;="&amp;'트랜드 분석_15일'!R$18,'2023년 신조차 고장관리 세부현황'!$P:$P,"&lt;"&amp;'트랜드 분석_15일'!S$18,'2023년 신조차 고장관리 세부현황'!$BC:$BC,"완료",'2023년 신조차 고장관리 세부현황'!$CY:$CY,"밸브")</f>
        <v>0</v>
      </c>
      <c r="T383" s="85">
        <f>COUNTIFS('2023년 신조차 고장관리 세부현황'!$K:$K,"128R",'2023년 신조차 고장관리 세부현황'!$P:$P,"&gt;="&amp;'트랜드 분석_15일'!S$18,'2023년 신조차 고장관리 세부현황'!$P:$P,"&lt;"&amp;'트랜드 분석_15일'!T$18,'2023년 신조차 고장관리 세부현황'!$BC:$BC,"완료",'2023년 신조차 고장관리 세부현황'!$CY:$CY,"밸브")</f>
        <v>0</v>
      </c>
      <c r="U383" s="85">
        <f>COUNTIFS('2023년 신조차 고장관리 세부현황'!$K:$K,"128R",'2023년 신조차 고장관리 세부현황'!$P:$P,"&gt;="&amp;'트랜드 분석_15일'!T$18,'2023년 신조차 고장관리 세부현황'!$P:$P,"&lt;"&amp;'트랜드 분석_15일'!U$18,'2023년 신조차 고장관리 세부현황'!$BC:$BC,"완료",'2023년 신조차 고장관리 세부현황'!$CY:$CY,"밸브")</f>
        <v>0</v>
      </c>
      <c r="V383" s="85">
        <f>COUNTIFS('2023년 신조차 고장관리 세부현황'!$K:$K,"128R",'2023년 신조차 고장관리 세부현황'!$P:$P,"&gt;="&amp;'트랜드 분석_15일'!U$18,'2023년 신조차 고장관리 세부현황'!$P:$P,"&lt;"&amp;'트랜드 분석_15일'!V$18,'2023년 신조차 고장관리 세부현황'!$BC:$BC,"완료",'2023년 신조차 고장관리 세부현황'!$CY:$CY,"밸브")</f>
        <v>0</v>
      </c>
      <c r="W383" s="85">
        <f>COUNTIFS('2023년 신조차 고장관리 세부현황'!$K:$K,"128R",'2023년 신조차 고장관리 세부현황'!$P:$P,"&gt;="&amp;'트랜드 분석_15일'!V$18,'2023년 신조차 고장관리 세부현황'!$P:$P,"&lt;"&amp;'트랜드 분석_15일'!W$18,'2023년 신조차 고장관리 세부현황'!$BC:$BC,"완료",'2023년 신조차 고장관리 세부현황'!$CY:$CY,"밸브")</f>
        <v>0</v>
      </c>
      <c r="X383" s="85">
        <f>COUNTIFS('2023년 신조차 고장관리 세부현황'!$K:$K,"128R",'2023년 신조차 고장관리 세부현황'!$P:$P,"&gt;="&amp;'트랜드 분석_15일'!W$18,'2023년 신조차 고장관리 세부현황'!$P:$P,"&lt;"&amp;'트랜드 분석_15일'!X$18,'2023년 신조차 고장관리 세부현황'!$BC:$BC,"완료",'2023년 신조차 고장관리 세부현황'!$CY:$CY,"밸브")</f>
        <v>0</v>
      </c>
      <c r="Y383" s="85">
        <f>COUNTIFS('2023년 신조차 고장관리 세부현황'!$K:$K,"128R",'2023년 신조차 고장관리 세부현황'!$P:$P,"&gt;="&amp;'트랜드 분석_15일'!X$18,'2023년 신조차 고장관리 세부현황'!$P:$P,"&lt;"&amp;'트랜드 분석_15일'!Y$18,'2023년 신조차 고장관리 세부현황'!$BC:$BC,"완료",'2023년 신조차 고장관리 세부현황'!$CY:$CY,"밸브")</f>
        <v>0</v>
      </c>
      <c r="Z383" s="85">
        <f>COUNTIFS('2023년 신조차 고장관리 세부현황'!$K:$K,"128R",'2023년 신조차 고장관리 세부현황'!$P:$P,"&gt;="&amp;'트랜드 분석_15일'!Y$18,'2023년 신조차 고장관리 세부현황'!$P:$P,"&lt;"&amp;'트랜드 분석_15일'!Z$18,'2023년 신조차 고장관리 세부현황'!$BC:$BC,"완료",'2023년 신조차 고장관리 세부현황'!$CY:$CY,"밸브")</f>
        <v>0</v>
      </c>
      <c r="AA383" s="85">
        <f>COUNTIFS('2023년 신조차 고장관리 세부현황'!$K:$K,"128R",'2023년 신조차 고장관리 세부현황'!$P:$P,"&gt;="&amp;'트랜드 분석_15일'!Z$18,'2023년 신조차 고장관리 세부현황'!$P:$P,"&lt;"&amp;'트랜드 분석_15일'!AA$18,'2023년 신조차 고장관리 세부현황'!$BC:$BC,"완료",'2023년 신조차 고장관리 세부현황'!$CY:$CY,"밸브")</f>
        <v>0</v>
      </c>
      <c r="AB383" s="85">
        <f>COUNTIFS('2023년 신조차 고장관리 세부현황'!$K:$K,"128R",'2023년 신조차 고장관리 세부현황'!$P:$P,"&gt;="&amp;'트랜드 분석_15일'!AA$18,'2023년 신조차 고장관리 세부현황'!$P:$P,"&lt;"&amp;'트랜드 분석_15일'!AB$18,'2023년 신조차 고장관리 세부현황'!$BC:$BC,"완료",'2023년 신조차 고장관리 세부현황'!$CY:$CY,"밸브")</f>
        <v>0</v>
      </c>
      <c r="AC383" s="85">
        <f>COUNTIFS('2023년 신조차 고장관리 세부현황'!$K:$K,"128R",'2023년 신조차 고장관리 세부현황'!$P:$P,"&gt;="&amp;'트랜드 분석_15일'!AB$18,'2023년 신조차 고장관리 세부현황'!$P:$P,"&lt;"&amp;'트랜드 분석_15일'!AC$18,'2023년 신조차 고장관리 세부현황'!$BC:$BC,"완료",'2023년 신조차 고장관리 세부현황'!$CY:$CY,"밸브")</f>
        <v>0</v>
      </c>
      <c r="AD383" s="85">
        <f>COUNTIFS('2023년 신조차 고장관리 세부현황'!$K:$K,"128R",'2023년 신조차 고장관리 세부현황'!$P:$P,"&gt;="&amp;'트랜드 분석_15일'!AC$18,'2023년 신조차 고장관리 세부현황'!$P:$P,"&lt;"&amp;'트랜드 분석_15일'!AD$18,'2023년 신조차 고장관리 세부현황'!$BC:$BC,"완료",'2023년 신조차 고장관리 세부현황'!$CY:$CY,"밸브")</f>
        <v>0</v>
      </c>
      <c r="AE383" s="85">
        <f>COUNTIFS('2023년 신조차 고장관리 세부현황'!$K:$K,"128R",'2023년 신조차 고장관리 세부현황'!$P:$P,"&gt;="&amp;'트랜드 분석_15일'!AD$18,'2023년 신조차 고장관리 세부현황'!$P:$P,"&lt;"&amp;'트랜드 분석_15일'!AE$18,'2023년 신조차 고장관리 세부현황'!$BC:$BC,"완료",'2023년 신조차 고장관리 세부현황'!$CY:$CY,"밸브")</f>
        <v>0</v>
      </c>
      <c r="AF383" s="85">
        <f>COUNTIFS('2023년 신조차 고장관리 세부현황'!$K:$K,"128R",'2023년 신조차 고장관리 세부현황'!$P:$P,"&gt;="&amp;'트랜드 분석_15일'!AE$18,'2023년 신조차 고장관리 세부현황'!$P:$P,"&lt;"&amp;'트랜드 분석_15일'!AF$18,'2023년 신조차 고장관리 세부현황'!$BC:$BC,"완료",'2023년 신조차 고장관리 세부현황'!$CY:$CY,"밸브")</f>
        <v>0</v>
      </c>
      <c r="AG383" s="85">
        <f>COUNTIFS('2023년 신조차 고장관리 세부현황'!$K:$K,"128R",'2023년 신조차 고장관리 세부현황'!$P:$P,"&gt;="&amp;'트랜드 분석_15일'!AF$18,'2023년 신조차 고장관리 세부현황'!$P:$P,"&lt;"&amp;'트랜드 분석_15일'!AG$18,'2023년 신조차 고장관리 세부현황'!$BC:$BC,"완료",'2023년 신조차 고장관리 세부현황'!$CY:$CY,"밸브")</f>
        <v>0</v>
      </c>
      <c r="AH383" s="85">
        <f>COUNTIFS('2023년 신조차 고장관리 세부현황'!$K:$K,"128R",'2023년 신조차 고장관리 세부현황'!$P:$P,"&gt;="&amp;'트랜드 분석_15일'!AG$18,'2023년 신조차 고장관리 세부현황'!$P:$P,"&lt;"&amp;'트랜드 분석_15일'!AH$18,'2023년 신조차 고장관리 세부현황'!$BC:$BC,"완료",'2023년 신조차 고장관리 세부현황'!$CY:$CY,"밸브")</f>
        <v>0</v>
      </c>
      <c r="AI383" s="85">
        <f>COUNTIFS('2023년 신조차 고장관리 세부현황'!$K:$K,"128R",'2023년 신조차 고장관리 세부현황'!$P:$P,"&gt;="&amp;'트랜드 분석_15일'!AH$18,'2023년 신조차 고장관리 세부현황'!$P:$P,"&lt;"&amp;'트랜드 분석_15일'!AI$18,'2023년 신조차 고장관리 세부현황'!$BC:$BC,"완료",'2023년 신조차 고장관리 세부현황'!$CY:$CY,"밸브")</f>
        <v>0</v>
      </c>
      <c r="AJ383" s="85">
        <f>COUNTIFS('2023년 신조차 고장관리 세부현황'!$K:$K,"128R",'2023년 신조차 고장관리 세부현황'!$P:$P,"&gt;="&amp;'트랜드 분석_15일'!AI$18,'2023년 신조차 고장관리 세부현황'!$P:$P,"&lt;"&amp;'트랜드 분석_15일'!AJ$18,'2023년 신조차 고장관리 세부현황'!$BC:$BC,"완료",'2023년 신조차 고장관리 세부현황'!$CY:$CY,"밸브")</f>
        <v>0</v>
      </c>
      <c r="AK383" s="85">
        <f>COUNTIFS('2023년 신조차 고장관리 세부현황'!$K:$K,"128R",'2023년 신조차 고장관리 세부현황'!$P:$P,"&gt;="&amp;'트랜드 분석_15일'!AJ$18,'2023년 신조차 고장관리 세부현황'!$P:$P,"&lt;"&amp;'트랜드 분석_15일'!AK$18,'2023년 신조차 고장관리 세부현황'!$BC:$BC,"완료",'2023년 신조차 고장관리 세부현황'!$CY:$CY,"밸브")</f>
        <v>0</v>
      </c>
      <c r="AL383" s="85">
        <f>COUNTIFS('2023년 신조차 고장관리 세부현황'!$K:$K,"128R",'2023년 신조차 고장관리 세부현황'!$P:$P,"&gt;="&amp;'트랜드 분석_15일'!AK$18,'2023년 신조차 고장관리 세부현황'!$P:$P,"&lt;"&amp;'트랜드 분석_15일'!AL$18,'2023년 신조차 고장관리 세부현황'!$BC:$BC,"완료",'2023년 신조차 고장관리 세부현황'!$CY:$CY,"밸브")</f>
        <v>0</v>
      </c>
      <c r="AM383" s="85">
        <f>COUNTIFS('2023년 신조차 고장관리 세부현황'!$K:$K,"128R",'2023년 신조차 고장관리 세부현황'!$P:$P,"&gt;="&amp;'트랜드 분석_15일'!AL$18,'2023년 신조차 고장관리 세부현황'!$P:$P,"&lt;"&amp;'트랜드 분석_15일'!AM$18,'2023년 신조차 고장관리 세부현황'!$BC:$BC,"완료",'2023년 신조차 고장관리 세부현황'!$CY:$CY,"밸브")</f>
        <v>0</v>
      </c>
      <c r="AN383" s="85">
        <f>COUNTIFS('2023년 신조차 고장관리 세부현황'!$K:$K,"128R",'2023년 신조차 고장관리 세부현황'!$P:$P,"&gt;="&amp;'트랜드 분석_15일'!AM$18,'2023년 신조차 고장관리 세부현황'!$P:$P,"&lt;"&amp;'트랜드 분석_15일'!AN$18,'2023년 신조차 고장관리 세부현황'!$BC:$BC,"완료",'2023년 신조차 고장관리 세부현황'!$CY:$CY,"밸브")</f>
        <v>0</v>
      </c>
      <c r="AO383" s="85">
        <f>COUNTIFS('2023년 신조차 고장관리 세부현황'!$K:$K,"128R",'2023년 신조차 고장관리 세부현황'!$P:$P,"&gt;="&amp;'트랜드 분석_15일'!AN$18,'2023년 신조차 고장관리 세부현황'!$P:$P,"&lt;"&amp;'트랜드 분석_15일'!AO$18,'2023년 신조차 고장관리 세부현황'!$BC:$BC,"완료",'2023년 신조차 고장관리 세부현황'!$CY:$CY,"밸브")</f>
        <v>0</v>
      </c>
      <c r="AP383" s="85">
        <f>COUNTIFS('2023년 신조차 고장관리 세부현황'!$K:$K,"128R",'2023년 신조차 고장관리 세부현황'!$P:$P,"&gt;="&amp;'트랜드 분석_15일'!AO$18,'2023년 신조차 고장관리 세부현황'!$P:$P,"&lt;"&amp;'트랜드 분석_15일'!AP$18,'2023년 신조차 고장관리 세부현황'!$BC:$BC,"완료",'2023년 신조차 고장관리 세부현황'!$CY:$CY,"밸브")</f>
        <v>0</v>
      </c>
      <c r="AQ383" s="85">
        <f>COUNTIFS('2023년 신조차 고장관리 세부현황'!$K:$K,"128R",'2023년 신조차 고장관리 세부현황'!$P:$P,"&gt;="&amp;'트랜드 분석_15일'!AP$18,'2023년 신조차 고장관리 세부현황'!$P:$P,"&lt;"&amp;'트랜드 분석_15일'!AQ$18,'2023년 신조차 고장관리 세부현황'!$BC:$BC,"완료",'2023년 신조차 고장관리 세부현황'!$CY:$CY,"밸브")</f>
        <v>0</v>
      </c>
      <c r="AR383" s="85">
        <f>COUNTIFS('2023년 신조차 고장관리 세부현황'!$K:$K,"128R",'2023년 신조차 고장관리 세부현황'!$P:$P,"&gt;="&amp;'트랜드 분석_15일'!AQ$18,'2023년 신조차 고장관리 세부현황'!$P:$P,"&lt;"&amp;'트랜드 분석_15일'!AR$18,'2023년 신조차 고장관리 세부현황'!$BC:$BC,"완료",'2023년 신조차 고장관리 세부현황'!$CY:$CY,"밸브")</f>
        <v>0</v>
      </c>
      <c r="AS383" s="85">
        <f>COUNTIFS('2023년 신조차 고장관리 세부현황'!$K:$K,"128R",'2023년 신조차 고장관리 세부현황'!$P:$P,"&gt;="&amp;'트랜드 분석_15일'!AR$18,'2023년 신조차 고장관리 세부현황'!$P:$P,"&lt;"&amp;'트랜드 분석_15일'!AS$18,'2023년 신조차 고장관리 세부현황'!$BC:$BC,"완료",'2023년 신조차 고장관리 세부현황'!$CY:$CY,"밸브")</f>
        <v>0</v>
      </c>
      <c r="AT383" s="85">
        <f>COUNTIFS('2023년 신조차 고장관리 세부현황'!$K:$K,"128R",'2023년 신조차 고장관리 세부현황'!$P:$P,"&gt;="&amp;'트랜드 분석_15일'!AS$18,'2023년 신조차 고장관리 세부현황'!$P:$P,"&lt;"&amp;'트랜드 분석_15일'!AT$18,'2023년 신조차 고장관리 세부현황'!$BC:$BC,"완료",'2023년 신조차 고장관리 세부현황'!$CY:$CY,"밸브")</f>
        <v>0</v>
      </c>
      <c r="AU383" s="85">
        <f>COUNTIFS('2023년 신조차 고장관리 세부현황'!$K:$K,"128R",'2023년 신조차 고장관리 세부현황'!$P:$P,"&gt;="&amp;'트랜드 분석_15일'!AT$18,'2023년 신조차 고장관리 세부현황'!$P:$P,"&lt;"&amp;'트랜드 분석_15일'!AU$18,'2023년 신조차 고장관리 세부현황'!$BC:$BC,"완료",'2023년 신조차 고장관리 세부현황'!$CY:$CY,"밸브")</f>
        <v>0</v>
      </c>
      <c r="AV383" s="85">
        <f>COUNTIFS('2023년 신조차 고장관리 세부현황'!$K:$K,"128R",'2023년 신조차 고장관리 세부현황'!$P:$P,"&gt;="&amp;'트랜드 분석_15일'!AU$18,'2023년 신조차 고장관리 세부현황'!$P:$P,"&lt;"&amp;'트랜드 분석_15일'!AV$18,'2023년 신조차 고장관리 세부현황'!$BC:$BC,"완료",'2023년 신조차 고장관리 세부현황'!$CY:$CY,"밸브")</f>
        <v>0</v>
      </c>
      <c r="AW383" s="85">
        <f>COUNTIFS('2023년 신조차 고장관리 세부현황'!$K:$K,"128R",'2023년 신조차 고장관리 세부현황'!$P:$P,"&gt;="&amp;'트랜드 분석_15일'!AV$18,'2023년 신조차 고장관리 세부현황'!$P:$P,"&lt;"&amp;'트랜드 분석_15일'!AW$18,'2023년 신조차 고장관리 세부현황'!$BC:$BC,"완료",'2023년 신조차 고장관리 세부현황'!$CY:$CY,"밸브")</f>
        <v>0</v>
      </c>
      <c r="AX383" s="85">
        <f>COUNTIFS('2023년 신조차 고장관리 세부현황'!$K:$K,"128R",'2023년 신조차 고장관리 세부현황'!$P:$P,"&gt;="&amp;'트랜드 분석_15일'!AW$18,'2023년 신조차 고장관리 세부현황'!$P:$P,"&lt;"&amp;'트랜드 분석_15일'!AX$18,'2023년 신조차 고장관리 세부현황'!$BC:$BC,"완료",'2023년 신조차 고장관리 세부현황'!$CY:$CY,"밸브")</f>
        <v>0</v>
      </c>
      <c r="AY383" s="85">
        <f>COUNTIFS('2023년 신조차 고장관리 세부현황'!$K:$K,"128R",'2023년 신조차 고장관리 세부현황'!$P:$P,"&gt;="&amp;'트랜드 분석_15일'!AX$18,'2023년 신조차 고장관리 세부현황'!$P:$P,"&lt;"&amp;'트랜드 분석_15일'!AY$18,'2023년 신조차 고장관리 세부현황'!$BC:$BC,"완료",'2023년 신조차 고장관리 세부현황'!$CY:$CY,"밸브")</f>
        <v>0</v>
      </c>
      <c r="AZ383" s="85">
        <f>COUNTIFS('2023년 신조차 고장관리 세부현황'!$K:$K,"128R",'2023년 신조차 고장관리 세부현황'!$P:$P,"&gt;="&amp;'트랜드 분석_15일'!AY$18,'2023년 신조차 고장관리 세부현황'!$P:$P,"&lt;"&amp;'트랜드 분석_15일'!AZ$18,'2023년 신조차 고장관리 세부현황'!$BC:$BC,"완료",'2023년 신조차 고장관리 세부현황'!$CY:$CY,"밸브")</f>
        <v>0</v>
      </c>
      <c r="BA383" s="85">
        <f>COUNTIFS('2023년 신조차 고장관리 세부현황'!$K:$K,"128R",'2023년 신조차 고장관리 세부현황'!$P:$P,"&gt;="&amp;'트랜드 분석_15일'!AZ$18,'2023년 신조차 고장관리 세부현황'!$P:$P,"&lt;"&amp;'트랜드 분석_15일'!BA$18,'2023년 신조차 고장관리 세부현황'!$BC:$BC,"완료",'2023년 신조차 고장관리 세부현황'!$CY:$CY,"밸브")</f>
        <v>0</v>
      </c>
      <c r="BB383" s="85">
        <f>COUNTIFS('2023년 신조차 고장관리 세부현황'!$K:$K,"128R",'2023년 신조차 고장관리 세부현황'!$P:$P,"&gt;="&amp;'트랜드 분석_15일'!BA$18,'2023년 신조차 고장관리 세부현황'!$P:$P,"&lt;"&amp;'트랜드 분석_15일'!BB$18,'2023년 신조차 고장관리 세부현황'!$BC:$BC,"완료",'2023년 신조차 고장관리 세부현황'!$CY:$CY,"밸브")</f>
        <v>0</v>
      </c>
      <c r="BC383" s="85">
        <f>COUNTIFS('2023년 신조차 고장관리 세부현황'!$K:$K,"128R",'2023년 신조차 고장관리 세부현황'!$P:$P,"&gt;="&amp;'트랜드 분석_15일'!BB$18,'2023년 신조차 고장관리 세부현황'!$P:$P,"&lt;"&amp;'트랜드 분석_15일'!BC$18,'2023년 신조차 고장관리 세부현황'!$BC:$BC,"완료",'2023년 신조차 고장관리 세부현황'!$CY:$CY,"밸브")</f>
        <v>0</v>
      </c>
      <c r="BD383" s="85">
        <f>COUNTIFS('2023년 신조차 고장관리 세부현황'!$K:$K,"128R",'2023년 신조차 고장관리 세부현황'!$P:$P,"&gt;="&amp;'트랜드 분석_15일'!BC$18,'2023년 신조차 고장관리 세부현황'!$P:$P,"&lt;"&amp;'트랜드 분석_15일'!BD$18,'2023년 신조차 고장관리 세부현황'!$BC:$BC,"완료",'2023년 신조차 고장관리 세부현황'!$CY:$CY,"밸브")</f>
        <v>0</v>
      </c>
      <c r="BE383" s="85">
        <f>COUNTIFS('2023년 신조차 고장관리 세부현황'!$K:$K,"128R",'2023년 신조차 고장관리 세부현황'!$P:$P,"&gt;="&amp;'트랜드 분석_15일'!BD$18,'2023년 신조차 고장관리 세부현황'!$P:$P,"&lt;"&amp;'트랜드 분석_15일'!BE$18,'2023년 신조차 고장관리 세부현황'!$BC:$BC,"완료",'2023년 신조차 고장관리 세부현황'!$CY:$CY,"밸브")</f>
        <v>0</v>
      </c>
      <c r="BF383" s="85">
        <f>COUNTIFS('2023년 신조차 고장관리 세부현황'!$K:$K,"128R",'2023년 신조차 고장관리 세부현황'!$P:$P,"&gt;="&amp;'트랜드 분석_15일'!BE$18,'2023년 신조차 고장관리 세부현황'!$P:$P,"&lt;"&amp;'트랜드 분석_15일'!BF$18,'2023년 신조차 고장관리 세부현황'!$BC:$BC,"완료",'2023년 신조차 고장관리 세부현황'!$CY:$CY,"밸브")</f>
        <v>0</v>
      </c>
      <c r="BG383" s="85">
        <f>COUNTIFS('2023년 신조차 고장관리 세부현황'!$K:$K,"128R",'2023년 신조차 고장관리 세부현황'!$P:$P,"&gt;="&amp;'트랜드 분석_15일'!BF$18,'2023년 신조차 고장관리 세부현황'!$P:$P,"&lt;"&amp;'트랜드 분석_15일'!BG$18,'2023년 신조차 고장관리 세부현황'!$BC:$BC,"완료",'2023년 신조차 고장관리 세부현황'!$CY:$CY,"밸브")</f>
        <v>0</v>
      </c>
      <c r="BH383" s="85">
        <f>COUNTIFS('2023년 신조차 고장관리 세부현황'!$K:$K,"128R",'2023년 신조차 고장관리 세부현황'!$P:$P,"&gt;="&amp;'트랜드 분석_15일'!BG$18,'2023년 신조차 고장관리 세부현황'!$P:$P,"&lt;"&amp;'트랜드 분석_15일'!BH$18,'2023년 신조차 고장관리 세부현황'!$BC:$BC,"완료",'2023년 신조차 고장관리 세부현황'!$CY:$CY,"밸브")</f>
        <v>0</v>
      </c>
      <c r="BI383" s="85">
        <f>COUNTIFS('2023년 신조차 고장관리 세부현황'!$K:$K,"128R",'2023년 신조차 고장관리 세부현황'!$P:$P,"&gt;="&amp;'트랜드 분석_15일'!BH$18,'2023년 신조차 고장관리 세부현황'!$P:$P,"&lt;"&amp;'트랜드 분석_15일'!BI$18,'2023년 신조차 고장관리 세부현황'!$BC:$BC,"완료",'2023년 신조차 고장관리 세부현황'!$CY:$CY,"밸브")</f>
        <v>0</v>
      </c>
      <c r="BJ383" s="85">
        <f>COUNTIFS('2023년 신조차 고장관리 세부현황'!$K:$K,"128R",'2023년 신조차 고장관리 세부현황'!$P:$P,"&gt;="&amp;'트랜드 분석_15일'!BI$18,'2023년 신조차 고장관리 세부현황'!$P:$P,"&lt;"&amp;'트랜드 분석_15일'!BJ$18,'2023년 신조차 고장관리 세부현황'!$BC:$BC,"완료",'2023년 신조차 고장관리 세부현황'!$CY:$CY,"밸브")</f>
        <v>0</v>
      </c>
      <c r="BK383" s="85">
        <f>COUNTIFS('2023년 신조차 고장관리 세부현황'!$K:$K,"128R",'2023년 신조차 고장관리 세부현황'!$P:$P,"&gt;="&amp;'트랜드 분석_15일'!BJ$18,'2023년 신조차 고장관리 세부현황'!$P:$P,"&lt;"&amp;'트랜드 분석_15일'!BK$18,'2023년 신조차 고장관리 세부현황'!$BC:$BC,"완료",'2023년 신조차 고장관리 세부현황'!$CY:$CY,"밸브")</f>
        <v>0</v>
      </c>
      <c r="BL383" s="85">
        <f>COUNTIFS('2023년 신조차 고장관리 세부현황'!$K:$K,"128R",'2023년 신조차 고장관리 세부현황'!$P:$P,"&gt;="&amp;'트랜드 분석_15일'!BK$18,'2023년 신조차 고장관리 세부현황'!$P:$P,"&lt;"&amp;'트랜드 분석_15일'!BL$18,'2023년 신조차 고장관리 세부현황'!$BC:$BC,"완료",'2023년 신조차 고장관리 세부현황'!$CY:$CY,"밸브")</f>
        <v>0</v>
      </c>
      <c r="BM383" s="85">
        <f>COUNTIFS('2023년 신조차 고장관리 세부현황'!$K:$K,"128R",'2023년 신조차 고장관리 세부현황'!$P:$P,"&gt;="&amp;'트랜드 분석_15일'!BL$18,'2023년 신조차 고장관리 세부현황'!$P:$P,"&lt;"&amp;'트랜드 분석_15일'!BM$18,'2023년 신조차 고장관리 세부현황'!$BC:$BC,"완료",'2023년 신조차 고장관리 세부현황'!$CY:$CY,"밸브")</f>
        <v>0</v>
      </c>
      <c r="BN383" s="85">
        <f>COUNTIFS('2023년 신조차 고장관리 세부현황'!$K:$K,"128R",'2023년 신조차 고장관리 세부현황'!$P:$P,"&gt;="&amp;'트랜드 분석_15일'!BM$18,'2023년 신조차 고장관리 세부현황'!$P:$P,"&lt;"&amp;'트랜드 분석_15일'!BN$18,'2023년 신조차 고장관리 세부현황'!$BC:$BC,"완료",'2023년 신조차 고장관리 세부현황'!$CY:$CY,"밸브")</f>
        <v>0</v>
      </c>
      <c r="BO383" s="85">
        <f>COUNTIFS('2023년 신조차 고장관리 세부현황'!$K:$K,"128R",'2023년 신조차 고장관리 세부현황'!$P:$P,"&gt;="&amp;'트랜드 분석_15일'!BN$18,'2023년 신조차 고장관리 세부현황'!$P:$P,"&lt;"&amp;'트랜드 분석_15일'!BO$18,'2023년 신조차 고장관리 세부현황'!$BC:$BC,"완료",'2023년 신조차 고장관리 세부현황'!$CY:$CY,"밸브")</f>
        <v>0</v>
      </c>
      <c r="BP383" s="85">
        <f>COUNTIFS('2023년 신조차 고장관리 세부현황'!$K:$K,"128R",'2023년 신조차 고장관리 세부현황'!$P:$P,"&gt;="&amp;'트랜드 분석_15일'!BO$18,'2023년 신조차 고장관리 세부현황'!$P:$P,"&lt;"&amp;'트랜드 분석_15일'!BP$18,'2023년 신조차 고장관리 세부현황'!$BC:$BC,"완료",'2023년 신조차 고장관리 세부현황'!$CY:$CY,"밸브")</f>
        <v>0</v>
      </c>
      <c r="BQ383" s="85">
        <f>COUNTIFS('2023년 신조차 고장관리 세부현황'!$K:$K,"128R",'2023년 신조차 고장관리 세부현황'!$P:$P,"&gt;="&amp;'트랜드 분석_15일'!BP$18,'2023년 신조차 고장관리 세부현황'!$P:$P,"&lt;"&amp;'트랜드 분석_15일'!BQ$18,'2023년 신조차 고장관리 세부현황'!$BC:$BC,"완료",'2023년 신조차 고장관리 세부현황'!$CY:$CY,"밸브")</f>
        <v>0</v>
      </c>
      <c r="BR383" s="85">
        <f>COUNTIFS('2023년 신조차 고장관리 세부현황'!$K:$K,"128R",'2023년 신조차 고장관리 세부현황'!$P:$P,"&gt;="&amp;'트랜드 분석_15일'!BQ$18,'2023년 신조차 고장관리 세부현황'!$P:$P,"&lt;"&amp;'트랜드 분석_15일'!BR$18,'2023년 신조차 고장관리 세부현황'!$BC:$BC,"완료",'2023년 신조차 고장관리 세부현황'!$CY:$CY,"밸브")</f>
        <v>0</v>
      </c>
      <c r="BS383" s="85">
        <f>COUNTIFS('2023년 신조차 고장관리 세부현황'!$K:$K,"128R",'2023년 신조차 고장관리 세부현황'!$P:$P,"&gt;="&amp;'트랜드 분석_15일'!BR$18,'2023년 신조차 고장관리 세부현황'!$P:$P,"&lt;"&amp;'트랜드 분석_15일'!BS$18,'2023년 신조차 고장관리 세부현황'!$BC:$BC,"완료",'2023년 신조차 고장관리 세부현황'!$CY:$CY,"밸브")</f>
        <v>0</v>
      </c>
      <c r="BT383" s="85">
        <f>COUNTIFS('2023년 신조차 고장관리 세부현황'!$K:$K,"128R",'2023년 신조차 고장관리 세부현황'!$P:$P,"&gt;="&amp;'트랜드 분석_15일'!BS$18,'2023년 신조차 고장관리 세부현황'!$P:$P,"&lt;"&amp;'트랜드 분석_15일'!BT$18,'2023년 신조차 고장관리 세부현황'!$BC:$BC,"완료",'2023년 신조차 고장관리 세부현황'!$CY:$CY,"밸브")</f>
        <v>0</v>
      </c>
      <c r="BU383" s="85">
        <f>COUNTIFS('2023년 신조차 고장관리 세부현황'!$K:$K,"128R",'2023년 신조차 고장관리 세부현황'!$P:$P,"&gt;="&amp;'트랜드 분석_15일'!BT$18,'2023년 신조차 고장관리 세부현황'!$P:$P,"&lt;"&amp;'트랜드 분석_15일'!BU$18,'2023년 신조차 고장관리 세부현황'!$BC:$BC,"완료",'2023년 신조차 고장관리 세부현황'!$CY:$CY,"밸브")</f>
        <v>0</v>
      </c>
      <c r="BV383" s="85">
        <f>COUNTIFS('2023년 신조차 고장관리 세부현황'!$K:$K,"128R",'2023년 신조차 고장관리 세부현황'!$P:$P,"&gt;="&amp;'트랜드 분석_15일'!BU$18,'2023년 신조차 고장관리 세부현황'!$P:$P,"&lt;"&amp;'트랜드 분석_15일'!BV$18,'2023년 신조차 고장관리 세부현황'!$BC:$BC,"완료",'2023년 신조차 고장관리 세부현황'!$CY:$CY,"밸브")</f>
        <v>0</v>
      </c>
      <c r="BW383" s="85">
        <f>COUNTIFS('2023년 신조차 고장관리 세부현황'!$K:$K,"128R",'2023년 신조차 고장관리 세부현황'!$P:$P,"&gt;="&amp;'트랜드 분석_15일'!BV$18,'2023년 신조차 고장관리 세부현황'!$P:$P,"&lt;"&amp;'트랜드 분석_15일'!BW$18,'2023년 신조차 고장관리 세부현황'!$BC:$BC,"완료",'2023년 신조차 고장관리 세부현황'!$CY:$CY,"밸브")</f>
        <v>0</v>
      </c>
      <c r="BX383" s="85">
        <f>COUNTIFS('2023년 신조차 고장관리 세부현황'!$K:$K,"128R",'2023년 신조차 고장관리 세부현황'!$P:$P,"&gt;="&amp;'트랜드 분석_15일'!BW$18,'2023년 신조차 고장관리 세부현황'!$P:$P,"&lt;"&amp;'트랜드 분석_15일'!BX$18,'2023년 신조차 고장관리 세부현황'!$BC:$BC,"완료",'2023년 신조차 고장관리 세부현황'!$CY:$CY,"밸브")</f>
        <v>0</v>
      </c>
      <c r="BY383" s="85">
        <f>COUNTIFS('2023년 신조차 고장관리 세부현황'!$K:$K,"128R",'2023년 신조차 고장관리 세부현황'!$P:$P,"&gt;="&amp;'트랜드 분석_15일'!BX$18,'2023년 신조차 고장관리 세부현황'!$P:$P,"&lt;"&amp;'트랜드 분석_15일'!BY$18,'2023년 신조차 고장관리 세부현황'!$BC:$BC,"완료",'2023년 신조차 고장관리 세부현황'!$CY:$CY,"밸브")</f>
        <v>0</v>
      </c>
      <c r="BZ383" s="85">
        <f>COUNTIFS('2023년 신조차 고장관리 세부현황'!$K:$K,"128R",'2023년 신조차 고장관리 세부현황'!$P:$P,"&gt;="&amp;'트랜드 분석_15일'!BY$18,'2023년 신조차 고장관리 세부현황'!$P:$P,"&lt;"&amp;'트랜드 분석_15일'!BZ$18,'2023년 신조차 고장관리 세부현황'!$BC:$BC,"완료",'2023년 신조차 고장관리 세부현황'!$CY:$CY,"밸브")</f>
        <v>0</v>
      </c>
      <c r="CA383" s="85">
        <f>COUNTIFS('2023년 신조차 고장관리 세부현황'!$K:$K,"128R",'2023년 신조차 고장관리 세부현황'!$P:$P,"&gt;="&amp;'트랜드 분석_15일'!BZ$18,'2023년 신조차 고장관리 세부현황'!$P:$P,"&lt;"&amp;'트랜드 분석_15일'!CA$18,'2023년 신조차 고장관리 세부현황'!$BC:$BC,"완료",'2023년 신조차 고장관리 세부현황'!$CY:$CY,"밸브")</f>
        <v>0</v>
      </c>
      <c r="CB383" s="85">
        <f>COUNTIFS('2023년 신조차 고장관리 세부현황'!$K:$K,"128R",'2023년 신조차 고장관리 세부현황'!$P:$P,"&gt;="&amp;'트랜드 분석_15일'!CA$18,'2023년 신조차 고장관리 세부현황'!$P:$P,"&lt;"&amp;'트랜드 분석_15일'!CB$18,'2023년 신조차 고장관리 세부현황'!$BC:$BC,"완료",'2023년 신조차 고장관리 세부현황'!$CY:$CY,"밸브")</f>
        <v>0</v>
      </c>
      <c r="CC383" s="85">
        <f>COUNTIFS('2023년 신조차 고장관리 세부현황'!$K:$K,"128R",'2023년 신조차 고장관리 세부현황'!$P:$P,"&gt;="&amp;'트랜드 분석_15일'!CB$18,'2023년 신조차 고장관리 세부현황'!$P:$P,"&lt;"&amp;'트랜드 분석_15일'!CC$18,'2023년 신조차 고장관리 세부현황'!$BC:$BC,"완료",'2023년 신조차 고장관리 세부현황'!$CY:$CY,"밸브")</f>
        <v>0</v>
      </c>
      <c r="CD383" s="85">
        <f>COUNTIFS('2023년 신조차 고장관리 세부현황'!$K:$K,"128R",'2023년 신조차 고장관리 세부현황'!$P:$P,"&gt;="&amp;'트랜드 분석_15일'!CC$18,'2023년 신조차 고장관리 세부현황'!$P:$P,"&lt;"&amp;'트랜드 분석_15일'!CD$18,'2023년 신조차 고장관리 세부현황'!$BC:$BC,"완료",'2023년 신조차 고장관리 세부현황'!$CY:$CY,"밸브")</f>
        <v>0</v>
      </c>
      <c r="CE383" s="85">
        <f>COUNTIFS('2023년 신조차 고장관리 세부현황'!$K:$K,"128R",'2023년 신조차 고장관리 세부현황'!$P:$P,"&gt;="&amp;'트랜드 분석_15일'!CD$18,'2023년 신조차 고장관리 세부현황'!$P:$P,"&lt;"&amp;'트랜드 분석_15일'!CE$18,'2023년 신조차 고장관리 세부현황'!$BC:$BC,"완료",'2023년 신조차 고장관리 세부현황'!$CY:$CY,"밸브")</f>
        <v>0</v>
      </c>
      <c r="CF383" s="85">
        <f>COUNTIFS('2023년 신조차 고장관리 세부현황'!$K:$K,"128R",'2023년 신조차 고장관리 세부현황'!$P:$P,"&gt;="&amp;'트랜드 분석_15일'!CE$18,'2023년 신조차 고장관리 세부현황'!$P:$P,"&lt;"&amp;'트랜드 분석_15일'!CF$18,'2023년 신조차 고장관리 세부현황'!$BC:$BC,"완료",'2023년 신조차 고장관리 세부현황'!$CY:$CY,"밸브")</f>
        <v>0</v>
      </c>
      <c r="CG383" s="85">
        <f>COUNTIFS('2023년 신조차 고장관리 세부현황'!$K:$K,"128R",'2023년 신조차 고장관리 세부현황'!$P:$P,"&gt;="&amp;'트랜드 분석_15일'!CF$18,'2023년 신조차 고장관리 세부현황'!$P:$P,"&lt;"&amp;'트랜드 분석_15일'!CG$18,'2023년 신조차 고장관리 세부현황'!$BC:$BC,"완료",'2023년 신조차 고장관리 세부현황'!$CY:$CY,"밸브")</f>
        <v>0</v>
      </c>
      <c r="CH383" s="85">
        <f ca="1">COUNTIFS('2023년 신조차 고장관리 세부현황'!$K:$K,"128R",'2023년 신조차 고장관리 세부현황'!$P:$P,"&gt;="&amp;'트랜드 분석_15일'!CG$18,'2023년 신조차 고장관리 세부현황'!$P:$P,"&lt;"&amp;'트랜드 분석_15일'!CH$18,'2023년 신조차 고장관리 세부현황'!$BC:$BC,"완료",'2023년 신조차 고장관리 세부현황'!$CY:$CY,"밸브")</f>
        <v>0</v>
      </c>
      <c r="CI383" s="85">
        <f>COUNTIFS('2023년 신조차 고장관리 세부현황'!$K:$K,"128R",'2023년 신조차 고장관리 세부현황'!$P:$P,"&gt;="&amp;'트랜드 분석_15일'!CH$18,'2023년 신조차 고장관리 세부현황'!$P:$P,"&lt;"&amp;'트랜드 분석_15일'!CI$18,'2023년 신조차 고장관리 세부현황'!$BC:$BC,"완료",'2023년 신조차 고장관리 세부현황'!$CY:$CY,"밸브")</f>
        <v>0</v>
      </c>
      <c r="CJ383" s="85">
        <f ca="1">COUNTIFS('2023년 신조차 고장관리 세부현황'!$K:$K,"128R",'2023년 신조차 고장관리 세부현황'!$P:$P,"&gt;="&amp;'트랜드 분석_15일'!CI$18,'2023년 신조차 고장관리 세부현황'!$P:$P,"&lt;"&amp;'트랜드 분석_15일'!CJ$18,'2023년 신조차 고장관리 세부현황'!$BC:$BC,"완료",'2023년 신조차 고장관리 세부현황'!$CY:$CY,"밸브")</f>
        <v>0</v>
      </c>
      <c r="CK383" s="85">
        <f>COUNTIFS('2023년 신조차 고장관리 세부현황'!$K:$K,"128R",'2023년 신조차 고장관리 세부현황'!$P:$P,"&gt;="&amp;'트랜드 분석_15일'!CJ$18,'2023년 신조차 고장관리 세부현황'!$P:$P,"&lt;"&amp;'트랜드 분석_15일'!CK$18,'2023년 신조차 고장관리 세부현황'!$BC:$BC,"완료",'2023년 신조차 고장관리 세부현황'!$CY:$CY,"밸브")</f>
        <v>0</v>
      </c>
      <c r="CL383" s="85">
        <f>COUNTIFS('2023년 신조차 고장관리 세부현황'!$K:$K,"128R",'2023년 신조차 고장관리 세부현황'!$P:$P,"&gt;="&amp;'트랜드 분석_15일'!CK$18,'2023년 신조차 고장관리 세부현황'!$P:$P,"&lt;"&amp;'트랜드 분석_15일'!CL$18,'2023년 신조차 고장관리 세부현황'!$BC:$BC,"완료",'2023년 신조차 고장관리 세부현황'!$CY:$CY,"밸브")</f>
        <v>0</v>
      </c>
      <c r="CM383" s="85">
        <f>COUNTIFS('2023년 신조차 고장관리 세부현황'!$K:$K,"128R",'2023년 신조차 고장관리 세부현황'!$P:$P,"&gt;="&amp;'트랜드 분석_15일'!CL$18,'2023년 신조차 고장관리 세부현황'!$P:$P,"&lt;"&amp;'트랜드 분석_15일'!CM$18,'2023년 신조차 고장관리 세부현황'!$BC:$BC,"완료",'2023년 신조차 고장관리 세부현황'!$CY:$CY,"밸브")</f>
        <v>0</v>
      </c>
      <c r="CN383" s="85">
        <f>COUNTIFS('2023년 신조차 고장관리 세부현황'!$K:$K,"128R",'2023년 신조차 고장관리 세부현황'!$P:$P,"&gt;="&amp;'트랜드 분석_15일'!CM$18,'2023년 신조차 고장관리 세부현황'!$P:$P,"&lt;"&amp;'트랜드 분석_15일'!CN$18,'2023년 신조차 고장관리 세부현황'!$BC:$BC,"완료",'2023년 신조차 고장관리 세부현황'!$CY:$CY,"밸브")</f>
        <v>0</v>
      </c>
      <c r="CO383" s="85">
        <f>COUNTIFS('2023년 신조차 고장관리 세부현황'!$K:$K,"128R",'2023년 신조차 고장관리 세부현황'!$P:$P,"&gt;="&amp;'트랜드 분석_15일'!CN$18,'2023년 신조차 고장관리 세부현황'!$P:$P,"&lt;"&amp;'트랜드 분석_15일'!CO$18,'2023년 신조차 고장관리 세부현황'!$BC:$BC,"완료",'2023년 신조차 고장관리 세부현황'!$CY:$CY,"밸브")</f>
        <v>0</v>
      </c>
      <c r="CP383" s="85">
        <f>COUNTIFS('2023년 신조차 고장관리 세부현황'!$K:$K,"128R",'2023년 신조차 고장관리 세부현황'!$P:$P,"&gt;="&amp;'트랜드 분석_15일'!CO$18,'2023년 신조차 고장관리 세부현황'!$P:$P,"&lt;"&amp;'트랜드 분석_15일'!CP$18,'2023년 신조차 고장관리 세부현황'!$BC:$BC,"완료",'2023년 신조차 고장관리 세부현황'!$CY:$CY,"밸브")</f>
        <v>0</v>
      </c>
      <c r="CQ383" s="85">
        <f>COUNTIFS('2023년 신조차 고장관리 세부현황'!$K:$K,"128R",'2023년 신조차 고장관리 세부현황'!$P:$P,"&gt;="&amp;'트랜드 분석_15일'!CP$18,'2023년 신조차 고장관리 세부현황'!$P:$P,"&lt;"&amp;'트랜드 분석_15일'!CQ$18,'2023년 신조차 고장관리 세부현황'!$BC:$BC,"완료",'2023년 신조차 고장관리 세부현황'!$CY:$CY,"밸브")</f>
        <v>0</v>
      </c>
      <c r="CR383" s="85">
        <f>COUNTIFS('2023년 신조차 고장관리 세부현황'!$K:$K,"128R",'2023년 신조차 고장관리 세부현황'!$P:$P,"&gt;="&amp;'트랜드 분석_15일'!CQ$18,'2023년 신조차 고장관리 세부현황'!$P:$P,"&lt;"&amp;'트랜드 분석_15일'!CR$18,'2023년 신조차 고장관리 세부현황'!$BC:$BC,"완료",'2023년 신조차 고장관리 세부현황'!$CY:$CY,"밸브")</f>
        <v>0</v>
      </c>
      <c r="CS383" s="85">
        <f>COUNTIFS('2023년 신조차 고장관리 세부현황'!$K:$K,"128R",'2023년 신조차 고장관리 세부현황'!$P:$P,"&gt;="&amp;'트랜드 분석_15일'!CR$18,'2023년 신조차 고장관리 세부현황'!$P:$P,"&lt;"&amp;'트랜드 분석_15일'!CS$18,'2023년 신조차 고장관리 세부현황'!$BC:$BC,"완료",'2023년 신조차 고장관리 세부현황'!$CY:$CY,"밸브")</f>
        <v>0</v>
      </c>
      <c r="CT383" s="85">
        <f>COUNTIFS('2023년 신조차 고장관리 세부현황'!$K:$K,"128R",'2023년 신조차 고장관리 세부현황'!$P:$P,"&gt;="&amp;'트랜드 분석_15일'!CS$18,'2023년 신조차 고장관리 세부현황'!$P:$P,"&lt;"&amp;'트랜드 분석_15일'!CT$18,'2023년 신조차 고장관리 세부현황'!$BC:$BC,"완료",'2023년 신조차 고장관리 세부현황'!$CY:$CY,"밸브")</f>
        <v>0</v>
      </c>
      <c r="CU383" s="85">
        <f>COUNTIFS('2023년 신조차 고장관리 세부현황'!$K:$K,"128R",'2023년 신조차 고장관리 세부현황'!$P:$P,"&gt;="&amp;'트랜드 분석_15일'!CT$18,'2023년 신조차 고장관리 세부현황'!$P:$P,"&lt;"&amp;'트랜드 분석_15일'!CU$18,'2023년 신조차 고장관리 세부현황'!$BC:$BC,"완료",'2023년 신조차 고장관리 세부현황'!$CY:$CY,"밸브")</f>
        <v>0</v>
      </c>
      <c r="CV383" s="85">
        <f>COUNTIFS('2023년 신조차 고장관리 세부현황'!$K:$K,"128R",'2023년 신조차 고장관리 세부현황'!$P:$P,"&gt;="&amp;'트랜드 분석_15일'!CU$18,'2023년 신조차 고장관리 세부현황'!$P:$P,"&lt;"&amp;'트랜드 분석_15일'!CV$18,'2023년 신조차 고장관리 세부현황'!$BC:$BC,"완료",'2023년 신조차 고장관리 세부현황'!$CY:$CY,"밸브")</f>
        <v>0</v>
      </c>
      <c r="CW383" s="85">
        <f>COUNTIFS('2023년 신조차 고장관리 세부현황'!$K:$K,"128R",'2023년 신조차 고장관리 세부현황'!$P:$P,"&gt;="&amp;'트랜드 분석_15일'!CV$18,'2023년 신조차 고장관리 세부현황'!$P:$P,"&lt;"&amp;'트랜드 분석_15일'!CW$18,'2023년 신조차 고장관리 세부현황'!$BC:$BC,"완료",'2023년 신조차 고장관리 세부현황'!$CY:$CY,"밸브")</f>
        <v>0</v>
      </c>
      <c r="CX383">
        <f ca="1">SUM(G383:CW383)</f>
        <v>0</v>
      </c>
    </row>
    <row r="384" spans="6:102" x14ac:dyDescent="0.4">
      <c r="F384" s="85" t="s">
        <v>164</v>
      </c>
      <c r="G384" s="85">
        <f>COUNTIFS('2023년 신조차 고장관리 세부현황'!$K:$K,"128R",'2023년 신조차 고장관리 세부현황'!$P:$P,"&gt;="&amp;$G$17,'2023년 신조차 고장관리 세부현황'!$P:$P,"&lt;"&amp;'트랜드 분석_15일'!G$18,'2023년 신조차 고장관리 세부현황'!$S:$S,'트랜드 분석_15일'!$F384,'2023년 신조차 고장관리 세부현황'!$BC:$BC,"완료",'2023년 신조차 고장관리 세부현황'!$CY:$CY,"밸브")</f>
        <v>0</v>
      </c>
      <c r="H384"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분석_15일'!$F384,'2023년 신조차 고장관리 세부현황'!$BC:$BC,"완료",'2023년 신조차 고장관리 세부현황'!$CY:$CY,"밸브")</f>
        <v>0</v>
      </c>
      <c r="I384"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분석_15일'!$F384,'2023년 신조차 고장관리 세부현황'!$BC:$BC,"완료",'2023년 신조차 고장관리 세부현황'!$CY:$CY,"밸브")</f>
        <v>0</v>
      </c>
      <c r="J384"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분석_15일'!$F384,'2023년 신조차 고장관리 세부현황'!$BC:$BC,"완료",'2023년 신조차 고장관리 세부현황'!$CY:$CY,"밸브")</f>
        <v>0</v>
      </c>
      <c r="K384"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분석_15일'!$F384,'2023년 신조차 고장관리 세부현황'!$BC:$BC,"완료",'2023년 신조차 고장관리 세부현황'!$CY:$CY,"밸브")</f>
        <v>0</v>
      </c>
      <c r="L384"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분석_15일'!$F384,'2023년 신조차 고장관리 세부현황'!$BC:$BC,"완료",'2023년 신조차 고장관리 세부현황'!$CY:$CY,"밸브")</f>
        <v>0</v>
      </c>
      <c r="M384"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분석_15일'!$F384,'2023년 신조차 고장관리 세부현황'!$BC:$BC,"완료",'2023년 신조차 고장관리 세부현황'!$CY:$CY,"밸브")</f>
        <v>0</v>
      </c>
      <c r="N384"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분석_15일'!$F384,'2023년 신조차 고장관리 세부현황'!$BC:$BC,"완료",'2023년 신조차 고장관리 세부현황'!$CY:$CY,"밸브")</f>
        <v>0</v>
      </c>
      <c r="O384"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분석_15일'!$F384,'2023년 신조차 고장관리 세부현황'!$BC:$BC,"완료",'2023년 신조차 고장관리 세부현황'!$CY:$CY,"밸브")</f>
        <v>0</v>
      </c>
      <c r="P384"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분석_15일'!$F384,'2023년 신조차 고장관리 세부현황'!$BC:$BC,"완료",'2023년 신조차 고장관리 세부현황'!$CY:$CY,"밸브")</f>
        <v>0</v>
      </c>
      <c r="Q384"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분석_15일'!$F384,'2023년 신조차 고장관리 세부현황'!$BC:$BC,"완료",'2023년 신조차 고장관리 세부현황'!$CY:$CY,"밸브")</f>
        <v>0</v>
      </c>
      <c r="R384"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분석_15일'!$F384,'2023년 신조차 고장관리 세부현황'!$BC:$BC,"완료",'2023년 신조차 고장관리 세부현황'!$CY:$CY,"밸브")</f>
        <v>0</v>
      </c>
      <c r="S384"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분석_15일'!$F384,'2023년 신조차 고장관리 세부현황'!$BC:$BC,"완료",'2023년 신조차 고장관리 세부현황'!$CY:$CY,"밸브")</f>
        <v>0</v>
      </c>
      <c r="T384"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분석_15일'!$F384,'2023년 신조차 고장관리 세부현황'!$BC:$BC,"완료",'2023년 신조차 고장관리 세부현황'!$CY:$CY,"밸브")</f>
        <v>0</v>
      </c>
      <c r="U384"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분석_15일'!$F384,'2023년 신조차 고장관리 세부현황'!$BC:$BC,"완료",'2023년 신조차 고장관리 세부현황'!$CY:$CY,"밸브")</f>
        <v>0</v>
      </c>
      <c r="V384"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분석_15일'!$F384,'2023년 신조차 고장관리 세부현황'!$BC:$BC,"완료",'2023년 신조차 고장관리 세부현황'!$CY:$CY,"밸브")</f>
        <v>0</v>
      </c>
      <c r="W384"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분석_15일'!$F384,'2023년 신조차 고장관리 세부현황'!$BC:$BC,"완료",'2023년 신조차 고장관리 세부현황'!$CY:$CY,"밸브")</f>
        <v>0</v>
      </c>
      <c r="X384"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분석_15일'!$F384,'2023년 신조차 고장관리 세부현황'!$BC:$BC,"완료",'2023년 신조차 고장관리 세부현황'!$CY:$CY,"밸브")</f>
        <v>0</v>
      </c>
      <c r="Y384"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분석_15일'!$F384,'2023년 신조차 고장관리 세부현황'!$BC:$BC,"완료",'2023년 신조차 고장관리 세부현황'!$CY:$CY,"밸브")</f>
        <v>0</v>
      </c>
      <c r="Z384"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분석_15일'!$F384,'2023년 신조차 고장관리 세부현황'!$BC:$BC,"완료",'2023년 신조차 고장관리 세부현황'!$CY:$CY,"밸브")</f>
        <v>0</v>
      </c>
      <c r="AA384"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분석_15일'!$F384,'2023년 신조차 고장관리 세부현황'!$BC:$BC,"완료",'2023년 신조차 고장관리 세부현황'!$CY:$CY,"밸브")</f>
        <v>0</v>
      </c>
      <c r="AB384"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분석_15일'!$F384,'2023년 신조차 고장관리 세부현황'!$BC:$BC,"완료",'2023년 신조차 고장관리 세부현황'!$CY:$CY,"밸브")</f>
        <v>0</v>
      </c>
      <c r="AC384"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분석_15일'!$F384,'2023년 신조차 고장관리 세부현황'!$BC:$BC,"완료",'2023년 신조차 고장관리 세부현황'!$CY:$CY,"밸브")</f>
        <v>0</v>
      </c>
      <c r="AD384"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분석_15일'!$F384,'2023년 신조차 고장관리 세부현황'!$BC:$BC,"완료",'2023년 신조차 고장관리 세부현황'!$CY:$CY,"밸브")</f>
        <v>0</v>
      </c>
      <c r="AE384"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분석_15일'!$F384,'2023년 신조차 고장관리 세부현황'!$BC:$BC,"완료",'2023년 신조차 고장관리 세부현황'!$CY:$CY,"밸브")</f>
        <v>0</v>
      </c>
      <c r="AF384"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분석_15일'!$F384,'2023년 신조차 고장관리 세부현황'!$BC:$BC,"완료",'2023년 신조차 고장관리 세부현황'!$CY:$CY,"밸브")</f>
        <v>0</v>
      </c>
      <c r="AG384"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분석_15일'!$F384,'2023년 신조차 고장관리 세부현황'!$BC:$BC,"완료",'2023년 신조차 고장관리 세부현황'!$CY:$CY,"밸브")</f>
        <v>0</v>
      </c>
      <c r="AH384"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분석_15일'!$F384,'2023년 신조차 고장관리 세부현황'!$BC:$BC,"완료",'2023년 신조차 고장관리 세부현황'!$CY:$CY,"밸브")</f>
        <v>0</v>
      </c>
      <c r="AI384"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분석_15일'!$F384,'2023년 신조차 고장관리 세부현황'!$BC:$BC,"완료",'2023년 신조차 고장관리 세부현황'!$CY:$CY,"밸브")</f>
        <v>0</v>
      </c>
      <c r="AJ384"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분석_15일'!$F384,'2023년 신조차 고장관리 세부현황'!$BC:$BC,"완료",'2023년 신조차 고장관리 세부현황'!$CY:$CY,"밸브")</f>
        <v>0</v>
      </c>
      <c r="AK384"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분석_15일'!$F384,'2023년 신조차 고장관리 세부현황'!$BC:$BC,"완료",'2023년 신조차 고장관리 세부현황'!$CY:$CY,"밸브")</f>
        <v>0</v>
      </c>
      <c r="AL384"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분석_15일'!$F384,'2023년 신조차 고장관리 세부현황'!$BC:$BC,"완료",'2023년 신조차 고장관리 세부현황'!$CY:$CY,"밸브")</f>
        <v>0</v>
      </c>
      <c r="AM384"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분석_15일'!$F384,'2023년 신조차 고장관리 세부현황'!$BC:$BC,"완료",'2023년 신조차 고장관리 세부현황'!$CY:$CY,"밸브")</f>
        <v>0</v>
      </c>
      <c r="AN384"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분석_15일'!$F384,'2023년 신조차 고장관리 세부현황'!$BC:$BC,"완료",'2023년 신조차 고장관리 세부현황'!$CY:$CY,"밸브")</f>
        <v>0</v>
      </c>
      <c r="AO384"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분석_15일'!$F384,'2023년 신조차 고장관리 세부현황'!$BC:$BC,"완료",'2023년 신조차 고장관리 세부현황'!$CY:$CY,"밸브")</f>
        <v>0</v>
      </c>
      <c r="AP384"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분석_15일'!$F384,'2023년 신조차 고장관리 세부현황'!$BC:$BC,"완료",'2023년 신조차 고장관리 세부현황'!$CY:$CY,"밸브")</f>
        <v>0</v>
      </c>
      <c r="AQ384"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분석_15일'!$F384,'2023년 신조차 고장관리 세부현황'!$BC:$BC,"완료",'2023년 신조차 고장관리 세부현황'!$CY:$CY,"밸브")</f>
        <v>0</v>
      </c>
      <c r="AR384"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분석_15일'!$F384,'2023년 신조차 고장관리 세부현황'!$BC:$BC,"완료",'2023년 신조차 고장관리 세부현황'!$CY:$CY,"밸브")</f>
        <v>0</v>
      </c>
      <c r="AS384"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분석_15일'!$F384,'2023년 신조차 고장관리 세부현황'!$BC:$BC,"완료",'2023년 신조차 고장관리 세부현황'!$CY:$CY,"밸브")</f>
        <v>0</v>
      </c>
      <c r="AT384"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분석_15일'!$F384,'2023년 신조차 고장관리 세부현황'!$BC:$BC,"완료",'2023년 신조차 고장관리 세부현황'!$CY:$CY,"밸브")</f>
        <v>0</v>
      </c>
      <c r="AU384"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분석_15일'!$F384,'2023년 신조차 고장관리 세부현황'!$BC:$BC,"완료",'2023년 신조차 고장관리 세부현황'!$CY:$CY,"밸브")</f>
        <v>0</v>
      </c>
      <c r="AV384"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분석_15일'!$F384,'2023년 신조차 고장관리 세부현황'!$BC:$BC,"완료",'2023년 신조차 고장관리 세부현황'!$CY:$CY,"밸브")</f>
        <v>0</v>
      </c>
      <c r="AW384"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분석_15일'!$F384,'2023년 신조차 고장관리 세부현황'!$BC:$BC,"완료",'2023년 신조차 고장관리 세부현황'!$CY:$CY,"밸브")</f>
        <v>0</v>
      </c>
      <c r="AX384"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분석_15일'!$F384,'2023년 신조차 고장관리 세부현황'!$BC:$BC,"완료",'2023년 신조차 고장관리 세부현황'!$CY:$CY,"밸브")</f>
        <v>0</v>
      </c>
      <c r="AY384"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분석_15일'!$F384,'2023년 신조차 고장관리 세부현황'!$BC:$BC,"완료",'2023년 신조차 고장관리 세부현황'!$CY:$CY,"밸브")</f>
        <v>0</v>
      </c>
      <c r="AZ384"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분석_15일'!$F384,'2023년 신조차 고장관리 세부현황'!$BC:$BC,"완료",'2023년 신조차 고장관리 세부현황'!$CY:$CY,"밸브")</f>
        <v>0</v>
      </c>
      <c r="BA384"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분석_15일'!$F384,'2023년 신조차 고장관리 세부현황'!$BC:$BC,"완료",'2023년 신조차 고장관리 세부현황'!$CY:$CY,"밸브")</f>
        <v>0</v>
      </c>
      <c r="BB384"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분석_15일'!$F384,'2023년 신조차 고장관리 세부현황'!$BC:$BC,"완료",'2023년 신조차 고장관리 세부현황'!$CY:$CY,"밸브")</f>
        <v>0</v>
      </c>
      <c r="BC384"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분석_15일'!$F384,'2023년 신조차 고장관리 세부현황'!$BC:$BC,"완료",'2023년 신조차 고장관리 세부현황'!$CY:$CY,"밸브")</f>
        <v>0</v>
      </c>
      <c r="BD384"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분석_15일'!$F384,'2023년 신조차 고장관리 세부현황'!$BC:$BC,"완료",'2023년 신조차 고장관리 세부현황'!$CY:$CY,"밸브")</f>
        <v>0</v>
      </c>
      <c r="BE384"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분석_15일'!$F384,'2023년 신조차 고장관리 세부현황'!$BC:$BC,"완료",'2023년 신조차 고장관리 세부현황'!$CY:$CY,"밸브")</f>
        <v>0</v>
      </c>
      <c r="BF384"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분석_15일'!$F384,'2023년 신조차 고장관리 세부현황'!$BC:$BC,"완료",'2023년 신조차 고장관리 세부현황'!$CY:$CY,"밸브")</f>
        <v>0</v>
      </c>
      <c r="BG384"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분석_15일'!$F384,'2023년 신조차 고장관리 세부현황'!$BC:$BC,"완료",'2023년 신조차 고장관리 세부현황'!$CY:$CY,"밸브")</f>
        <v>0</v>
      </c>
      <c r="BH384"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분석_15일'!$F384,'2023년 신조차 고장관리 세부현황'!$BC:$BC,"완료",'2023년 신조차 고장관리 세부현황'!$CY:$CY,"밸브")</f>
        <v>0</v>
      </c>
      <c r="BI384"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분석_15일'!$F384,'2023년 신조차 고장관리 세부현황'!$BC:$BC,"완료",'2023년 신조차 고장관리 세부현황'!$CY:$CY,"밸브")</f>
        <v>0</v>
      </c>
      <c r="BJ384"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분석_15일'!$F384,'2023년 신조차 고장관리 세부현황'!$BC:$BC,"완료",'2023년 신조차 고장관리 세부현황'!$CY:$CY,"밸브")</f>
        <v>0</v>
      </c>
      <c r="BK384"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분석_15일'!$F384,'2023년 신조차 고장관리 세부현황'!$BC:$BC,"완료",'2023년 신조차 고장관리 세부현황'!$CY:$CY,"밸브")</f>
        <v>0</v>
      </c>
      <c r="BL384"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분석_15일'!$F384,'2023년 신조차 고장관리 세부현황'!$BC:$BC,"완료",'2023년 신조차 고장관리 세부현황'!$CY:$CY,"밸브")</f>
        <v>0</v>
      </c>
      <c r="BM384"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분석_15일'!$F384,'2023년 신조차 고장관리 세부현황'!$BC:$BC,"완료",'2023년 신조차 고장관리 세부현황'!$CY:$CY,"밸브")</f>
        <v>0</v>
      </c>
      <c r="BN384"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분석_15일'!$F384,'2023년 신조차 고장관리 세부현황'!$BC:$BC,"완료",'2023년 신조차 고장관리 세부현황'!$CY:$CY,"밸브")</f>
        <v>0</v>
      </c>
      <c r="BO384"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분석_15일'!$F384,'2023년 신조차 고장관리 세부현황'!$BC:$BC,"완료",'2023년 신조차 고장관리 세부현황'!$CY:$CY,"밸브")</f>
        <v>0</v>
      </c>
      <c r="BP384"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분석_15일'!$F384,'2023년 신조차 고장관리 세부현황'!$BC:$BC,"완료",'2023년 신조차 고장관리 세부현황'!$CY:$CY,"밸브")</f>
        <v>0</v>
      </c>
      <c r="BQ384"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분석_15일'!$F384,'2023년 신조차 고장관리 세부현황'!$BC:$BC,"완료",'2023년 신조차 고장관리 세부현황'!$CY:$CY,"밸브")</f>
        <v>0</v>
      </c>
      <c r="BR384"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분석_15일'!$F384,'2023년 신조차 고장관리 세부현황'!$BC:$BC,"완료",'2023년 신조차 고장관리 세부현황'!$CY:$CY,"밸브")</f>
        <v>0</v>
      </c>
      <c r="BS384"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분석_15일'!$F384,'2023년 신조차 고장관리 세부현황'!$BC:$BC,"완료",'2023년 신조차 고장관리 세부현황'!$CY:$CY,"밸브")</f>
        <v>0</v>
      </c>
      <c r="BT384"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분석_15일'!$F384,'2023년 신조차 고장관리 세부현황'!$BC:$BC,"완료",'2023년 신조차 고장관리 세부현황'!$CY:$CY,"밸브")</f>
        <v>0</v>
      </c>
      <c r="BU384"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분석_15일'!$F384,'2023년 신조차 고장관리 세부현황'!$BC:$BC,"완료",'2023년 신조차 고장관리 세부현황'!$CY:$CY,"밸브")</f>
        <v>0</v>
      </c>
      <c r="BV384"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분석_15일'!$F384,'2023년 신조차 고장관리 세부현황'!$BC:$BC,"완료",'2023년 신조차 고장관리 세부현황'!$CY:$CY,"밸브")</f>
        <v>0</v>
      </c>
      <c r="BW384"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분석_15일'!$F384,'2023년 신조차 고장관리 세부현황'!$BC:$BC,"완료",'2023년 신조차 고장관리 세부현황'!$CY:$CY,"밸브")</f>
        <v>0</v>
      </c>
      <c r="BX384"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분석_15일'!$F384,'2023년 신조차 고장관리 세부현황'!$BC:$BC,"완료",'2023년 신조차 고장관리 세부현황'!$CY:$CY,"밸브")</f>
        <v>0</v>
      </c>
      <c r="BY384"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분석_15일'!$F384,'2023년 신조차 고장관리 세부현황'!$BC:$BC,"완료",'2023년 신조차 고장관리 세부현황'!$CY:$CY,"밸브")</f>
        <v>0</v>
      </c>
      <c r="BZ384"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분석_15일'!$F384,'2023년 신조차 고장관리 세부현황'!$BC:$BC,"완료",'2023년 신조차 고장관리 세부현황'!$CY:$CY,"밸브")</f>
        <v>0</v>
      </c>
      <c r="CA384"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분석_15일'!$F384,'2023년 신조차 고장관리 세부현황'!$BC:$BC,"완료",'2023년 신조차 고장관리 세부현황'!$CY:$CY,"밸브")</f>
        <v>0</v>
      </c>
      <c r="CB384"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분석_15일'!$F384,'2023년 신조차 고장관리 세부현황'!$BC:$BC,"완료",'2023년 신조차 고장관리 세부현황'!$CY:$CY,"밸브")</f>
        <v>0</v>
      </c>
      <c r="CC384"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분석_15일'!$F384,'2023년 신조차 고장관리 세부현황'!$BC:$BC,"완료",'2023년 신조차 고장관리 세부현황'!$CY:$CY,"밸브")</f>
        <v>0</v>
      </c>
      <c r="CD384"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분석_15일'!$F384,'2023년 신조차 고장관리 세부현황'!$BC:$BC,"완료",'2023년 신조차 고장관리 세부현황'!$CY:$CY,"밸브")</f>
        <v>0</v>
      </c>
      <c r="CE384"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분석_15일'!$F384,'2023년 신조차 고장관리 세부현황'!$BC:$BC,"완료",'2023년 신조차 고장관리 세부현황'!$CY:$CY,"밸브")</f>
        <v>0</v>
      </c>
      <c r="CF384"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분석_15일'!$F384,'2023년 신조차 고장관리 세부현황'!$BC:$BC,"완료",'2023년 신조차 고장관리 세부현황'!$CY:$CY,"밸브")</f>
        <v>0</v>
      </c>
      <c r="CG384"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분석_15일'!$F384,'2023년 신조차 고장관리 세부현황'!$BC:$BC,"완료",'2023년 신조차 고장관리 세부현황'!$CY:$CY,"밸브")</f>
        <v>0</v>
      </c>
      <c r="CH384"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분석_15일'!$F384,'2023년 신조차 고장관리 세부현황'!$BC:$BC,"완료",'2023년 신조차 고장관리 세부현황'!$CY:$CY,"밸브")</f>
        <v>0</v>
      </c>
      <c r="CI384"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분석_15일'!$F384,'2023년 신조차 고장관리 세부현황'!$BC:$BC,"완료",'2023년 신조차 고장관리 세부현황'!$CY:$CY,"밸브")</f>
        <v>0</v>
      </c>
      <c r="CJ384"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분석_15일'!$F384,'2023년 신조차 고장관리 세부현황'!$BC:$BC,"완료",'2023년 신조차 고장관리 세부현황'!$CY:$CY,"밸브")</f>
        <v>0</v>
      </c>
      <c r="CK384"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분석_15일'!$F384,'2023년 신조차 고장관리 세부현황'!$BC:$BC,"완료",'2023년 신조차 고장관리 세부현황'!$CY:$CY,"밸브")</f>
        <v>0</v>
      </c>
      <c r="CL384"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분석_15일'!$F384,'2023년 신조차 고장관리 세부현황'!$BC:$BC,"완료",'2023년 신조차 고장관리 세부현황'!$CY:$CY,"밸브")</f>
        <v>0</v>
      </c>
      <c r="CM384"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분석_15일'!$F384,'2023년 신조차 고장관리 세부현황'!$BC:$BC,"완료",'2023년 신조차 고장관리 세부현황'!$CY:$CY,"밸브")</f>
        <v>0</v>
      </c>
      <c r="CN384"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분석_15일'!$F384,'2023년 신조차 고장관리 세부현황'!$BC:$BC,"완료",'2023년 신조차 고장관리 세부현황'!$CY:$CY,"밸브")</f>
        <v>0</v>
      </c>
      <c r="CO384"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분석_15일'!$F384,'2023년 신조차 고장관리 세부현황'!$BC:$BC,"완료",'2023년 신조차 고장관리 세부현황'!$CY:$CY,"밸브")</f>
        <v>0</v>
      </c>
      <c r="CP384"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분석_15일'!$F384,'2023년 신조차 고장관리 세부현황'!$BC:$BC,"완료",'2023년 신조차 고장관리 세부현황'!$CY:$CY,"밸브")</f>
        <v>0</v>
      </c>
      <c r="CQ384"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분석_15일'!$F384,'2023년 신조차 고장관리 세부현황'!$BC:$BC,"완료",'2023년 신조차 고장관리 세부현황'!$CY:$CY,"밸브")</f>
        <v>0</v>
      </c>
      <c r="CR384"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분석_15일'!$F384,'2023년 신조차 고장관리 세부현황'!$BC:$BC,"완료",'2023년 신조차 고장관리 세부현황'!$CY:$CY,"밸브")</f>
        <v>0</v>
      </c>
      <c r="CS384"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분석_15일'!$F384,'2023년 신조차 고장관리 세부현황'!$BC:$BC,"완료",'2023년 신조차 고장관리 세부현황'!$CY:$CY,"밸브")</f>
        <v>0</v>
      </c>
      <c r="CT384"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분석_15일'!$F384,'2023년 신조차 고장관리 세부현황'!$BC:$BC,"완료",'2023년 신조차 고장관리 세부현황'!$CY:$CY,"밸브")</f>
        <v>0</v>
      </c>
      <c r="CU384"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분석_15일'!$F384,'2023년 신조차 고장관리 세부현황'!$BC:$BC,"완료",'2023년 신조차 고장관리 세부현황'!$CY:$CY,"밸브")</f>
        <v>0</v>
      </c>
      <c r="CV384"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분석_15일'!$F384,'2023년 신조차 고장관리 세부현황'!$BC:$BC,"완료",'2023년 신조차 고장관리 세부현황'!$CY:$CY,"밸브")</f>
        <v>0</v>
      </c>
      <c r="CW384"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분석_15일'!$F384,'2023년 신조차 고장관리 세부현황'!$BC:$BC,"완료",'2023년 신조차 고장관리 세부현황'!$CY:$CY,"밸브")</f>
        <v>0</v>
      </c>
      <c r="CX384">
        <f>SUM(G384:CW384)</f>
        <v>0</v>
      </c>
    </row>
    <row r="385" spans="6:103" x14ac:dyDescent="0.4">
      <c r="F385" s="85" t="s">
        <v>223</v>
      </c>
      <c r="G385" s="85">
        <f>COUNTIFS('2023년 신조차 고장관리 세부현황'!$K:$K,"128R",'2023년 신조차 고장관리 세부현황'!$P:$P,"&gt;="&amp;$G$17,'2023년 신조차 고장관리 세부현황'!$P:$P,"&lt;"&amp;'트랜드 분석_15일'!G$18,'2023년 신조차 고장관리 세부현황'!$S:$S,'트랜드 분석_15일'!$F385,'2023년 신조차 고장관리 세부현황'!$BC:$BC,"완료",'2023년 신조차 고장관리 세부현황'!$CY:$CY,"밸브")</f>
        <v>0</v>
      </c>
      <c r="H385"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분석_15일'!$F385,'2023년 신조차 고장관리 세부현황'!$BC:$BC,"완료",'2023년 신조차 고장관리 세부현황'!$CY:$CY,"밸브")</f>
        <v>0</v>
      </c>
      <c r="I385"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분석_15일'!$F385,'2023년 신조차 고장관리 세부현황'!$BC:$BC,"완료",'2023년 신조차 고장관리 세부현황'!$CY:$CY,"밸브")</f>
        <v>0</v>
      </c>
      <c r="J385"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분석_15일'!$F385,'2023년 신조차 고장관리 세부현황'!$BC:$BC,"완료",'2023년 신조차 고장관리 세부현황'!$CY:$CY,"밸브")</f>
        <v>0</v>
      </c>
      <c r="K385"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분석_15일'!$F385,'2023년 신조차 고장관리 세부현황'!$BC:$BC,"완료",'2023년 신조차 고장관리 세부현황'!$CY:$CY,"밸브")</f>
        <v>0</v>
      </c>
      <c r="L385"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분석_15일'!$F385,'2023년 신조차 고장관리 세부현황'!$BC:$BC,"완료",'2023년 신조차 고장관리 세부현황'!$CY:$CY,"밸브")</f>
        <v>0</v>
      </c>
      <c r="M385"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분석_15일'!$F385,'2023년 신조차 고장관리 세부현황'!$BC:$BC,"완료",'2023년 신조차 고장관리 세부현황'!$CY:$CY,"밸브")</f>
        <v>0</v>
      </c>
      <c r="N385"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분석_15일'!$F385,'2023년 신조차 고장관리 세부현황'!$BC:$BC,"완료",'2023년 신조차 고장관리 세부현황'!$CY:$CY,"밸브")</f>
        <v>0</v>
      </c>
      <c r="O385"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분석_15일'!$F385,'2023년 신조차 고장관리 세부현황'!$BC:$BC,"완료",'2023년 신조차 고장관리 세부현황'!$CY:$CY,"밸브")</f>
        <v>0</v>
      </c>
      <c r="P385"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분석_15일'!$F385,'2023년 신조차 고장관리 세부현황'!$BC:$BC,"완료",'2023년 신조차 고장관리 세부현황'!$CY:$CY,"밸브")</f>
        <v>0</v>
      </c>
      <c r="Q385"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분석_15일'!$F385,'2023년 신조차 고장관리 세부현황'!$BC:$BC,"완료",'2023년 신조차 고장관리 세부현황'!$CY:$CY,"밸브")</f>
        <v>0</v>
      </c>
      <c r="R385"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분석_15일'!$F385,'2023년 신조차 고장관리 세부현황'!$BC:$BC,"완료",'2023년 신조차 고장관리 세부현황'!$CY:$CY,"밸브")</f>
        <v>0</v>
      </c>
      <c r="S385"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분석_15일'!$F385,'2023년 신조차 고장관리 세부현황'!$BC:$BC,"완료",'2023년 신조차 고장관리 세부현황'!$CY:$CY,"밸브")</f>
        <v>0</v>
      </c>
      <c r="T385"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분석_15일'!$F385,'2023년 신조차 고장관리 세부현황'!$BC:$BC,"완료",'2023년 신조차 고장관리 세부현황'!$CY:$CY,"밸브")</f>
        <v>0</v>
      </c>
      <c r="U385"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분석_15일'!$F385,'2023년 신조차 고장관리 세부현황'!$BC:$BC,"완료",'2023년 신조차 고장관리 세부현황'!$CY:$CY,"밸브")</f>
        <v>0</v>
      </c>
      <c r="V385"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분석_15일'!$F385,'2023년 신조차 고장관리 세부현황'!$BC:$BC,"완료",'2023년 신조차 고장관리 세부현황'!$CY:$CY,"밸브")</f>
        <v>0</v>
      </c>
      <c r="W385"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분석_15일'!$F385,'2023년 신조차 고장관리 세부현황'!$BC:$BC,"완료",'2023년 신조차 고장관리 세부현황'!$CY:$CY,"밸브")</f>
        <v>0</v>
      </c>
      <c r="X385"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분석_15일'!$F385,'2023년 신조차 고장관리 세부현황'!$BC:$BC,"완료",'2023년 신조차 고장관리 세부현황'!$CY:$CY,"밸브")</f>
        <v>0</v>
      </c>
      <c r="Y385"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분석_15일'!$F385,'2023년 신조차 고장관리 세부현황'!$BC:$BC,"완료",'2023년 신조차 고장관리 세부현황'!$CY:$CY,"밸브")</f>
        <v>0</v>
      </c>
      <c r="Z385"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분석_15일'!$F385,'2023년 신조차 고장관리 세부현황'!$BC:$BC,"완료",'2023년 신조차 고장관리 세부현황'!$CY:$CY,"밸브")</f>
        <v>0</v>
      </c>
      <c r="AA385"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분석_15일'!$F385,'2023년 신조차 고장관리 세부현황'!$BC:$BC,"완료",'2023년 신조차 고장관리 세부현황'!$CY:$CY,"밸브")</f>
        <v>0</v>
      </c>
      <c r="AB385"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분석_15일'!$F385,'2023년 신조차 고장관리 세부현황'!$BC:$BC,"완료",'2023년 신조차 고장관리 세부현황'!$CY:$CY,"밸브")</f>
        <v>0</v>
      </c>
      <c r="AC385"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분석_15일'!$F385,'2023년 신조차 고장관리 세부현황'!$BC:$BC,"완료",'2023년 신조차 고장관리 세부현황'!$CY:$CY,"밸브")</f>
        <v>0</v>
      </c>
      <c r="AD385"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분석_15일'!$F385,'2023년 신조차 고장관리 세부현황'!$BC:$BC,"완료",'2023년 신조차 고장관리 세부현황'!$CY:$CY,"밸브")</f>
        <v>0</v>
      </c>
      <c r="AE385"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분석_15일'!$F385,'2023년 신조차 고장관리 세부현황'!$BC:$BC,"완료",'2023년 신조차 고장관리 세부현황'!$CY:$CY,"밸브")</f>
        <v>0</v>
      </c>
      <c r="AF385"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분석_15일'!$F385,'2023년 신조차 고장관리 세부현황'!$BC:$BC,"완료",'2023년 신조차 고장관리 세부현황'!$CY:$CY,"밸브")</f>
        <v>0</v>
      </c>
      <c r="AG385"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분석_15일'!$F385,'2023년 신조차 고장관리 세부현황'!$BC:$BC,"완료",'2023년 신조차 고장관리 세부현황'!$CY:$CY,"밸브")</f>
        <v>0</v>
      </c>
      <c r="AH385"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분석_15일'!$F385,'2023년 신조차 고장관리 세부현황'!$BC:$BC,"완료",'2023년 신조차 고장관리 세부현황'!$CY:$CY,"밸브")</f>
        <v>0</v>
      </c>
      <c r="AI385"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분석_15일'!$F385,'2023년 신조차 고장관리 세부현황'!$BC:$BC,"완료",'2023년 신조차 고장관리 세부현황'!$CY:$CY,"밸브")</f>
        <v>0</v>
      </c>
      <c r="AJ385"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분석_15일'!$F385,'2023년 신조차 고장관리 세부현황'!$BC:$BC,"완료",'2023년 신조차 고장관리 세부현황'!$CY:$CY,"밸브")</f>
        <v>0</v>
      </c>
      <c r="AK385"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분석_15일'!$F385,'2023년 신조차 고장관리 세부현황'!$BC:$BC,"완료",'2023년 신조차 고장관리 세부현황'!$CY:$CY,"밸브")</f>
        <v>0</v>
      </c>
      <c r="AL385"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분석_15일'!$F385,'2023년 신조차 고장관리 세부현황'!$BC:$BC,"완료",'2023년 신조차 고장관리 세부현황'!$CY:$CY,"밸브")</f>
        <v>0</v>
      </c>
      <c r="AM385"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분석_15일'!$F385,'2023년 신조차 고장관리 세부현황'!$BC:$BC,"완료",'2023년 신조차 고장관리 세부현황'!$CY:$CY,"밸브")</f>
        <v>0</v>
      </c>
      <c r="AN385"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분석_15일'!$F385,'2023년 신조차 고장관리 세부현황'!$BC:$BC,"완료",'2023년 신조차 고장관리 세부현황'!$CY:$CY,"밸브")</f>
        <v>0</v>
      </c>
      <c r="AO385"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분석_15일'!$F385,'2023년 신조차 고장관리 세부현황'!$BC:$BC,"완료",'2023년 신조차 고장관리 세부현황'!$CY:$CY,"밸브")</f>
        <v>0</v>
      </c>
      <c r="AP385"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분석_15일'!$F385,'2023년 신조차 고장관리 세부현황'!$BC:$BC,"완료",'2023년 신조차 고장관리 세부현황'!$CY:$CY,"밸브")</f>
        <v>0</v>
      </c>
      <c r="AQ385"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분석_15일'!$F385,'2023년 신조차 고장관리 세부현황'!$BC:$BC,"완료",'2023년 신조차 고장관리 세부현황'!$CY:$CY,"밸브")</f>
        <v>0</v>
      </c>
      <c r="AR385"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분석_15일'!$F385,'2023년 신조차 고장관리 세부현황'!$BC:$BC,"완료",'2023년 신조차 고장관리 세부현황'!$CY:$CY,"밸브")</f>
        <v>0</v>
      </c>
      <c r="AS385"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분석_15일'!$F385,'2023년 신조차 고장관리 세부현황'!$BC:$BC,"완료",'2023년 신조차 고장관리 세부현황'!$CY:$CY,"밸브")</f>
        <v>0</v>
      </c>
      <c r="AT385"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분석_15일'!$F385,'2023년 신조차 고장관리 세부현황'!$BC:$BC,"완료",'2023년 신조차 고장관리 세부현황'!$CY:$CY,"밸브")</f>
        <v>0</v>
      </c>
      <c r="AU385"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분석_15일'!$F385,'2023년 신조차 고장관리 세부현황'!$BC:$BC,"완료",'2023년 신조차 고장관리 세부현황'!$CY:$CY,"밸브")</f>
        <v>0</v>
      </c>
      <c r="AV385"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분석_15일'!$F385,'2023년 신조차 고장관리 세부현황'!$BC:$BC,"완료",'2023년 신조차 고장관리 세부현황'!$CY:$CY,"밸브")</f>
        <v>0</v>
      </c>
      <c r="AW385"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분석_15일'!$F385,'2023년 신조차 고장관리 세부현황'!$BC:$BC,"완료",'2023년 신조차 고장관리 세부현황'!$CY:$CY,"밸브")</f>
        <v>0</v>
      </c>
      <c r="AX385"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분석_15일'!$F385,'2023년 신조차 고장관리 세부현황'!$BC:$BC,"완료",'2023년 신조차 고장관리 세부현황'!$CY:$CY,"밸브")</f>
        <v>0</v>
      </c>
      <c r="AY385"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분석_15일'!$F385,'2023년 신조차 고장관리 세부현황'!$BC:$BC,"완료",'2023년 신조차 고장관리 세부현황'!$CY:$CY,"밸브")</f>
        <v>0</v>
      </c>
      <c r="AZ385"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분석_15일'!$F385,'2023년 신조차 고장관리 세부현황'!$BC:$BC,"완료",'2023년 신조차 고장관리 세부현황'!$CY:$CY,"밸브")</f>
        <v>0</v>
      </c>
      <c r="BA385"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분석_15일'!$F385,'2023년 신조차 고장관리 세부현황'!$BC:$BC,"완료",'2023년 신조차 고장관리 세부현황'!$CY:$CY,"밸브")</f>
        <v>0</v>
      </c>
      <c r="BB385"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분석_15일'!$F385,'2023년 신조차 고장관리 세부현황'!$BC:$BC,"완료",'2023년 신조차 고장관리 세부현황'!$CY:$CY,"밸브")</f>
        <v>0</v>
      </c>
      <c r="BC385"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분석_15일'!$F385,'2023년 신조차 고장관리 세부현황'!$BC:$BC,"완료",'2023년 신조차 고장관리 세부현황'!$CY:$CY,"밸브")</f>
        <v>0</v>
      </c>
      <c r="BD385"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분석_15일'!$F385,'2023년 신조차 고장관리 세부현황'!$BC:$BC,"완료",'2023년 신조차 고장관리 세부현황'!$CY:$CY,"밸브")</f>
        <v>0</v>
      </c>
      <c r="BE385"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분석_15일'!$F385,'2023년 신조차 고장관리 세부현황'!$BC:$BC,"완료",'2023년 신조차 고장관리 세부현황'!$CY:$CY,"밸브")</f>
        <v>0</v>
      </c>
      <c r="BF385"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분석_15일'!$F385,'2023년 신조차 고장관리 세부현황'!$BC:$BC,"완료",'2023년 신조차 고장관리 세부현황'!$CY:$CY,"밸브")</f>
        <v>0</v>
      </c>
      <c r="BG385"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분석_15일'!$F385,'2023년 신조차 고장관리 세부현황'!$BC:$BC,"완료",'2023년 신조차 고장관리 세부현황'!$CY:$CY,"밸브")</f>
        <v>0</v>
      </c>
      <c r="BH385"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분석_15일'!$F385,'2023년 신조차 고장관리 세부현황'!$BC:$BC,"완료",'2023년 신조차 고장관리 세부현황'!$CY:$CY,"밸브")</f>
        <v>0</v>
      </c>
      <c r="BI385"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분석_15일'!$F385,'2023년 신조차 고장관리 세부현황'!$BC:$BC,"완료",'2023년 신조차 고장관리 세부현황'!$CY:$CY,"밸브")</f>
        <v>0</v>
      </c>
      <c r="BJ385"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분석_15일'!$F385,'2023년 신조차 고장관리 세부현황'!$BC:$BC,"완료",'2023년 신조차 고장관리 세부현황'!$CY:$CY,"밸브")</f>
        <v>0</v>
      </c>
      <c r="BK385"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분석_15일'!$F385,'2023년 신조차 고장관리 세부현황'!$BC:$BC,"완료",'2023년 신조차 고장관리 세부현황'!$CY:$CY,"밸브")</f>
        <v>0</v>
      </c>
      <c r="BL385"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분석_15일'!$F385,'2023년 신조차 고장관리 세부현황'!$BC:$BC,"완료",'2023년 신조차 고장관리 세부현황'!$CY:$CY,"밸브")</f>
        <v>0</v>
      </c>
      <c r="BM385"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분석_15일'!$F385,'2023년 신조차 고장관리 세부현황'!$BC:$BC,"완료",'2023년 신조차 고장관리 세부현황'!$CY:$CY,"밸브")</f>
        <v>0</v>
      </c>
      <c r="BN385"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분석_15일'!$F385,'2023년 신조차 고장관리 세부현황'!$BC:$BC,"완료",'2023년 신조차 고장관리 세부현황'!$CY:$CY,"밸브")</f>
        <v>0</v>
      </c>
      <c r="BO385"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분석_15일'!$F385,'2023년 신조차 고장관리 세부현황'!$BC:$BC,"완료",'2023년 신조차 고장관리 세부현황'!$CY:$CY,"밸브")</f>
        <v>0</v>
      </c>
      <c r="BP385"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분석_15일'!$F385,'2023년 신조차 고장관리 세부현황'!$BC:$BC,"완료",'2023년 신조차 고장관리 세부현황'!$CY:$CY,"밸브")</f>
        <v>0</v>
      </c>
      <c r="BQ385"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분석_15일'!$F385,'2023년 신조차 고장관리 세부현황'!$BC:$BC,"완료",'2023년 신조차 고장관리 세부현황'!$CY:$CY,"밸브")</f>
        <v>0</v>
      </c>
      <c r="BR385"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분석_15일'!$F385,'2023년 신조차 고장관리 세부현황'!$BC:$BC,"완료",'2023년 신조차 고장관리 세부현황'!$CY:$CY,"밸브")</f>
        <v>0</v>
      </c>
      <c r="BS385"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분석_15일'!$F385,'2023년 신조차 고장관리 세부현황'!$BC:$BC,"완료",'2023년 신조차 고장관리 세부현황'!$CY:$CY,"밸브")</f>
        <v>0</v>
      </c>
      <c r="BT385"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분석_15일'!$F385,'2023년 신조차 고장관리 세부현황'!$BC:$BC,"완료",'2023년 신조차 고장관리 세부현황'!$CY:$CY,"밸브")</f>
        <v>0</v>
      </c>
      <c r="BU385"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분석_15일'!$F385,'2023년 신조차 고장관리 세부현황'!$BC:$BC,"완료",'2023년 신조차 고장관리 세부현황'!$CY:$CY,"밸브")</f>
        <v>0</v>
      </c>
      <c r="BV385"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분석_15일'!$F385,'2023년 신조차 고장관리 세부현황'!$BC:$BC,"완료",'2023년 신조차 고장관리 세부현황'!$CY:$CY,"밸브")</f>
        <v>0</v>
      </c>
      <c r="BW385"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분석_15일'!$F385,'2023년 신조차 고장관리 세부현황'!$BC:$BC,"완료",'2023년 신조차 고장관리 세부현황'!$CY:$CY,"밸브")</f>
        <v>0</v>
      </c>
      <c r="BX385"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분석_15일'!$F385,'2023년 신조차 고장관리 세부현황'!$BC:$BC,"완료",'2023년 신조차 고장관리 세부현황'!$CY:$CY,"밸브")</f>
        <v>0</v>
      </c>
      <c r="BY385"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분석_15일'!$F385,'2023년 신조차 고장관리 세부현황'!$BC:$BC,"완료",'2023년 신조차 고장관리 세부현황'!$CY:$CY,"밸브")</f>
        <v>0</v>
      </c>
      <c r="BZ385"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분석_15일'!$F385,'2023년 신조차 고장관리 세부현황'!$BC:$BC,"완료",'2023년 신조차 고장관리 세부현황'!$CY:$CY,"밸브")</f>
        <v>0</v>
      </c>
      <c r="CA385"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분석_15일'!$F385,'2023년 신조차 고장관리 세부현황'!$BC:$BC,"완료",'2023년 신조차 고장관리 세부현황'!$CY:$CY,"밸브")</f>
        <v>0</v>
      </c>
      <c r="CB385"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분석_15일'!$F385,'2023년 신조차 고장관리 세부현황'!$BC:$BC,"완료",'2023년 신조차 고장관리 세부현황'!$CY:$CY,"밸브")</f>
        <v>0</v>
      </c>
      <c r="CC385"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분석_15일'!$F385,'2023년 신조차 고장관리 세부현황'!$BC:$BC,"완료",'2023년 신조차 고장관리 세부현황'!$CY:$CY,"밸브")</f>
        <v>0</v>
      </c>
      <c r="CD385"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분석_15일'!$F385,'2023년 신조차 고장관리 세부현황'!$BC:$BC,"완료",'2023년 신조차 고장관리 세부현황'!$CY:$CY,"밸브")</f>
        <v>0</v>
      </c>
      <c r="CE385"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분석_15일'!$F385,'2023년 신조차 고장관리 세부현황'!$BC:$BC,"완료",'2023년 신조차 고장관리 세부현황'!$CY:$CY,"밸브")</f>
        <v>0</v>
      </c>
      <c r="CF385"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분석_15일'!$F385,'2023년 신조차 고장관리 세부현황'!$BC:$BC,"완료",'2023년 신조차 고장관리 세부현황'!$CY:$CY,"밸브")</f>
        <v>0</v>
      </c>
      <c r="CG385"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분석_15일'!$F385,'2023년 신조차 고장관리 세부현황'!$BC:$BC,"완료",'2023년 신조차 고장관리 세부현황'!$CY:$CY,"밸브")</f>
        <v>0</v>
      </c>
      <c r="CH385"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분석_15일'!$F385,'2023년 신조차 고장관리 세부현황'!$BC:$BC,"완료",'2023년 신조차 고장관리 세부현황'!$CY:$CY,"밸브")</f>
        <v>0</v>
      </c>
      <c r="CI385"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분석_15일'!$F385,'2023년 신조차 고장관리 세부현황'!$BC:$BC,"완료",'2023년 신조차 고장관리 세부현황'!$CY:$CY,"밸브")</f>
        <v>0</v>
      </c>
      <c r="CJ385"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분석_15일'!$F385,'2023년 신조차 고장관리 세부현황'!$BC:$BC,"완료",'2023년 신조차 고장관리 세부현황'!$CY:$CY,"밸브")</f>
        <v>0</v>
      </c>
      <c r="CK385"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분석_15일'!$F385,'2023년 신조차 고장관리 세부현황'!$BC:$BC,"완료",'2023년 신조차 고장관리 세부현황'!$CY:$CY,"밸브")</f>
        <v>0</v>
      </c>
      <c r="CL385"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분석_15일'!$F385,'2023년 신조차 고장관리 세부현황'!$BC:$BC,"완료",'2023년 신조차 고장관리 세부현황'!$CY:$CY,"밸브")</f>
        <v>0</v>
      </c>
      <c r="CM385"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분석_15일'!$F385,'2023년 신조차 고장관리 세부현황'!$BC:$BC,"완료",'2023년 신조차 고장관리 세부현황'!$CY:$CY,"밸브")</f>
        <v>0</v>
      </c>
      <c r="CN385"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분석_15일'!$F385,'2023년 신조차 고장관리 세부현황'!$BC:$BC,"완료",'2023년 신조차 고장관리 세부현황'!$CY:$CY,"밸브")</f>
        <v>0</v>
      </c>
      <c r="CO385"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분석_15일'!$F385,'2023년 신조차 고장관리 세부현황'!$BC:$BC,"완료",'2023년 신조차 고장관리 세부현황'!$CY:$CY,"밸브")</f>
        <v>0</v>
      </c>
      <c r="CP385"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분석_15일'!$F385,'2023년 신조차 고장관리 세부현황'!$BC:$BC,"완료",'2023년 신조차 고장관리 세부현황'!$CY:$CY,"밸브")</f>
        <v>0</v>
      </c>
      <c r="CQ385"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분석_15일'!$F385,'2023년 신조차 고장관리 세부현황'!$BC:$BC,"완료",'2023년 신조차 고장관리 세부현황'!$CY:$CY,"밸브")</f>
        <v>0</v>
      </c>
      <c r="CR385"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분석_15일'!$F385,'2023년 신조차 고장관리 세부현황'!$BC:$BC,"완료",'2023년 신조차 고장관리 세부현황'!$CY:$CY,"밸브")</f>
        <v>0</v>
      </c>
      <c r="CS385"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분석_15일'!$F385,'2023년 신조차 고장관리 세부현황'!$BC:$BC,"완료",'2023년 신조차 고장관리 세부현황'!$CY:$CY,"밸브")</f>
        <v>0</v>
      </c>
      <c r="CT385"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분석_15일'!$F385,'2023년 신조차 고장관리 세부현황'!$BC:$BC,"완료",'2023년 신조차 고장관리 세부현황'!$CY:$CY,"밸브")</f>
        <v>0</v>
      </c>
      <c r="CU385"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분석_15일'!$F385,'2023년 신조차 고장관리 세부현황'!$BC:$BC,"완료",'2023년 신조차 고장관리 세부현황'!$CY:$CY,"밸브")</f>
        <v>0</v>
      </c>
      <c r="CV385"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분석_15일'!$F385,'2023년 신조차 고장관리 세부현황'!$BC:$BC,"완료",'2023년 신조차 고장관리 세부현황'!$CY:$CY,"밸브")</f>
        <v>0</v>
      </c>
      <c r="CW385"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분석_15일'!$F385,'2023년 신조차 고장관리 세부현황'!$BC:$BC,"완료",'2023년 신조차 고장관리 세부현황'!$CY:$CY,"밸브")</f>
        <v>0</v>
      </c>
      <c r="CX385">
        <f>SUM(G385:CW385)</f>
        <v>0</v>
      </c>
    </row>
    <row r="386" spans="6:103" x14ac:dyDescent="0.4">
      <c r="F386" s="85" t="s">
        <v>243</v>
      </c>
      <c r="G386" s="85">
        <f>G384+G385</f>
        <v>0</v>
      </c>
      <c r="H386" s="85">
        <f t="shared" ref="H386:BS386" si="357">H384+H385</f>
        <v>0</v>
      </c>
      <c r="I386" s="85">
        <f t="shared" si="357"/>
        <v>0</v>
      </c>
      <c r="J386" s="85">
        <f t="shared" si="357"/>
        <v>0</v>
      </c>
      <c r="K386" s="85">
        <f t="shared" si="357"/>
        <v>0</v>
      </c>
      <c r="L386" s="85">
        <f t="shared" si="357"/>
        <v>0</v>
      </c>
      <c r="M386" s="85">
        <f t="shared" si="357"/>
        <v>0</v>
      </c>
      <c r="N386" s="85">
        <f t="shared" si="357"/>
        <v>0</v>
      </c>
      <c r="O386" s="85">
        <f t="shared" si="357"/>
        <v>0</v>
      </c>
      <c r="P386" s="85">
        <f t="shared" si="357"/>
        <v>0</v>
      </c>
      <c r="Q386" s="85">
        <f t="shared" si="357"/>
        <v>0</v>
      </c>
      <c r="R386" s="85">
        <f t="shared" si="357"/>
        <v>0</v>
      </c>
      <c r="S386" s="85">
        <f t="shared" si="357"/>
        <v>0</v>
      </c>
      <c r="T386" s="85">
        <f t="shared" si="357"/>
        <v>0</v>
      </c>
      <c r="U386" s="85">
        <f t="shared" si="357"/>
        <v>0</v>
      </c>
      <c r="V386" s="85">
        <f t="shared" si="357"/>
        <v>0</v>
      </c>
      <c r="W386" s="85">
        <f t="shared" si="357"/>
        <v>0</v>
      </c>
      <c r="X386" s="85">
        <f t="shared" si="357"/>
        <v>0</v>
      </c>
      <c r="Y386" s="85">
        <f t="shared" si="357"/>
        <v>0</v>
      </c>
      <c r="Z386" s="85">
        <f t="shared" si="357"/>
        <v>0</v>
      </c>
      <c r="AA386" s="85">
        <f t="shared" si="357"/>
        <v>0</v>
      </c>
      <c r="AB386" s="85">
        <f t="shared" si="357"/>
        <v>0</v>
      </c>
      <c r="AC386" s="85">
        <f t="shared" si="357"/>
        <v>0</v>
      </c>
      <c r="AD386" s="85">
        <f t="shared" si="357"/>
        <v>0</v>
      </c>
      <c r="AE386" s="85">
        <f t="shared" si="357"/>
        <v>0</v>
      </c>
      <c r="AF386" s="85">
        <f t="shared" si="357"/>
        <v>0</v>
      </c>
      <c r="AG386" s="85">
        <f t="shared" si="357"/>
        <v>0</v>
      </c>
      <c r="AH386" s="85">
        <f t="shared" si="357"/>
        <v>0</v>
      </c>
      <c r="AI386" s="85">
        <f t="shared" si="357"/>
        <v>0</v>
      </c>
      <c r="AJ386" s="85">
        <f t="shared" si="357"/>
        <v>0</v>
      </c>
      <c r="AK386" s="85">
        <f t="shared" si="357"/>
        <v>0</v>
      </c>
      <c r="AL386" s="85">
        <f t="shared" si="357"/>
        <v>0</v>
      </c>
      <c r="AM386" s="85">
        <f t="shared" si="357"/>
        <v>0</v>
      </c>
      <c r="AN386" s="85">
        <f t="shared" si="357"/>
        <v>0</v>
      </c>
      <c r="AO386" s="85">
        <f t="shared" si="357"/>
        <v>0</v>
      </c>
      <c r="AP386" s="85">
        <f t="shared" si="357"/>
        <v>0</v>
      </c>
      <c r="AQ386" s="85">
        <f t="shared" si="357"/>
        <v>0</v>
      </c>
      <c r="AR386" s="85">
        <f t="shared" si="357"/>
        <v>0</v>
      </c>
      <c r="AS386" s="85">
        <f t="shared" si="357"/>
        <v>0</v>
      </c>
      <c r="AT386" s="85">
        <f t="shared" si="357"/>
        <v>0</v>
      </c>
      <c r="AU386" s="85">
        <f t="shared" si="357"/>
        <v>0</v>
      </c>
      <c r="AV386" s="85">
        <f t="shared" si="357"/>
        <v>0</v>
      </c>
      <c r="AW386" s="85">
        <f t="shared" si="357"/>
        <v>0</v>
      </c>
      <c r="AX386" s="85">
        <f t="shared" si="357"/>
        <v>0</v>
      </c>
      <c r="AY386" s="85">
        <f t="shared" si="357"/>
        <v>0</v>
      </c>
      <c r="AZ386" s="85">
        <f t="shared" si="357"/>
        <v>0</v>
      </c>
      <c r="BA386" s="85">
        <f t="shared" si="357"/>
        <v>0</v>
      </c>
      <c r="BB386" s="85">
        <f t="shared" si="357"/>
        <v>0</v>
      </c>
      <c r="BC386" s="85">
        <f t="shared" si="357"/>
        <v>0</v>
      </c>
      <c r="BD386" s="85">
        <f t="shared" si="357"/>
        <v>0</v>
      </c>
      <c r="BE386" s="85">
        <f t="shared" si="357"/>
        <v>0</v>
      </c>
      <c r="BF386" s="85">
        <f t="shared" si="357"/>
        <v>0</v>
      </c>
      <c r="BG386" s="85">
        <f t="shared" si="357"/>
        <v>0</v>
      </c>
      <c r="BH386" s="85">
        <f t="shared" si="357"/>
        <v>0</v>
      </c>
      <c r="BI386" s="85">
        <f t="shared" si="357"/>
        <v>0</v>
      </c>
      <c r="BJ386" s="85">
        <f t="shared" si="357"/>
        <v>0</v>
      </c>
      <c r="BK386" s="85">
        <f t="shared" si="357"/>
        <v>0</v>
      </c>
      <c r="BL386" s="85">
        <f t="shared" si="357"/>
        <v>0</v>
      </c>
      <c r="BM386" s="85">
        <f t="shared" si="357"/>
        <v>0</v>
      </c>
      <c r="BN386" s="85">
        <f t="shared" si="357"/>
        <v>0</v>
      </c>
      <c r="BO386" s="85">
        <f t="shared" si="357"/>
        <v>0</v>
      </c>
      <c r="BP386" s="85">
        <f t="shared" si="357"/>
        <v>0</v>
      </c>
      <c r="BQ386" s="85">
        <f t="shared" si="357"/>
        <v>0</v>
      </c>
      <c r="BR386" s="85">
        <f t="shared" si="357"/>
        <v>0</v>
      </c>
      <c r="BS386" s="85">
        <f t="shared" si="357"/>
        <v>0</v>
      </c>
      <c r="BT386" s="85">
        <f t="shared" ref="BT386:CW386" si="358">BT384+BT385</f>
        <v>0</v>
      </c>
      <c r="BU386" s="85">
        <f t="shared" si="358"/>
        <v>0</v>
      </c>
      <c r="BV386" s="85">
        <f t="shared" si="358"/>
        <v>0</v>
      </c>
      <c r="BW386" s="85">
        <f t="shared" si="358"/>
        <v>0</v>
      </c>
      <c r="BX386" s="85">
        <f t="shared" si="358"/>
        <v>0</v>
      </c>
      <c r="BY386" s="85">
        <f t="shared" si="358"/>
        <v>0</v>
      </c>
      <c r="BZ386" s="85">
        <f t="shared" si="358"/>
        <v>0</v>
      </c>
      <c r="CA386" s="85">
        <f t="shared" si="358"/>
        <v>0</v>
      </c>
      <c r="CB386" s="85">
        <f t="shared" si="358"/>
        <v>0</v>
      </c>
      <c r="CC386" s="85">
        <f t="shared" si="358"/>
        <v>0</v>
      </c>
      <c r="CD386" s="85">
        <f t="shared" si="358"/>
        <v>0</v>
      </c>
      <c r="CE386" s="85">
        <f t="shared" si="358"/>
        <v>0</v>
      </c>
      <c r="CF386" s="85">
        <f t="shared" si="358"/>
        <v>0</v>
      </c>
      <c r="CG386" s="85">
        <f t="shared" si="358"/>
        <v>0</v>
      </c>
      <c r="CH386" s="85">
        <f t="shared" si="358"/>
        <v>0</v>
      </c>
      <c r="CI386" s="85">
        <f t="shared" si="358"/>
        <v>0</v>
      </c>
      <c r="CJ386" s="85">
        <f t="shared" si="358"/>
        <v>0</v>
      </c>
      <c r="CK386" s="85">
        <f t="shared" si="358"/>
        <v>0</v>
      </c>
      <c r="CL386" s="85">
        <f t="shared" si="358"/>
        <v>0</v>
      </c>
      <c r="CM386" s="85">
        <f t="shared" si="358"/>
        <v>0</v>
      </c>
      <c r="CN386" s="85">
        <f t="shared" si="358"/>
        <v>0</v>
      </c>
      <c r="CO386" s="85">
        <f t="shared" si="358"/>
        <v>0</v>
      </c>
      <c r="CP386" s="85">
        <f t="shared" si="358"/>
        <v>0</v>
      </c>
      <c r="CQ386" s="85">
        <f t="shared" si="358"/>
        <v>0</v>
      </c>
      <c r="CR386" s="85">
        <f t="shared" si="358"/>
        <v>0</v>
      </c>
      <c r="CS386" s="85">
        <f t="shared" si="358"/>
        <v>0</v>
      </c>
      <c r="CT386" s="85">
        <f t="shared" si="358"/>
        <v>0</v>
      </c>
      <c r="CU386" s="85">
        <f t="shared" si="358"/>
        <v>0</v>
      </c>
      <c r="CV386" s="85">
        <f t="shared" si="358"/>
        <v>0</v>
      </c>
      <c r="CW386" s="85">
        <f t="shared" si="358"/>
        <v>0</v>
      </c>
      <c r="CX386">
        <f>SUM(G386:CW386)</f>
        <v>0</v>
      </c>
    </row>
    <row r="387" spans="6:103" x14ac:dyDescent="0.4">
      <c r="F387" s="86" t="s">
        <v>222</v>
      </c>
      <c r="G387" s="85">
        <f>COUNTIFS('2023년 신조차 고장관리 세부현황'!$K:$K,"128R",'2023년 신조차 고장관리 세부현황'!$P:$P,"&gt;="&amp;$G$17,'2023년 신조차 고장관리 세부현황'!$P:$P,"&lt;"&amp;'트랜드 분석_15일'!G$18,'2023년 신조차 고장관리 세부현황'!$S:$S,'트랜드 분석_15일'!$F387,'2023년 신조차 고장관리 세부현황'!$BC:$BC,"완료",'2023년 신조차 고장관리 세부현황'!$CY:$CY,"밸브")</f>
        <v>0</v>
      </c>
      <c r="H387" s="85">
        <f>COUNTIFS('2023년 신조차 고장관리 세부현황'!$K:$K,"128R",'2023년 신조차 고장관리 세부현황'!$P:$P,"&gt;="&amp;'트랜드 분석_15일'!G$18,'2023년 신조차 고장관리 세부현황'!$P:$P,"&lt;"&amp;'트랜드 분석_15일'!H$18,'2023년 신조차 고장관리 세부현황'!$S:$S,'트랜드 분석_15일'!$F387,'2023년 신조차 고장관리 세부현황'!$BC:$BC,"완료",'2023년 신조차 고장관리 세부현황'!$CY:$CY,"밸브")</f>
        <v>0</v>
      </c>
      <c r="I387" s="85">
        <f>COUNTIFS('2023년 신조차 고장관리 세부현황'!$K:$K,"128R",'2023년 신조차 고장관리 세부현황'!$P:$P,"&gt;="&amp;'트랜드 분석_15일'!H$18,'2023년 신조차 고장관리 세부현황'!$P:$P,"&lt;"&amp;'트랜드 분석_15일'!I$18,'2023년 신조차 고장관리 세부현황'!$S:$S,'트랜드 분석_15일'!$F387,'2023년 신조차 고장관리 세부현황'!$BC:$BC,"완료",'2023년 신조차 고장관리 세부현황'!$CY:$CY,"밸브")</f>
        <v>0</v>
      </c>
      <c r="J387" s="85">
        <f>COUNTIFS('2023년 신조차 고장관리 세부현황'!$K:$K,"128R",'2023년 신조차 고장관리 세부현황'!$P:$P,"&gt;="&amp;'트랜드 분석_15일'!I$18,'2023년 신조차 고장관리 세부현황'!$P:$P,"&lt;"&amp;'트랜드 분석_15일'!J$18,'2023년 신조차 고장관리 세부현황'!$S:$S,'트랜드 분석_15일'!$F387,'2023년 신조차 고장관리 세부현황'!$BC:$BC,"완료",'2023년 신조차 고장관리 세부현황'!$CY:$CY,"밸브")</f>
        <v>0</v>
      </c>
      <c r="K387" s="85">
        <f>COUNTIFS('2023년 신조차 고장관리 세부현황'!$K:$K,"128R",'2023년 신조차 고장관리 세부현황'!$P:$P,"&gt;="&amp;'트랜드 분석_15일'!J$18,'2023년 신조차 고장관리 세부현황'!$P:$P,"&lt;"&amp;'트랜드 분석_15일'!K$18,'2023년 신조차 고장관리 세부현황'!$S:$S,'트랜드 분석_15일'!$F387,'2023년 신조차 고장관리 세부현황'!$BC:$BC,"완료",'2023년 신조차 고장관리 세부현황'!$CY:$CY,"밸브")</f>
        <v>0</v>
      </c>
      <c r="L387" s="85">
        <f>COUNTIFS('2023년 신조차 고장관리 세부현황'!$K:$K,"128R",'2023년 신조차 고장관리 세부현황'!$P:$P,"&gt;="&amp;'트랜드 분석_15일'!K$18,'2023년 신조차 고장관리 세부현황'!$P:$P,"&lt;"&amp;'트랜드 분석_15일'!L$18,'2023년 신조차 고장관리 세부현황'!$S:$S,'트랜드 분석_15일'!$F387,'2023년 신조차 고장관리 세부현황'!$BC:$BC,"완료",'2023년 신조차 고장관리 세부현황'!$CY:$CY,"밸브")</f>
        <v>0</v>
      </c>
      <c r="M387" s="85">
        <f>COUNTIFS('2023년 신조차 고장관리 세부현황'!$K:$K,"128R",'2023년 신조차 고장관리 세부현황'!$P:$P,"&gt;="&amp;'트랜드 분석_15일'!L$18,'2023년 신조차 고장관리 세부현황'!$P:$P,"&lt;"&amp;'트랜드 분석_15일'!M$18,'2023년 신조차 고장관리 세부현황'!$S:$S,'트랜드 분석_15일'!$F387,'2023년 신조차 고장관리 세부현황'!$BC:$BC,"완료",'2023년 신조차 고장관리 세부현황'!$CY:$CY,"밸브")</f>
        <v>0</v>
      </c>
      <c r="N387" s="85">
        <f>COUNTIFS('2023년 신조차 고장관리 세부현황'!$K:$K,"128R",'2023년 신조차 고장관리 세부현황'!$P:$P,"&gt;="&amp;'트랜드 분석_15일'!M$18,'2023년 신조차 고장관리 세부현황'!$P:$P,"&lt;"&amp;'트랜드 분석_15일'!N$18,'2023년 신조차 고장관리 세부현황'!$S:$S,'트랜드 분석_15일'!$F387,'2023년 신조차 고장관리 세부현황'!$BC:$BC,"완료",'2023년 신조차 고장관리 세부현황'!$CY:$CY,"밸브")</f>
        <v>0</v>
      </c>
      <c r="O387" s="85">
        <f>COUNTIFS('2023년 신조차 고장관리 세부현황'!$K:$K,"128R",'2023년 신조차 고장관리 세부현황'!$P:$P,"&gt;="&amp;'트랜드 분석_15일'!N$18,'2023년 신조차 고장관리 세부현황'!$P:$P,"&lt;"&amp;'트랜드 분석_15일'!O$18,'2023년 신조차 고장관리 세부현황'!$S:$S,'트랜드 분석_15일'!$F387,'2023년 신조차 고장관리 세부현황'!$BC:$BC,"완료",'2023년 신조차 고장관리 세부현황'!$CY:$CY,"밸브")</f>
        <v>0</v>
      </c>
      <c r="P387" s="85">
        <f>COUNTIFS('2023년 신조차 고장관리 세부현황'!$K:$K,"128R",'2023년 신조차 고장관리 세부현황'!$P:$P,"&gt;="&amp;'트랜드 분석_15일'!O$18,'2023년 신조차 고장관리 세부현황'!$P:$P,"&lt;"&amp;'트랜드 분석_15일'!P$18,'2023년 신조차 고장관리 세부현황'!$S:$S,'트랜드 분석_15일'!$F387,'2023년 신조차 고장관리 세부현황'!$BC:$BC,"완료",'2023년 신조차 고장관리 세부현황'!$CY:$CY,"밸브")</f>
        <v>0</v>
      </c>
      <c r="Q387" s="85">
        <f>COUNTIFS('2023년 신조차 고장관리 세부현황'!$K:$K,"128R",'2023년 신조차 고장관리 세부현황'!$P:$P,"&gt;="&amp;'트랜드 분석_15일'!P$18,'2023년 신조차 고장관리 세부현황'!$P:$P,"&lt;"&amp;'트랜드 분석_15일'!Q$18,'2023년 신조차 고장관리 세부현황'!$S:$S,'트랜드 분석_15일'!$F387,'2023년 신조차 고장관리 세부현황'!$BC:$BC,"완료",'2023년 신조차 고장관리 세부현황'!$CY:$CY,"밸브")</f>
        <v>0</v>
      </c>
      <c r="R387" s="85">
        <f>COUNTIFS('2023년 신조차 고장관리 세부현황'!$K:$K,"128R",'2023년 신조차 고장관리 세부현황'!$P:$P,"&gt;="&amp;'트랜드 분석_15일'!Q$18,'2023년 신조차 고장관리 세부현황'!$P:$P,"&lt;"&amp;'트랜드 분석_15일'!R$18,'2023년 신조차 고장관리 세부현황'!$S:$S,'트랜드 분석_15일'!$F387,'2023년 신조차 고장관리 세부현황'!$BC:$BC,"완료",'2023년 신조차 고장관리 세부현황'!$CY:$CY,"밸브")</f>
        <v>0</v>
      </c>
      <c r="S387" s="85">
        <f>COUNTIFS('2023년 신조차 고장관리 세부현황'!$K:$K,"128R",'2023년 신조차 고장관리 세부현황'!$P:$P,"&gt;="&amp;'트랜드 분석_15일'!R$18,'2023년 신조차 고장관리 세부현황'!$P:$P,"&lt;"&amp;'트랜드 분석_15일'!S$18,'2023년 신조차 고장관리 세부현황'!$S:$S,'트랜드 분석_15일'!$F387,'2023년 신조차 고장관리 세부현황'!$BC:$BC,"완료",'2023년 신조차 고장관리 세부현황'!$CY:$CY,"밸브")</f>
        <v>0</v>
      </c>
      <c r="T387" s="85">
        <f>COUNTIFS('2023년 신조차 고장관리 세부현황'!$K:$K,"128R",'2023년 신조차 고장관리 세부현황'!$P:$P,"&gt;="&amp;'트랜드 분석_15일'!S$18,'2023년 신조차 고장관리 세부현황'!$P:$P,"&lt;"&amp;'트랜드 분석_15일'!T$18,'2023년 신조차 고장관리 세부현황'!$S:$S,'트랜드 분석_15일'!$F387,'2023년 신조차 고장관리 세부현황'!$BC:$BC,"완료",'2023년 신조차 고장관리 세부현황'!$CY:$CY,"밸브")</f>
        <v>0</v>
      </c>
      <c r="U387" s="85">
        <f>COUNTIFS('2023년 신조차 고장관리 세부현황'!$K:$K,"128R",'2023년 신조차 고장관리 세부현황'!$P:$P,"&gt;="&amp;'트랜드 분석_15일'!T$18,'2023년 신조차 고장관리 세부현황'!$P:$P,"&lt;"&amp;'트랜드 분석_15일'!U$18,'2023년 신조차 고장관리 세부현황'!$S:$S,'트랜드 분석_15일'!$F387,'2023년 신조차 고장관리 세부현황'!$BC:$BC,"완료",'2023년 신조차 고장관리 세부현황'!$CY:$CY,"밸브")</f>
        <v>0</v>
      </c>
      <c r="V387" s="85">
        <f>COUNTIFS('2023년 신조차 고장관리 세부현황'!$K:$K,"128R",'2023년 신조차 고장관리 세부현황'!$P:$P,"&gt;="&amp;'트랜드 분석_15일'!U$18,'2023년 신조차 고장관리 세부현황'!$P:$P,"&lt;"&amp;'트랜드 분석_15일'!V$18,'2023년 신조차 고장관리 세부현황'!$S:$S,'트랜드 분석_15일'!$F387,'2023년 신조차 고장관리 세부현황'!$BC:$BC,"완료",'2023년 신조차 고장관리 세부현황'!$CY:$CY,"밸브")</f>
        <v>0</v>
      </c>
      <c r="W387" s="85">
        <f>COUNTIFS('2023년 신조차 고장관리 세부현황'!$K:$K,"128R",'2023년 신조차 고장관리 세부현황'!$P:$P,"&gt;="&amp;'트랜드 분석_15일'!V$18,'2023년 신조차 고장관리 세부현황'!$P:$P,"&lt;"&amp;'트랜드 분석_15일'!W$18,'2023년 신조차 고장관리 세부현황'!$S:$S,'트랜드 분석_15일'!$F387,'2023년 신조차 고장관리 세부현황'!$BC:$BC,"완료",'2023년 신조차 고장관리 세부현황'!$CY:$CY,"밸브")</f>
        <v>0</v>
      </c>
      <c r="X387" s="85">
        <f>COUNTIFS('2023년 신조차 고장관리 세부현황'!$K:$K,"128R",'2023년 신조차 고장관리 세부현황'!$P:$P,"&gt;="&amp;'트랜드 분석_15일'!W$18,'2023년 신조차 고장관리 세부현황'!$P:$P,"&lt;"&amp;'트랜드 분석_15일'!X$18,'2023년 신조차 고장관리 세부현황'!$S:$S,'트랜드 분석_15일'!$F387,'2023년 신조차 고장관리 세부현황'!$BC:$BC,"완료",'2023년 신조차 고장관리 세부현황'!$CY:$CY,"밸브")</f>
        <v>0</v>
      </c>
      <c r="Y387" s="85">
        <f>COUNTIFS('2023년 신조차 고장관리 세부현황'!$K:$K,"128R",'2023년 신조차 고장관리 세부현황'!$P:$P,"&gt;="&amp;'트랜드 분석_15일'!X$18,'2023년 신조차 고장관리 세부현황'!$P:$P,"&lt;"&amp;'트랜드 분석_15일'!Y$18,'2023년 신조차 고장관리 세부현황'!$S:$S,'트랜드 분석_15일'!$F387,'2023년 신조차 고장관리 세부현황'!$BC:$BC,"완료",'2023년 신조차 고장관리 세부현황'!$CY:$CY,"밸브")</f>
        <v>0</v>
      </c>
      <c r="Z387" s="85">
        <f>COUNTIFS('2023년 신조차 고장관리 세부현황'!$K:$K,"128R",'2023년 신조차 고장관리 세부현황'!$P:$P,"&gt;="&amp;'트랜드 분석_15일'!Y$18,'2023년 신조차 고장관리 세부현황'!$P:$P,"&lt;"&amp;'트랜드 분석_15일'!Z$18,'2023년 신조차 고장관리 세부현황'!$S:$S,'트랜드 분석_15일'!$F387,'2023년 신조차 고장관리 세부현황'!$BC:$BC,"완료",'2023년 신조차 고장관리 세부현황'!$CY:$CY,"밸브")</f>
        <v>0</v>
      </c>
      <c r="AA387" s="85">
        <f>COUNTIFS('2023년 신조차 고장관리 세부현황'!$K:$K,"128R",'2023년 신조차 고장관리 세부현황'!$P:$P,"&gt;="&amp;'트랜드 분석_15일'!Z$18,'2023년 신조차 고장관리 세부현황'!$P:$P,"&lt;"&amp;'트랜드 분석_15일'!AA$18,'2023년 신조차 고장관리 세부현황'!$S:$S,'트랜드 분석_15일'!$F387,'2023년 신조차 고장관리 세부현황'!$BC:$BC,"완료",'2023년 신조차 고장관리 세부현황'!$CY:$CY,"밸브")</f>
        <v>0</v>
      </c>
      <c r="AB387" s="85">
        <f>COUNTIFS('2023년 신조차 고장관리 세부현황'!$K:$K,"128R",'2023년 신조차 고장관리 세부현황'!$P:$P,"&gt;="&amp;'트랜드 분석_15일'!AA$18,'2023년 신조차 고장관리 세부현황'!$P:$P,"&lt;"&amp;'트랜드 분석_15일'!AB$18,'2023년 신조차 고장관리 세부현황'!$S:$S,'트랜드 분석_15일'!$F387,'2023년 신조차 고장관리 세부현황'!$BC:$BC,"완료",'2023년 신조차 고장관리 세부현황'!$CY:$CY,"밸브")</f>
        <v>0</v>
      </c>
      <c r="AC387" s="85">
        <f>COUNTIFS('2023년 신조차 고장관리 세부현황'!$K:$K,"128R",'2023년 신조차 고장관리 세부현황'!$P:$P,"&gt;="&amp;'트랜드 분석_15일'!AB$18,'2023년 신조차 고장관리 세부현황'!$P:$P,"&lt;"&amp;'트랜드 분석_15일'!AC$18,'2023년 신조차 고장관리 세부현황'!$S:$S,'트랜드 분석_15일'!$F387,'2023년 신조차 고장관리 세부현황'!$BC:$BC,"완료",'2023년 신조차 고장관리 세부현황'!$CY:$CY,"밸브")</f>
        <v>0</v>
      </c>
      <c r="AD387" s="85">
        <f>COUNTIFS('2023년 신조차 고장관리 세부현황'!$K:$K,"128R",'2023년 신조차 고장관리 세부현황'!$P:$P,"&gt;="&amp;'트랜드 분석_15일'!AC$18,'2023년 신조차 고장관리 세부현황'!$P:$P,"&lt;"&amp;'트랜드 분석_15일'!AD$18,'2023년 신조차 고장관리 세부현황'!$S:$S,'트랜드 분석_15일'!$F387,'2023년 신조차 고장관리 세부현황'!$BC:$BC,"완료",'2023년 신조차 고장관리 세부현황'!$CY:$CY,"밸브")</f>
        <v>0</v>
      </c>
      <c r="AE387" s="85">
        <f>COUNTIFS('2023년 신조차 고장관리 세부현황'!$K:$K,"128R",'2023년 신조차 고장관리 세부현황'!$P:$P,"&gt;="&amp;'트랜드 분석_15일'!AD$18,'2023년 신조차 고장관리 세부현황'!$P:$P,"&lt;"&amp;'트랜드 분석_15일'!AE$18,'2023년 신조차 고장관리 세부현황'!$S:$S,'트랜드 분석_15일'!$F387,'2023년 신조차 고장관리 세부현황'!$BC:$BC,"완료",'2023년 신조차 고장관리 세부현황'!$CY:$CY,"밸브")</f>
        <v>0</v>
      </c>
      <c r="AF387" s="85">
        <f>COUNTIFS('2023년 신조차 고장관리 세부현황'!$K:$K,"128R",'2023년 신조차 고장관리 세부현황'!$P:$P,"&gt;="&amp;'트랜드 분석_15일'!AE$18,'2023년 신조차 고장관리 세부현황'!$P:$P,"&lt;"&amp;'트랜드 분석_15일'!AF$18,'2023년 신조차 고장관리 세부현황'!$S:$S,'트랜드 분석_15일'!$F387,'2023년 신조차 고장관리 세부현황'!$BC:$BC,"완료",'2023년 신조차 고장관리 세부현황'!$CY:$CY,"밸브")</f>
        <v>0</v>
      </c>
      <c r="AG387" s="85">
        <f>COUNTIFS('2023년 신조차 고장관리 세부현황'!$K:$K,"128R",'2023년 신조차 고장관리 세부현황'!$P:$P,"&gt;="&amp;'트랜드 분석_15일'!AF$18,'2023년 신조차 고장관리 세부현황'!$P:$P,"&lt;"&amp;'트랜드 분석_15일'!AG$18,'2023년 신조차 고장관리 세부현황'!$S:$S,'트랜드 분석_15일'!$F387,'2023년 신조차 고장관리 세부현황'!$BC:$BC,"완료",'2023년 신조차 고장관리 세부현황'!$CY:$CY,"밸브")</f>
        <v>0</v>
      </c>
      <c r="AH387" s="85">
        <f>COUNTIFS('2023년 신조차 고장관리 세부현황'!$K:$K,"128R",'2023년 신조차 고장관리 세부현황'!$P:$P,"&gt;="&amp;'트랜드 분석_15일'!AG$18,'2023년 신조차 고장관리 세부현황'!$P:$P,"&lt;"&amp;'트랜드 분석_15일'!AH$18,'2023년 신조차 고장관리 세부현황'!$S:$S,'트랜드 분석_15일'!$F387,'2023년 신조차 고장관리 세부현황'!$BC:$BC,"완료",'2023년 신조차 고장관리 세부현황'!$CY:$CY,"밸브")</f>
        <v>0</v>
      </c>
      <c r="AI387" s="85">
        <f>COUNTIFS('2023년 신조차 고장관리 세부현황'!$K:$K,"128R",'2023년 신조차 고장관리 세부현황'!$P:$P,"&gt;="&amp;'트랜드 분석_15일'!AH$18,'2023년 신조차 고장관리 세부현황'!$P:$P,"&lt;"&amp;'트랜드 분석_15일'!AI$18,'2023년 신조차 고장관리 세부현황'!$S:$S,'트랜드 분석_15일'!$F387,'2023년 신조차 고장관리 세부현황'!$BC:$BC,"완료",'2023년 신조차 고장관리 세부현황'!$CY:$CY,"밸브")</f>
        <v>0</v>
      </c>
      <c r="AJ387" s="85">
        <f>COUNTIFS('2023년 신조차 고장관리 세부현황'!$K:$K,"128R",'2023년 신조차 고장관리 세부현황'!$P:$P,"&gt;="&amp;'트랜드 분석_15일'!AI$18,'2023년 신조차 고장관리 세부현황'!$P:$P,"&lt;"&amp;'트랜드 분석_15일'!AJ$18,'2023년 신조차 고장관리 세부현황'!$S:$S,'트랜드 분석_15일'!$F387,'2023년 신조차 고장관리 세부현황'!$BC:$BC,"완료",'2023년 신조차 고장관리 세부현황'!$CY:$CY,"밸브")</f>
        <v>0</v>
      </c>
      <c r="AK387" s="85">
        <f>COUNTIFS('2023년 신조차 고장관리 세부현황'!$K:$K,"128R",'2023년 신조차 고장관리 세부현황'!$P:$P,"&gt;="&amp;'트랜드 분석_15일'!AJ$18,'2023년 신조차 고장관리 세부현황'!$P:$P,"&lt;"&amp;'트랜드 분석_15일'!AK$18,'2023년 신조차 고장관리 세부현황'!$S:$S,'트랜드 분석_15일'!$F387,'2023년 신조차 고장관리 세부현황'!$BC:$BC,"완료",'2023년 신조차 고장관리 세부현황'!$CY:$CY,"밸브")</f>
        <v>0</v>
      </c>
      <c r="AL387" s="85">
        <f>COUNTIFS('2023년 신조차 고장관리 세부현황'!$K:$K,"128R",'2023년 신조차 고장관리 세부현황'!$P:$P,"&gt;="&amp;'트랜드 분석_15일'!AK$18,'2023년 신조차 고장관리 세부현황'!$P:$P,"&lt;"&amp;'트랜드 분석_15일'!AL$18,'2023년 신조차 고장관리 세부현황'!$S:$S,'트랜드 분석_15일'!$F387,'2023년 신조차 고장관리 세부현황'!$BC:$BC,"완료",'2023년 신조차 고장관리 세부현황'!$CY:$CY,"밸브")</f>
        <v>0</v>
      </c>
      <c r="AM387" s="85">
        <f>COUNTIFS('2023년 신조차 고장관리 세부현황'!$K:$K,"128R",'2023년 신조차 고장관리 세부현황'!$P:$P,"&gt;="&amp;'트랜드 분석_15일'!AL$18,'2023년 신조차 고장관리 세부현황'!$P:$P,"&lt;"&amp;'트랜드 분석_15일'!AM$18,'2023년 신조차 고장관리 세부현황'!$S:$S,'트랜드 분석_15일'!$F387,'2023년 신조차 고장관리 세부현황'!$BC:$BC,"완료",'2023년 신조차 고장관리 세부현황'!$CY:$CY,"밸브")</f>
        <v>0</v>
      </c>
      <c r="AN387" s="85">
        <f>COUNTIFS('2023년 신조차 고장관리 세부현황'!$K:$K,"128R",'2023년 신조차 고장관리 세부현황'!$P:$P,"&gt;="&amp;'트랜드 분석_15일'!AM$18,'2023년 신조차 고장관리 세부현황'!$P:$P,"&lt;"&amp;'트랜드 분석_15일'!AN$18,'2023년 신조차 고장관리 세부현황'!$S:$S,'트랜드 분석_15일'!$F387,'2023년 신조차 고장관리 세부현황'!$BC:$BC,"완료",'2023년 신조차 고장관리 세부현황'!$CY:$CY,"밸브")</f>
        <v>0</v>
      </c>
      <c r="AO387" s="85">
        <f>COUNTIFS('2023년 신조차 고장관리 세부현황'!$K:$K,"128R",'2023년 신조차 고장관리 세부현황'!$P:$P,"&gt;="&amp;'트랜드 분석_15일'!AN$18,'2023년 신조차 고장관리 세부현황'!$P:$P,"&lt;"&amp;'트랜드 분석_15일'!AO$18,'2023년 신조차 고장관리 세부현황'!$S:$S,'트랜드 분석_15일'!$F387,'2023년 신조차 고장관리 세부현황'!$BC:$BC,"완료",'2023년 신조차 고장관리 세부현황'!$CY:$CY,"밸브")</f>
        <v>0</v>
      </c>
      <c r="AP387" s="85">
        <f>COUNTIFS('2023년 신조차 고장관리 세부현황'!$K:$K,"128R",'2023년 신조차 고장관리 세부현황'!$P:$P,"&gt;="&amp;'트랜드 분석_15일'!AO$18,'2023년 신조차 고장관리 세부현황'!$P:$P,"&lt;"&amp;'트랜드 분석_15일'!AP$18,'2023년 신조차 고장관리 세부현황'!$S:$S,'트랜드 분석_15일'!$F387,'2023년 신조차 고장관리 세부현황'!$BC:$BC,"완료",'2023년 신조차 고장관리 세부현황'!$CY:$CY,"밸브")</f>
        <v>0</v>
      </c>
      <c r="AQ387" s="85">
        <f>COUNTIFS('2023년 신조차 고장관리 세부현황'!$K:$K,"128R",'2023년 신조차 고장관리 세부현황'!$P:$P,"&gt;="&amp;'트랜드 분석_15일'!AP$18,'2023년 신조차 고장관리 세부현황'!$P:$P,"&lt;"&amp;'트랜드 분석_15일'!AQ$18,'2023년 신조차 고장관리 세부현황'!$S:$S,'트랜드 분석_15일'!$F387,'2023년 신조차 고장관리 세부현황'!$BC:$BC,"완료",'2023년 신조차 고장관리 세부현황'!$CY:$CY,"밸브")</f>
        <v>0</v>
      </c>
      <c r="AR387" s="85">
        <f>COUNTIFS('2023년 신조차 고장관리 세부현황'!$K:$K,"128R",'2023년 신조차 고장관리 세부현황'!$P:$P,"&gt;="&amp;'트랜드 분석_15일'!AQ$18,'2023년 신조차 고장관리 세부현황'!$P:$P,"&lt;"&amp;'트랜드 분석_15일'!AR$18,'2023년 신조차 고장관리 세부현황'!$S:$S,'트랜드 분석_15일'!$F387,'2023년 신조차 고장관리 세부현황'!$BC:$BC,"완료",'2023년 신조차 고장관리 세부현황'!$CY:$CY,"밸브")</f>
        <v>0</v>
      </c>
      <c r="AS387" s="85">
        <f>COUNTIFS('2023년 신조차 고장관리 세부현황'!$K:$K,"128R",'2023년 신조차 고장관리 세부현황'!$P:$P,"&gt;="&amp;'트랜드 분석_15일'!AR$18,'2023년 신조차 고장관리 세부현황'!$P:$P,"&lt;"&amp;'트랜드 분석_15일'!AS$18,'2023년 신조차 고장관리 세부현황'!$S:$S,'트랜드 분석_15일'!$F387,'2023년 신조차 고장관리 세부현황'!$BC:$BC,"완료",'2023년 신조차 고장관리 세부현황'!$CY:$CY,"밸브")</f>
        <v>0</v>
      </c>
      <c r="AT387" s="85">
        <f>COUNTIFS('2023년 신조차 고장관리 세부현황'!$K:$K,"128R",'2023년 신조차 고장관리 세부현황'!$P:$P,"&gt;="&amp;'트랜드 분석_15일'!AS$18,'2023년 신조차 고장관리 세부현황'!$P:$P,"&lt;"&amp;'트랜드 분석_15일'!AT$18,'2023년 신조차 고장관리 세부현황'!$S:$S,'트랜드 분석_15일'!$F387,'2023년 신조차 고장관리 세부현황'!$BC:$BC,"완료",'2023년 신조차 고장관리 세부현황'!$CY:$CY,"밸브")</f>
        <v>0</v>
      </c>
      <c r="AU387" s="85">
        <f>COUNTIFS('2023년 신조차 고장관리 세부현황'!$K:$K,"128R",'2023년 신조차 고장관리 세부현황'!$P:$P,"&gt;="&amp;'트랜드 분석_15일'!AT$18,'2023년 신조차 고장관리 세부현황'!$P:$P,"&lt;"&amp;'트랜드 분석_15일'!AU$18,'2023년 신조차 고장관리 세부현황'!$S:$S,'트랜드 분석_15일'!$F387,'2023년 신조차 고장관리 세부현황'!$BC:$BC,"완료",'2023년 신조차 고장관리 세부현황'!$CY:$CY,"밸브")</f>
        <v>0</v>
      </c>
      <c r="AV387" s="85">
        <f>COUNTIFS('2023년 신조차 고장관리 세부현황'!$K:$K,"128R",'2023년 신조차 고장관리 세부현황'!$P:$P,"&gt;="&amp;'트랜드 분석_15일'!AU$18,'2023년 신조차 고장관리 세부현황'!$P:$P,"&lt;"&amp;'트랜드 분석_15일'!AV$18,'2023년 신조차 고장관리 세부현황'!$S:$S,'트랜드 분석_15일'!$F387,'2023년 신조차 고장관리 세부현황'!$BC:$BC,"완료",'2023년 신조차 고장관리 세부현황'!$CY:$CY,"밸브")</f>
        <v>0</v>
      </c>
      <c r="AW387" s="85">
        <f>COUNTIFS('2023년 신조차 고장관리 세부현황'!$K:$K,"128R",'2023년 신조차 고장관리 세부현황'!$P:$P,"&gt;="&amp;'트랜드 분석_15일'!AV$18,'2023년 신조차 고장관리 세부현황'!$P:$P,"&lt;"&amp;'트랜드 분석_15일'!AW$18,'2023년 신조차 고장관리 세부현황'!$S:$S,'트랜드 분석_15일'!$F387,'2023년 신조차 고장관리 세부현황'!$BC:$BC,"완료",'2023년 신조차 고장관리 세부현황'!$CY:$CY,"밸브")</f>
        <v>0</v>
      </c>
      <c r="AX387" s="85">
        <f>COUNTIFS('2023년 신조차 고장관리 세부현황'!$K:$K,"128R",'2023년 신조차 고장관리 세부현황'!$P:$P,"&gt;="&amp;'트랜드 분석_15일'!AW$18,'2023년 신조차 고장관리 세부현황'!$P:$P,"&lt;"&amp;'트랜드 분석_15일'!AX$18,'2023년 신조차 고장관리 세부현황'!$S:$S,'트랜드 분석_15일'!$F387,'2023년 신조차 고장관리 세부현황'!$BC:$BC,"완료",'2023년 신조차 고장관리 세부현황'!$CY:$CY,"밸브")</f>
        <v>0</v>
      </c>
      <c r="AY387" s="85">
        <f>COUNTIFS('2023년 신조차 고장관리 세부현황'!$K:$K,"128R",'2023년 신조차 고장관리 세부현황'!$P:$P,"&gt;="&amp;'트랜드 분석_15일'!AX$18,'2023년 신조차 고장관리 세부현황'!$P:$P,"&lt;"&amp;'트랜드 분석_15일'!AY$18,'2023년 신조차 고장관리 세부현황'!$S:$S,'트랜드 분석_15일'!$F387,'2023년 신조차 고장관리 세부현황'!$BC:$BC,"완료",'2023년 신조차 고장관리 세부현황'!$CY:$CY,"밸브")</f>
        <v>0</v>
      </c>
      <c r="AZ387" s="85">
        <f>COUNTIFS('2023년 신조차 고장관리 세부현황'!$K:$K,"128R",'2023년 신조차 고장관리 세부현황'!$P:$P,"&gt;="&amp;'트랜드 분석_15일'!AY$18,'2023년 신조차 고장관리 세부현황'!$P:$P,"&lt;"&amp;'트랜드 분석_15일'!AZ$18,'2023년 신조차 고장관리 세부현황'!$S:$S,'트랜드 분석_15일'!$F387,'2023년 신조차 고장관리 세부현황'!$BC:$BC,"완료",'2023년 신조차 고장관리 세부현황'!$CY:$CY,"밸브")</f>
        <v>0</v>
      </c>
      <c r="BA387" s="85">
        <f>COUNTIFS('2023년 신조차 고장관리 세부현황'!$K:$K,"128R",'2023년 신조차 고장관리 세부현황'!$P:$P,"&gt;="&amp;'트랜드 분석_15일'!AZ$18,'2023년 신조차 고장관리 세부현황'!$P:$P,"&lt;"&amp;'트랜드 분석_15일'!BA$18,'2023년 신조차 고장관리 세부현황'!$S:$S,'트랜드 분석_15일'!$F387,'2023년 신조차 고장관리 세부현황'!$BC:$BC,"완료",'2023년 신조차 고장관리 세부현황'!$CY:$CY,"밸브")</f>
        <v>0</v>
      </c>
      <c r="BB387" s="85">
        <f>COUNTIFS('2023년 신조차 고장관리 세부현황'!$K:$K,"128R",'2023년 신조차 고장관리 세부현황'!$P:$P,"&gt;="&amp;'트랜드 분석_15일'!BA$18,'2023년 신조차 고장관리 세부현황'!$P:$P,"&lt;"&amp;'트랜드 분석_15일'!BB$18,'2023년 신조차 고장관리 세부현황'!$S:$S,'트랜드 분석_15일'!$F387,'2023년 신조차 고장관리 세부현황'!$BC:$BC,"완료",'2023년 신조차 고장관리 세부현황'!$CY:$CY,"밸브")</f>
        <v>0</v>
      </c>
      <c r="BC387" s="85">
        <f>COUNTIFS('2023년 신조차 고장관리 세부현황'!$K:$K,"128R",'2023년 신조차 고장관리 세부현황'!$P:$P,"&gt;="&amp;'트랜드 분석_15일'!BB$18,'2023년 신조차 고장관리 세부현황'!$P:$P,"&lt;"&amp;'트랜드 분석_15일'!BC$18,'2023년 신조차 고장관리 세부현황'!$S:$S,'트랜드 분석_15일'!$F387,'2023년 신조차 고장관리 세부현황'!$BC:$BC,"완료",'2023년 신조차 고장관리 세부현황'!$CY:$CY,"밸브")</f>
        <v>0</v>
      </c>
      <c r="BD387" s="85">
        <f>COUNTIFS('2023년 신조차 고장관리 세부현황'!$K:$K,"128R",'2023년 신조차 고장관리 세부현황'!$P:$P,"&gt;="&amp;'트랜드 분석_15일'!BC$18,'2023년 신조차 고장관리 세부현황'!$P:$P,"&lt;"&amp;'트랜드 분석_15일'!BD$18,'2023년 신조차 고장관리 세부현황'!$S:$S,'트랜드 분석_15일'!$F387,'2023년 신조차 고장관리 세부현황'!$BC:$BC,"완료",'2023년 신조차 고장관리 세부현황'!$CY:$CY,"밸브")</f>
        <v>0</v>
      </c>
      <c r="BE387" s="85">
        <f>COUNTIFS('2023년 신조차 고장관리 세부현황'!$K:$K,"128R",'2023년 신조차 고장관리 세부현황'!$P:$P,"&gt;="&amp;'트랜드 분석_15일'!BD$18,'2023년 신조차 고장관리 세부현황'!$P:$P,"&lt;"&amp;'트랜드 분석_15일'!BE$18,'2023년 신조차 고장관리 세부현황'!$S:$S,'트랜드 분석_15일'!$F387,'2023년 신조차 고장관리 세부현황'!$BC:$BC,"완료",'2023년 신조차 고장관리 세부현황'!$CY:$CY,"밸브")</f>
        <v>0</v>
      </c>
      <c r="BF387" s="85">
        <f>COUNTIFS('2023년 신조차 고장관리 세부현황'!$K:$K,"128R",'2023년 신조차 고장관리 세부현황'!$P:$P,"&gt;="&amp;'트랜드 분석_15일'!BE$18,'2023년 신조차 고장관리 세부현황'!$P:$P,"&lt;"&amp;'트랜드 분석_15일'!BF$18,'2023년 신조차 고장관리 세부현황'!$S:$S,'트랜드 분석_15일'!$F387,'2023년 신조차 고장관리 세부현황'!$BC:$BC,"완료",'2023년 신조차 고장관리 세부현황'!$CY:$CY,"밸브")</f>
        <v>0</v>
      </c>
      <c r="BG387" s="85">
        <f>COUNTIFS('2023년 신조차 고장관리 세부현황'!$K:$K,"128R",'2023년 신조차 고장관리 세부현황'!$P:$P,"&gt;="&amp;'트랜드 분석_15일'!BF$18,'2023년 신조차 고장관리 세부현황'!$P:$P,"&lt;"&amp;'트랜드 분석_15일'!BG$18,'2023년 신조차 고장관리 세부현황'!$S:$S,'트랜드 분석_15일'!$F387,'2023년 신조차 고장관리 세부현황'!$BC:$BC,"완료",'2023년 신조차 고장관리 세부현황'!$CY:$CY,"밸브")</f>
        <v>0</v>
      </c>
      <c r="BH387" s="85">
        <f>COUNTIFS('2023년 신조차 고장관리 세부현황'!$K:$K,"128R",'2023년 신조차 고장관리 세부현황'!$P:$P,"&gt;="&amp;'트랜드 분석_15일'!BG$18,'2023년 신조차 고장관리 세부현황'!$P:$P,"&lt;"&amp;'트랜드 분석_15일'!BH$18,'2023년 신조차 고장관리 세부현황'!$S:$S,'트랜드 분석_15일'!$F387,'2023년 신조차 고장관리 세부현황'!$BC:$BC,"완료",'2023년 신조차 고장관리 세부현황'!$CY:$CY,"밸브")</f>
        <v>0</v>
      </c>
      <c r="BI387" s="85">
        <f>COUNTIFS('2023년 신조차 고장관리 세부현황'!$K:$K,"128R",'2023년 신조차 고장관리 세부현황'!$P:$P,"&gt;="&amp;'트랜드 분석_15일'!BH$18,'2023년 신조차 고장관리 세부현황'!$P:$P,"&lt;"&amp;'트랜드 분석_15일'!BI$18,'2023년 신조차 고장관리 세부현황'!$S:$S,'트랜드 분석_15일'!$F387,'2023년 신조차 고장관리 세부현황'!$BC:$BC,"완료",'2023년 신조차 고장관리 세부현황'!$CY:$CY,"밸브")</f>
        <v>0</v>
      </c>
      <c r="BJ387" s="85">
        <f>COUNTIFS('2023년 신조차 고장관리 세부현황'!$K:$K,"128R",'2023년 신조차 고장관리 세부현황'!$P:$P,"&gt;="&amp;'트랜드 분석_15일'!BI$18,'2023년 신조차 고장관리 세부현황'!$P:$P,"&lt;"&amp;'트랜드 분석_15일'!BJ$18,'2023년 신조차 고장관리 세부현황'!$S:$S,'트랜드 분석_15일'!$F387,'2023년 신조차 고장관리 세부현황'!$BC:$BC,"완료",'2023년 신조차 고장관리 세부현황'!$CY:$CY,"밸브")</f>
        <v>0</v>
      </c>
      <c r="BK387" s="85">
        <f>COUNTIFS('2023년 신조차 고장관리 세부현황'!$K:$K,"128R",'2023년 신조차 고장관리 세부현황'!$P:$P,"&gt;="&amp;'트랜드 분석_15일'!BJ$18,'2023년 신조차 고장관리 세부현황'!$P:$P,"&lt;"&amp;'트랜드 분석_15일'!BK$18,'2023년 신조차 고장관리 세부현황'!$S:$S,'트랜드 분석_15일'!$F387,'2023년 신조차 고장관리 세부현황'!$BC:$BC,"완료",'2023년 신조차 고장관리 세부현황'!$CY:$CY,"밸브")</f>
        <v>0</v>
      </c>
      <c r="BL387" s="85">
        <f>COUNTIFS('2023년 신조차 고장관리 세부현황'!$K:$K,"128R",'2023년 신조차 고장관리 세부현황'!$P:$P,"&gt;="&amp;'트랜드 분석_15일'!BK$18,'2023년 신조차 고장관리 세부현황'!$P:$P,"&lt;"&amp;'트랜드 분석_15일'!BL$18,'2023년 신조차 고장관리 세부현황'!$S:$S,'트랜드 분석_15일'!$F387,'2023년 신조차 고장관리 세부현황'!$BC:$BC,"완료",'2023년 신조차 고장관리 세부현황'!$CY:$CY,"밸브")</f>
        <v>0</v>
      </c>
      <c r="BM387" s="85">
        <f>COUNTIFS('2023년 신조차 고장관리 세부현황'!$K:$K,"128R",'2023년 신조차 고장관리 세부현황'!$P:$P,"&gt;="&amp;'트랜드 분석_15일'!BL$18,'2023년 신조차 고장관리 세부현황'!$P:$P,"&lt;"&amp;'트랜드 분석_15일'!BM$18,'2023년 신조차 고장관리 세부현황'!$S:$S,'트랜드 분석_15일'!$F387,'2023년 신조차 고장관리 세부현황'!$BC:$BC,"완료",'2023년 신조차 고장관리 세부현황'!$CY:$CY,"밸브")</f>
        <v>0</v>
      </c>
      <c r="BN387" s="85">
        <f>COUNTIFS('2023년 신조차 고장관리 세부현황'!$K:$K,"128R",'2023년 신조차 고장관리 세부현황'!$P:$P,"&gt;="&amp;'트랜드 분석_15일'!BM$18,'2023년 신조차 고장관리 세부현황'!$P:$P,"&lt;"&amp;'트랜드 분석_15일'!BN$18,'2023년 신조차 고장관리 세부현황'!$S:$S,'트랜드 분석_15일'!$F387,'2023년 신조차 고장관리 세부현황'!$BC:$BC,"완료",'2023년 신조차 고장관리 세부현황'!$CY:$CY,"밸브")</f>
        <v>0</v>
      </c>
      <c r="BO387" s="85">
        <f>COUNTIFS('2023년 신조차 고장관리 세부현황'!$K:$K,"128R",'2023년 신조차 고장관리 세부현황'!$P:$P,"&gt;="&amp;'트랜드 분석_15일'!BN$18,'2023년 신조차 고장관리 세부현황'!$P:$P,"&lt;"&amp;'트랜드 분석_15일'!BO$18,'2023년 신조차 고장관리 세부현황'!$S:$S,'트랜드 분석_15일'!$F387,'2023년 신조차 고장관리 세부현황'!$BC:$BC,"완료",'2023년 신조차 고장관리 세부현황'!$CY:$CY,"밸브")</f>
        <v>0</v>
      </c>
      <c r="BP387" s="85">
        <f>COUNTIFS('2023년 신조차 고장관리 세부현황'!$K:$K,"128R",'2023년 신조차 고장관리 세부현황'!$P:$P,"&gt;="&amp;'트랜드 분석_15일'!BO$18,'2023년 신조차 고장관리 세부현황'!$P:$P,"&lt;"&amp;'트랜드 분석_15일'!BP$18,'2023년 신조차 고장관리 세부현황'!$S:$S,'트랜드 분석_15일'!$F387,'2023년 신조차 고장관리 세부현황'!$BC:$BC,"완료",'2023년 신조차 고장관리 세부현황'!$CY:$CY,"밸브")</f>
        <v>0</v>
      </c>
      <c r="BQ387" s="85">
        <f>COUNTIFS('2023년 신조차 고장관리 세부현황'!$K:$K,"128R",'2023년 신조차 고장관리 세부현황'!$P:$P,"&gt;="&amp;'트랜드 분석_15일'!BP$18,'2023년 신조차 고장관리 세부현황'!$P:$P,"&lt;"&amp;'트랜드 분석_15일'!BQ$18,'2023년 신조차 고장관리 세부현황'!$S:$S,'트랜드 분석_15일'!$F387,'2023년 신조차 고장관리 세부현황'!$BC:$BC,"완료",'2023년 신조차 고장관리 세부현황'!$CY:$CY,"밸브")</f>
        <v>0</v>
      </c>
      <c r="BR387" s="85">
        <f>COUNTIFS('2023년 신조차 고장관리 세부현황'!$K:$K,"128R",'2023년 신조차 고장관리 세부현황'!$P:$P,"&gt;="&amp;'트랜드 분석_15일'!BQ$18,'2023년 신조차 고장관리 세부현황'!$P:$P,"&lt;"&amp;'트랜드 분석_15일'!BR$18,'2023년 신조차 고장관리 세부현황'!$S:$S,'트랜드 분석_15일'!$F387,'2023년 신조차 고장관리 세부현황'!$BC:$BC,"완료",'2023년 신조차 고장관리 세부현황'!$CY:$CY,"밸브")</f>
        <v>0</v>
      </c>
      <c r="BS387" s="85">
        <f>COUNTIFS('2023년 신조차 고장관리 세부현황'!$K:$K,"128R",'2023년 신조차 고장관리 세부현황'!$P:$P,"&gt;="&amp;'트랜드 분석_15일'!BR$18,'2023년 신조차 고장관리 세부현황'!$P:$P,"&lt;"&amp;'트랜드 분석_15일'!BS$18,'2023년 신조차 고장관리 세부현황'!$S:$S,'트랜드 분석_15일'!$F387,'2023년 신조차 고장관리 세부현황'!$BC:$BC,"완료",'2023년 신조차 고장관리 세부현황'!$CY:$CY,"밸브")</f>
        <v>0</v>
      </c>
      <c r="BT387" s="85">
        <f>COUNTIFS('2023년 신조차 고장관리 세부현황'!$K:$K,"128R",'2023년 신조차 고장관리 세부현황'!$P:$P,"&gt;="&amp;'트랜드 분석_15일'!BS$18,'2023년 신조차 고장관리 세부현황'!$P:$P,"&lt;"&amp;'트랜드 분석_15일'!BT$18,'2023년 신조차 고장관리 세부현황'!$S:$S,'트랜드 분석_15일'!$F387,'2023년 신조차 고장관리 세부현황'!$BC:$BC,"완료",'2023년 신조차 고장관리 세부현황'!$CY:$CY,"밸브")</f>
        <v>0</v>
      </c>
      <c r="BU387" s="85">
        <f>COUNTIFS('2023년 신조차 고장관리 세부현황'!$K:$K,"128R",'2023년 신조차 고장관리 세부현황'!$P:$P,"&gt;="&amp;'트랜드 분석_15일'!BT$18,'2023년 신조차 고장관리 세부현황'!$P:$P,"&lt;"&amp;'트랜드 분석_15일'!BU$18,'2023년 신조차 고장관리 세부현황'!$S:$S,'트랜드 분석_15일'!$F387,'2023년 신조차 고장관리 세부현황'!$BC:$BC,"완료",'2023년 신조차 고장관리 세부현황'!$CY:$CY,"밸브")</f>
        <v>0</v>
      </c>
      <c r="BV387" s="85">
        <f>COUNTIFS('2023년 신조차 고장관리 세부현황'!$K:$K,"128R",'2023년 신조차 고장관리 세부현황'!$P:$P,"&gt;="&amp;'트랜드 분석_15일'!BU$18,'2023년 신조차 고장관리 세부현황'!$P:$P,"&lt;"&amp;'트랜드 분석_15일'!BV$18,'2023년 신조차 고장관리 세부현황'!$S:$S,'트랜드 분석_15일'!$F387,'2023년 신조차 고장관리 세부현황'!$BC:$BC,"완료",'2023년 신조차 고장관리 세부현황'!$CY:$CY,"밸브")</f>
        <v>0</v>
      </c>
      <c r="BW387" s="85">
        <f>COUNTIFS('2023년 신조차 고장관리 세부현황'!$K:$K,"128R",'2023년 신조차 고장관리 세부현황'!$P:$P,"&gt;="&amp;'트랜드 분석_15일'!BV$18,'2023년 신조차 고장관리 세부현황'!$P:$P,"&lt;"&amp;'트랜드 분석_15일'!BW$18,'2023년 신조차 고장관리 세부현황'!$S:$S,'트랜드 분석_15일'!$F387,'2023년 신조차 고장관리 세부현황'!$BC:$BC,"완료",'2023년 신조차 고장관리 세부현황'!$CY:$CY,"밸브")</f>
        <v>0</v>
      </c>
      <c r="BX387" s="85">
        <f>COUNTIFS('2023년 신조차 고장관리 세부현황'!$K:$K,"128R",'2023년 신조차 고장관리 세부현황'!$P:$P,"&gt;="&amp;'트랜드 분석_15일'!BW$18,'2023년 신조차 고장관리 세부현황'!$P:$P,"&lt;"&amp;'트랜드 분석_15일'!BX$18,'2023년 신조차 고장관리 세부현황'!$S:$S,'트랜드 분석_15일'!$F387,'2023년 신조차 고장관리 세부현황'!$BC:$BC,"완료",'2023년 신조차 고장관리 세부현황'!$CY:$CY,"밸브")</f>
        <v>0</v>
      </c>
      <c r="BY387" s="85">
        <f>COUNTIFS('2023년 신조차 고장관리 세부현황'!$K:$K,"128R",'2023년 신조차 고장관리 세부현황'!$P:$P,"&gt;="&amp;'트랜드 분석_15일'!BX$18,'2023년 신조차 고장관리 세부현황'!$P:$P,"&lt;"&amp;'트랜드 분석_15일'!BY$18,'2023년 신조차 고장관리 세부현황'!$S:$S,'트랜드 분석_15일'!$F387,'2023년 신조차 고장관리 세부현황'!$BC:$BC,"완료",'2023년 신조차 고장관리 세부현황'!$CY:$CY,"밸브")</f>
        <v>0</v>
      </c>
      <c r="BZ387" s="85">
        <f>COUNTIFS('2023년 신조차 고장관리 세부현황'!$K:$K,"128R",'2023년 신조차 고장관리 세부현황'!$P:$P,"&gt;="&amp;'트랜드 분석_15일'!BY$18,'2023년 신조차 고장관리 세부현황'!$P:$P,"&lt;"&amp;'트랜드 분석_15일'!BZ$18,'2023년 신조차 고장관리 세부현황'!$S:$S,'트랜드 분석_15일'!$F387,'2023년 신조차 고장관리 세부현황'!$BC:$BC,"완료",'2023년 신조차 고장관리 세부현황'!$CY:$CY,"밸브")</f>
        <v>0</v>
      </c>
      <c r="CA387" s="85">
        <f>COUNTIFS('2023년 신조차 고장관리 세부현황'!$K:$K,"128R",'2023년 신조차 고장관리 세부현황'!$P:$P,"&gt;="&amp;'트랜드 분석_15일'!BZ$18,'2023년 신조차 고장관리 세부현황'!$P:$P,"&lt;"&amp;'트랜드 분석_15일'!CA$18,'2023년 신조차 고장관리 세부현황'!$S:$S,'트랜드 분석_15일'!$F387,'2023년 신조차 고장관리 세부현황'!$BC:$BC,"완료",'2023년 신조차 고장관리 세부현황'!$CY:$CY,"밸브")</f>
        <v>0</v>
      </c>
      <c r="CB387" s="85">
        <f>COUNTIFS('2023년 신조차 고장관리 세부현황'!$K:$K,"128R",'2023년 신조차 고장관리 세부현황'!$P:$P,"&gt;="&amp;'트랜드 분석_15일'!CA$18,'2023년 신조차 고장관리 세부현황'!$P:$P,"&lt;"&amp;'트랜드 분석_15일'!CB$18,'2023년 신조차 고장관리 세부현황'!$S:$S,'트랜드 분석_15일'!$F387,'2023년 신조차 고장관리 세부현황'!$BC:$BC,"완료",'2023년 신조차 고장관리 세부현황'!$CY:$CY,"밸브")</f>
        <v>0</v>
      </c>
      <c r="CC387" s="85">
        <f>COUNTIFS('2023년 신조차 고장관리 세부현황'!$K:$K,"128R",'2023년 신조차 고장관리 세부현황'!$P:$P,"&gt;="&amp;'트랜드 분석_15일'!CB$18,'2023년 신조차 고장관리 세부현황'!$P:$P,"&lt;"&amp;'트랜드 분석_15일'!CC$18,'2023년 신조차 고장관리 세부현황'!$S:$S,'트랜드 분석_15일'!$F387,'2023년 신조차 고장관리 세부현황'!$BC:$BC,"완료",'2023년 신조차 고장관리 세부현황'!$CY:$CY,"밸브")</f>
        <v>0</v>
      </c>
      <c r="CD387" s="85">
        <f>COUNTIFS('2023년 신조차 고장관리 세부현황'!$K:$K,"128R",'2023년 신조차 고장관리 세부현황'!$P:$P,"&gt;="&amp;'트랜드 분석_15일'!CC$18,'2023년 신조차 고장관리 세부현황'!$P:$P,"&lt;"&amp;'트랜드 분석_15일'!CD$18,'2023년 신조차 고장관리 세부현황'!$S:$S,'트랜드 분석_15일'!$F387,'2023년 신조차 고장관리 세부현황'!$BC:$BC,"완료",'2023년 신조차 고장관리 세부현황'!$CY:$CY,"밸브")</f>
        <v>0</v>
      </c>
      <c r="CE387" s="85">
        <f>COUNTIFS('2023년 신조차 고장관리 세부현황'!$K:$K,"128R",'2023년 신조차 고장관리 세부현황'!$P:$P,"&gt;="&amp;'트랜드 분석_15일'!CD$18,'2023년 신조차 고장관리 세부현황'!$P:$P,"&lt;"&amp;'트랜드 분석_15일'!CE$18,'2023년 신조차 고장관리 세부현황'!$S:$S,'트랜드 분석_15일'!$F387,'2023년 신조차 고장관리 세부현황'!$BC:$BC,"완료",'2023년 신조차 고장관리 세부현황'!$CY:$CY,"밸브")</f>
        <v>0</v>
      </c>
      <c r="CF387" s="85">
        <f>COUNTIFS('2023년 신조차 고장관리 세부현황'!$K:$K,"128R",'2023년 신조차 고장관리 세부현황'!$P:$P,"&gt;="&amp;'트랜드 분석_15일'!CE$18,'2023년 신조차 고장관리 세부현황'!$P:$P,"&lt;"&amp;'트랜드 분석_15일'!CF$18,'2023년 신조차 고장관리 세부현황'!$S:$S,'트랜드 분석_15일'!$F387,'2023년 신조차 고장관리 세부현황'!$BC:$BC,"완료",'2023년 신조차 고장관리 세부현황'!$CY:$CY,"밸브")</f>
        <v>0</v>
      </c>
      <c r="CG387" s="85">
        <f>COUNTIFS('2023년 신조차 고장관리 세부현황'!$K:$K,"128R",'2023년 신조차 고장관리 세부현황'!$P:$P,"&gt;="&amp;'트랜드 분석_15일'!CF$18,'2023년 신조차 고장관리 세부현황'!$P:$P,"&lt;"&amp;'트랜드 분석_15일'!CG$18,'2023년 신조차 고장관리 세부현황'!$S:$S,'트랜드 분석_15일'!$F387,'2023년 신조차 고장관리 세부현황'!$BC:$BC,"완료",'2023년 신조차 고장관리 세부현황'!$CY:$CY,"밸브")</f>
        <v>0</v>
      </c>
      <c r="CH387" s="85">
        <f>COUNTIFS('2023년 신조차 고장관리 세부현황'!$K:$K,"128R",'2023년 신조차 고장관리 세부현황'!$P:$P,"&gt;="&amp;'트랜드 분석_15일'!CG$18,'2023년 신조차 고장관리 세부현황'!$P:$P,"&lt;"&amp;'트랜드 분석_15일'!CH$18,'2023년 신조차 고장관리 세부현황'!$S:$S,'트랜드 분석_15일'!$F387,'2023년 신조차 고장관리 세부현황'!$BC:$BC,"완료",'2023년 신조차 고장관리 세부현황'!$CY:$CY,"밸브")</f>
        <v>0</v>
      </c>
      <c r="CI387" s="85">
        <f>COUNTIFS('2023년 신조차 고장관리 세부현황'!$K:$K,"128R",'2023년 신조차 고장관리 세부현황'!$P:$P,"&gt;="&amp;'트랜드 분석_15일'!CH$18,'2023년 신조차 고장관리 세부현황'!$P:$P,"&lt;"&amp;'트랜드 분석_15일'!CI$18,'2023년 신조차 고장관리 세부현황'!$S:$S,'트랜드 분석_15일'!$F387,'2023년 신조차 고장관리 세부현황'!$BC:$BC,"완료",'2023년 신조차 고장관리 세부현황'!$CY:$CY,"밸브")</f>
        <v>0</v>
      </c>
      <c r="CJ387" s="85">
        <f>COUNTIFS('2023년 신조차 고장관리 세부현황'!$K:$K,"128R",'2023년 신조차 고장관리 세부현황'!$P:$P,"&gt;="&amp;'트랜드 분석_15일'!CI$18,'2023년 신조차 고장관리 세부현황'!$P:$P,"&lt;"&amp;'트랜드 분석_15일'!CJ$18,'2023년 신조차 고장관리 세부현황'!$S:$S,'트랜드 분석_15일'!$F387,'2023년 신조차 고장관리 세부현황'!$BC:$BC,"완료",'2023년 신조차 고장관리 세부현황'!$CY:$CY,"밸브")</f>
        <v>0</v>
      </c>
      <c r="CK387" s="85">
        <f>COUNTIFS('2023년 신조차 고장관리 세부현황'!$K:$K,"128R",'2023년 신조차 고장관리 세부현황'!$P:$P,"&gt;="&amp;'트랜드 분석_15일'!CJ$18,'2023년 신조차 고장관리 세부현황'!$P:$P,"&lt;"&amp;'트랜드 분석_15일'!CK$18,'2023년 신조차 고장관리 세부현황'!$S:$S,'트랜드 분석_15일'!$F387,'2023년 신조차 고장관리 세부현황'!$BC:$BC,"완료",'2023년 신조차 고장관리 세부현황'!$CY:$CY,"밸브")</f>
        <v>0</v>
      </c>
      <c r="CL387" s="85">
        <f>COUNTIFS('2023년 신조차 고장관리 세부현황'!$K:$K,"128R",'2023년 신조차 고장관리 세부현황'!$P:$P,"&gt;="&amp;'트랜드 분석_15일'!CK$18,'2023년 신조차 고장관리 세부현황'!$P:$P,"&lt;"&amp;'트랜드 분석_15일'!CL$18,'2023년 신조차 고장관리 세부현황'!$S:$S,'트랜드 분석_15일'!$F387,'2023년 신조차 고장관리 세부현황'!$BC:$BC,"완료",'2023년 신조차 고장관리 세부현황'!$CY:$CY,"밸브")</f>
        <v>0</v>
      </c>
      <c r="CM387" s="85">
        <f>COUNTIFS('2023년 신조차 고장관리 세부현황'!$K:$K,"128R",'2023년 신조차 고장관리 세부현황'!$P:$P,"&gt;="&amp;'트랜드 분석_15일'!CL$18,'2023년 신조차 고장관리 세부현황'!$P:$P,"&lt;"&amp;'트랜드 분석_15일'!CM$18,'2023년 신조차 고장관리 세부현황'!$S:$S,'트랜드 분석_15일'!$F387,'2023년 신조차 고장관리 세부현황'!$BC:$BC,"완료",'2023년 신조차 고장관리 세부현황'!$CY:$CY,"밸브")</f>
        <v>0</v>
      </c>
      <c r="CN387" s="85">
        <f>COUNTIFS('2023년 신조차 고장관리 세부현황'!$K:$K,"128R",'2023년 신조차 고장관리 세부현황'!$P:$P,"&gt;="&amp;'트랜드 분석_15일'!CM$18,'2023년 신조차 고장관리 세부현황'!$P:$P,"&lt;"&amp;'트랜드 분석_15일'!CN$18,'2023년 신조차 고장관리 세부현황'!$S:$S,'트랜드 분석_15일'!$F387,'2023년 신조차 고장관리 세부현황'!$BC:$BC,"완료",'2023년 신조차 고장관리 세부현황'!$CY:$CY,"밸브")</f>
        <v>0</v>
      </c>
      <c r="CO387" s="85">
        <f>COUNTIFS('2023년 신조차 고장관리 세부현황'!$K:$K,"128R",'2023년 신조차 고장관리 세부현황'!$P:$P,"&gt;="&amp;'트랜드 분석_15일'!CN$18,'2023년 신조차 고장관리 세부현황'!$P:$P,"&lt;"&amp;'트랜드 분석_15일'!CO$18,'2023년 신조차 고장관리 세부현황'!$S:$S,'트랜드 분석_15일'!$F387,'2023년 신조차 고장관리 세부현황'!$BC:$BC,"완료",'2023년 신조차 고장관리 세부현황'!$CY:$CY,"밸브")</f>
        <v>0</v>
      </c>
      <c r="CP387" s="85">
        <f>COUNTIFS('2023년 신조차 고장관리 세부현황'!$K:$K,"128R",'2023년 신조차 고장관리 세부현황'!$P:$P,"&gt;="&amp;'트랜드 분석_15일'!CO$18,'2023년 신조차 고장관리 세부현황'!$P:$P,"&lt;"&amp;'트랜드 분석_15일'!CP$18,'2023년 신조차 고장관리 세부현황'!$S:$S,'트랜드 분석_15일'!$F387,'2023년 신조차 고장관리 세부현황'!$BC:$BC,"완료",'2023년 신조차 고장관리 세부현황'!$CY:$CY,"밸브")</f>
        <v>0</v>
      </c>
      <c r="CQ387" s="85">
        <f>COUNTIFS('2023년 신조차 고장관리 세부현황'!$K:$K,"128R",'2023년 신조차 고장관리 세부현황'!$P:$P,"&gt;="&amp;'트랜드 분석_15일'!CP$18,'2023년 신조차 고장관리 세부현황'!$P:$P,"&lt;"&amp;'트랜드 분석_15일'!CQ$18,'2023년 신조차 고장관리 세부현황'!$S:$S,'트랜드 분석_15일'!$F387,'2023년 신조차 고장관리 세부현황'!$BC:$BC,"완료",'2023년 신조차 고장관리 세부현황'!$CY:$CY,"밸브")</f>
        <v>0</v>
      </c>
      <c r="CR387" s="85">
        <f>COUNTIFS('2023년 신조차 고장관리 세부현황'!$K:$K,"128R",'2023년 신조차 고장관리 세부현황'!$P:$P,"&gt;="&amp;'트랜드 분석_15일'!CQ$18,'2023년 신조차 고장관리 세부현황'!$P:$P,"&lt;"&amp;'트랜드 분석_15일'!CR$18,'2023년 신조차 고장관리 세부현황'!$S:$S,'트랜드 분석_15일'!$F387,'2023년 신조차 고장관리 세부현황'!$BC:$BC,"완료",'2023년 신조차 고장관리 세부현황'!$CY:$CY,"밸브")</f>
        <v>0</v>
      </c>
      <c r="CS387" s="85">
        <f>COUNTIFS('2023년 신조차 고장관리 세부현황'!$K:$K,"128R",'2023년 신조차 고장관리 세부현황'!$P:$P,"&gt;="&amp;'트랜드 분석_15일'!CR$18,'2023년 신조차 고장관리 세부현황'!$P:$P,"&lt;"&amp;'트랜드 분석_15일'!CS$18,'2023년 신조차 고장관리 세부현황'!$S:$S,'트랜드 분석_15일'!$F387,'2023년 신조차 고장관리 세부현황'!$BC:$BC,"완료",'2023년 신조차 고장관리 세부현황'!$CY:$CY,"밸브")</f>
        <v>0</v>
      </c>
      <c r="CT387" s="85">
        <f>COUNTIFS('2023년 신조차 고장관리 세부현황'!$K:$K,"128R",'2023년 신조차 고장관리 세부현황'!$P:$P,"&gt;="&amp;'트랜드 분석_15일'!CS$18,'2023년 신조차 고장관리 세부현황'!$P:$P,"&lt;"&amp;'트랜드 분석_15일'!CT$18,'2023년 신조차 고장관리 세부현황'!$S:$S,'트랜드 분석_15일'!$F387,'2023년 신조차 고장관리 세부현황'!$BC:$BC,"완료",'2023년 신조차 고장관리 세부현황'!$CY:$CY,"밸브")</f>
        <v>0</v>
      </c>
      <c r="CU387" s="85">
        <f>COUNTIFS('2023년 신조차 고장관리 세부현황'!$K:$K,"128R",'2023년 신조차 고장관리 세부현황'!$P:$P,"&gt;="&amp;'트랜드 분석_15일'!CT$18,'2023년 신조차 고장관리 세부현황'!$P:$P,"&lt;"&amp;'트랜드 분석_15일'!CU$18,'2023년 신조차 고장관리 세부현황'!$S:$S,'트랜드 분석_15일'!$F387,'2023년 신조차 고장관리 세부현황'!$BC:$BC,"완료",'2023년 신조차 고장관리 세부현황'!$CY:$CY,"밸브")</f>
        <v>0</v>
      </c>
      <c r="CV387" s="85">
        <f>COUNTIFS('2023년 신조차 고장관리 세부현황'!$K:$K,"128R",'2023년 신조차 고장관리 세부현황'!$P:$P,"&gt;="&amp;'트랜드 분석_15일'!CU$18,'2023년 신조차 고장관리 세부현황'!$P:$P,"&lt;"&amp;'트랜드 분석_15일'!CV$18,'2023년 신조차 고장관리 세부현황'!$S:$S,'트랜드 분석_15일'!$F387,'2023년 신조차 고장관리 세부현황'!$BC:$BC,"완료",'2023년 신조차 고장관리 세부현황'!$CY:$CY,"밸브")</f>
        <v>0</v>
      </c>
      <c r="CW387" s="85">
        <f>COUNTIFS('2023년 신조차 고장관리 세부현황'!$K:$K,"128R",'2023년 신조차 고장관리 세부현황'!$P:$P,"&gt;="&amp;'트랜드 분석_15일'!CV$18,'2023년 신조차 고장관리 세부현황'!$P:$P,"&lt;"&amp;'트랜드 분석_15일'!CW$18,'2023년 신조차 고장관리 세부현황'!$S:$S,'트랜드 분석_15일'!$F387,'2023년 신조차 고장관리 세부현황'!$BC:$BC,"완료",'2023년 신조차 고장관리 세부현황'!$CY:$CY,"밸브")</f>
        <v>0</v>
      </c>
      <c r="CX387">
        <f>SUM(G387:CW387)</f>
        <v>0</v>
      </c>
    </row>
    <row r="388" spans="6:103" x14ac:dyDescent="0.4">
      <c r="CY388" t="s">
        <v>361</v>
      </c>
    </row>
    <row r="389" spans="6:103" x14ac:dyDescent="0.4">
      <c r="F389" t="s">
        <v>654</v>
      </c>
      <c r="CS389" t="s">
        <v>401</v>
      </c>
    </row>
    <row r="390" spans="6:103" x14ac:dyDescent="0.4">
      <c r="F390" s="85" t="s">
        <v>242</v>
      </c>
      <c r="G390" s="85">
        <v>1</v>
      </c>
      <c r="H390" s="85">
        <v>2</v>
      </c>
      <c r="I390" s="85">
        <v>3</v>
      </c>
      <c r="J390" s="85">
        <v>4</v>
      </c>
      <c r="K390" s="85">
        <v>5</v>
      </c>
      <c r="L390" s="85">
        <v>6</v>
      </c>
      <c r="M390" s="85">
        <v>7</v>
      </c>
      <c r="N390" s="85">
        <v>8</v>
      </c>
      <c r="O390" s="85">
        <v>9</v>
      </c>
      <c r="P390" s="85">
        <v>10</v>
      </c>
      <c r="Q390" s="85">
        <v>11</v>
      </c>
      <c r="R390" s="85">
        <v>12</v>
      </c>
      <c r="S390" s="85">
        <v>13</v>
      </c>
      <c r="T390" s="85">
        <v>14</v>
      </c>
      <c r="U390" s="85">
        <v>15</v>
      </c>
      <c r="V390" s="85">
        <v>16</v>
      </c>
      <c r="W390" s="85">
        <v>17</v>
      </c>
      <c r="X390" s="85">
        <v>18</v>
      </c>
      <c r="Y390" s="85">
        <v>19</v>
      </c>
      <c r="Z390" s="85">
        <v>20</v>
      </c>
      <c r="AA390" s="85">
        <v>21</v>
      </c>
      <c r="AB390" s="85">
        <v>22</v>
      </c>
      <c r="AC390" s="85">
        <v>23</v>
      </c>
      <c r="AD390" s="85">
        <v>24</v>
      </c>
      <c r="AE390" s="85">
        <v>25</v>
      </c>
      <c r="AF390" s="85">
        <v>26</v>
      </c>
      <c r="AG390" s="85">
        <v>27</v>
      </c>
      <c r="AH390" s="85">
        <v>28</v>
      </c>
      <c r="AI390" s="85">
        <v>29</v>
      </c>
      <c r="AJ390" s="85">
        <v>30</v>
      </c>
      <c r="AK390" s="85">
        <v>31</v>
      </c>
      <c r="AL390" s="85">
        <v>32</v>
      </c>
      <c r="AM390" s="85">
        <v>33</v>
      </c>
      <c r="AN390" s="85">
        <v>34</v>
      </c>
      <c r="AO390" s="85">
        <v>35</v>
      </c>
      <c r="AP390" s="85">
        <v>36</v>
      </c>
      <c r="AQ390" s="85">
        <v>37</v>
      </c>
      <c r="AR390" s="85">
        <v>38</v>
      </c>
      <c r="AS390" s="85">
        <v>39</v>
      </c>
      <c r="AT390" s="85">
        <v>40</v>
      </c>
      <c r="AU390" s="85">
        <v>41</v>
      </c>
      <c r="AV390" s="85">
        <v>42</v>
      </c>
      <c r="AW390" s="85">
        <v>43</v>
      </c>
      <c r="AX390" s="85">
        <v>44</v>
      </c>
      <c r="AY390" s="85">
        <v>45</v>
      </c>
      <c r="AZ390" s="85">
        <v>46</v>
      </c>
      <c r="BA390" s="85">
        <v>47</v>
      </c>
      <c r="BB390" s="85">
        <v>48</v>
      </c>
      <c r="BC390" s="85">
        <v>49</v>
      </c>
      <c r="BD390" s="85">
        <v>50</v>
      </c>
      <c r="BE390" s="85">
        <v>51</v>
      </c>
      <c r="BF390" s="85">
        <v>52</v>
      </c>
      <c r="BG390" s="85">
        <v>53</v>
      </c>
      <c r="BH390" s="85">
        <v>54</v>
      </c>
      <c r="BI390" s="85">
        <v>55</v>
      </c>
      <c r="BJ390" s="85">
        <v>56</v>
      </c>
      <c r="BK390" s="85">
        <v>57</v>
      </c>
      <c r="BL390" s="85">
        <v>58</v>
      </c>
      <c r="BM390" s="85">
        <v>59</v>
      </c>
      <c r="BN390" s="85">
        <v>60</v>
      </c>
      <c r="BO390" s="85">
        <v>61</v>
      </c>
      <c r="BP390" s="85">
        <v>62</v>
      </c>
      <c r="BQ390" s="85">
        <v>63</v>
      </c>
      <c r="BR390" s="85">
        <v>64</v>
      </c>
      <c r="BS390" s="85">
        <v>65</v>
      </c>
      <c r="BT390" s="85">
        <v>66</v>
      </c>
      <c r="BU390" s="85">
        <v>67</v>
      </c>
      <c r="BV390" s="85">
        <v>68</v>
      </c>
      <c r="BW390" s="85">
        <v>69</v>
      </c>
      <c r="BX390" s="85">
        <v>70</v>
      </c>
      <c r="BY390" s="85">
        <v>71</v>
      </c>
      <c r="BZ390" s="85">
        <v>72</v>
      </c>
      <c r="CA390" s="85">
        <v>73</v>
      </c>
      <c r="CB390" s="85">
        <v>74</v>
      </c>
      <c r="CC390" s="85">
        <v>75</v>
      </c>
      <c r="CD390" s="85">
        <v>76</v>
      </c>
      <c r="CE390" s="85">
        <v>77</v>
      </c>
      <c r="CF390" s="85">
        <v>78</v>
      </c>
      <c r="CG390" s="85">
        <v>79</v>
      </c>
      <c r="CH390" s="85">
        <v>80</v>
      </c>
      <c r="CI390" s="85">
        <v>81</v>
      </c>
      <c r="CJ390" s="85">
        <v>82</v>
      </c>
      <c r="CK390" s="85">
        <v>83</v>
      </c>
      <c r="CL390" s="85">
        <v>84</v>
      </c>
      <c r="CM390" s="85">
        <v>85</v>
      </c>
      <c r="CN390" s="85">
        <v>86</v>
      </c>
      <c r="CO390" s="85">
        <v>87</v>
      </c>
      <c r="CP390" s="85">
        <v>88</v>
      </c>
      <c r="CQ390" s="85">
        <v>89</v>
      </c>
      <c r="CR390" s="85">
        <v>90</v>
      </c>
      <c r="CS390" s="85">
        <v>91</v>
      </c>
      <c r="CT390" s="85">
        <v>92</v>
      </c>
      <c r="CU390" s="85">
        <v>93</v>
      </c>
      <c r="CV390" s="85">
        <v>94</v>
      </c>
      <c r="CW390" s="85">
        <v>95</v>
      </c>
    </row>
    <row r="391" spans="6:103" x14ac:dyDescent="0.4">
      <c r="F391" s="85" t="s">
        <v>239</v>
      </c>
      <c r="G391" s="139">
        <f>15*G390</f>
        <v>15</v>
      </c>
      <c r="H391" s="139">
        <f t="shared" ref="H391:BS391" si="359">15*H390</f>
        <v>30</v>
      </c>
      <c r="I391" s="139">
        <f t="shared" si="359"/>
        <v>45</v>
      </c>
      <c r="J391" s="139">
        <f t="shared" si="359"/>
        <v>60</v>
      </c>
      <c r="K391" s="139">
        <f t="shared" si="359"/>
        <v>75</v>
      </c>
      <c r="L391" s="139">
        <f t="shared" si="359"/>
        <v>90</v>
      </c>
      <c r="M391" s="139">
        <f t="shared" si="359"/>
        <v>105</v>
      </c>
      <c r="N391" s="139">
        <f t="shared" si="359"/>
        <v>120</v>
      </c>
      <c r="O391" s="139">
        <f t="shared" si="359"/>
        <v>135</v>
      </c>
      <c r="P391" s="139">
        <f t="shared" si="359"/>
        <v>150</v>
      </c>
      <c r="Q391" s="139">
        <f t="shared" si="359"/>
        <v>165</v>
      </c>
      <c r="R391" s="139">
        <f t="shared" si="359"/>
        <v>180</v>
      </c>
      <c r="S391" s="139">
        <f t="shared" si="359"/>
        <v>195</v>
      </c>
      <c r="T391" s="139">
        <f t="shared" si="359"/>
        <v>210</v>
      </c>
      <c r="U391" s="139">
        <f t="shared" si="359"/>
        <v>225</v>
      </c>
      <c r="V391" s="139">
        <f t="shared" si="359"/>
        <v>240</v>
      </c>
      <c r="W391" s="139">
        <f t="shared" si="359"/>
        <v>255</v>
      </c>
      <c r="X391" s="139">
        <f t="shared" si="359"/>
        <v>270</v>
      </c>
      <c r="Y391" s="139">
        <f t="shared" si="359"/>
        <v>285</v>
      </c>
      <c r="Z391" s="139">
        <f t="shared" si="359"/>
        <v>300</v>
      </c>
      <c r="AA391" s="139">
        <f t="shared" si="359"/>
        <v>315</v>
      </c>
      <c r="AB391" s="139">
        <f t="shared" si="359"/>
        <v>330</v>
      </c>
      <c r="AC391" s="139">
        <f t="shared" si="359"/>
        <v>345</v>
      </c>
      <c r="AD391" s="139">
        <f t="shared" si="359"/>
        <v>360</v>
      </c>
      <c r="AE391" s="139">
        <f t="shared" si="359"/>
        <v>375</v>
      </c>
      <c r="AF391" s="139">
        <f t="shared" si="359"/>
        <v>390</v>
      </c>
      <c r="AG391" s="139">
        <f t="shared" si="359"/>
        <v>405</v>
      </c>
      <c r="AH391" s="139">
        <f t="shared" si="359"/>
        <v>420</v>
      </c>
      <c r="AI391" s="139">
        <f t="shared" si="359"/>
        <v>435</v>
      </c>
      <c r="AJ391" s="139">
        <f t="shared" si="359"/>
        <v>450</v>
      </c>
      <c r="AK391" s="139">
        <f t="shared" si="359"/>
        <v>465</v>
      </c>
      <c r="AL391" s="139">
        <f t="shared" si="359"/>
        <v>480</v>
      </c>
      <c r="AM391" s="139">
        <f t="shared" si="359"/>
        <v>495</v>
      </c>
      <c r="AN391" s="139">
        <f t="shared" si="359"/>
        <v>510</v>
      </c>
      <c r="AO391" s="139">
        <f t="shared" si="359"/>
        <v>525</v>
      </c>
      <c r="AP391" s="139">
        <f t="shared" si="359"/>
        <v>540</v>
      </c>
      <c r="AQ391" s="139">
        <f t="shared" si="359"/>
        <v>555</v>
      </c>
      <c r="AR391" s="139">
        <f t="shared" si="359"/>
        <v>570</v>
      </c>
      <c r="AS391" s="139">
        <f t="shared" si="359"/>
        <v>585</v>
      </c>
      <c r="AT391" s="139">
        <f t="shared" si="359"/>
        <v>600</v>
      </c>
      <c r="AU391" s="139">
        <f t="shared" si="359"/>
        <v>615</v>
      </c>
      <c r="AV391" s="139">
        <f t="shared" si="359"/>
        <v>630</v>
      </c>
      <c r="AW391" s="139">
        <f t="shared" si="359"/>
        <v>645</v>
      </c>
      <c r="AX391" s="139">
        <f t="shared" si="359"/>
        <v>660</v>
      </c>
      <c r="AY391" s="139">
        <f t="shared" si="359"/>
        <v>675</v>
      </c>
      <c r="AZ391" s="139">
        <f t="shared" si="359"/>
        <v>690</v>
      </c>
      <c r="BA391" s="139">
        <f t="shared" si="359"/>
        <v>705</v>
      </c>
      <c r="BB391" s="139">
        <f t="shared" si="359"/>
        <v>720</v>
      </c>
      <c r="BC391" s="139">
        <f t="shared" si="359"/>
        <v>735</v>
      </c>
      <c r="BD391" s="139">
        <f t="shared" si="359"/>
        <v>750</v>
      </c>
      <c r="BE391" s="139">
        <f t="shared" si="359"/>
        <v>765</v>
      </c>
      <c r="BF391" s="139">
        <f t="shared" si="359"/>
        <v>780</v>
      </c>
      <c r="BG391" s="139">
        <f t="shared" si="359"/>
        <v>795</v>
      </c>
      <c r="BH391" s="139">
        <f t="shared" si="359"/>
        <v>810</v>
      </c>
      <c r="BI391" s="139">
        <f t="shared" si="359"/>
        <v>825</v>
      </c>
      <c r="BJ391" s="139">
        <f t="shared" si="359"/>
        <v>840</v>
      </c>
      <c r="BK391" s="139">
        <f t="shared" si="359"/>
        <v>855</v>
      </c>
      <c r="BL391" s="139">
        <f t="shared" si="359"/>
        <v>870</v>
      </c>
      <c r="BM391" s="139">
        <f t="shared" si="359"/>
        <v>885</v>
      </c>
      <c r="BN391" s="139">
        <f t="shared" si="359"/>
        <v>900</v>
      </c>
      <c r="BO391" s="139">
        <f t="shared" si="359"/>
        <v>915</v>
      </c>
      <c r="BP391" s="139">
        <f t="shared" si="359"/>
        <v>930</v>
      </c>
      <c r="BQ391" s="139">
        <f t="shared" si="359"/>
        <v>945</v>
      </c>
      <c r="BR391" s="139">
        <f t="shared" si="359"/>
        <v>960</v>
      </c>
      <c r="BS391" s="139">
        <f t="shared" si="359"/>
        <v>975</v>
      </c>
      <c r="BT391" s="139">
        <f t="shared" ref="BT391:CW391" si="360">15*BT390</f>
        <v>990</v>
      </c>
      <c r="BU391" s="139">
        <f t="shared" si="360"/>
        <v>1005</v>
      </c>
      <c r="BV391" s="139">
        <f t="shared" si="360"/>
        <v>1020</v>
      </c>
      <c r="BW391" s="139">
        <f t="shared" si="360"/>
        <v>1035</v>
      </c>
      <c r="BX391" s="139">
        <f t="shared" si="360"/>
        <v>1050</v>
      </c>
      <c r="BY391" s="139">
        <f t="shared" si="360"/>
        <v>1065</v>
      </c>
      <c r="BZ391" s="139">
        <f t="shared" si="360"/>
        <v>1080</v>
      </c>
      <c r="CA391" s="139">
        <f t="shared" si="360"/>
        <v>1095</v>
      </c>
      <c r="CB391" s="139">
        <f t="shared" si="360"/>
        <v>1110</v>
      </c>
      <c r="CC391" s="139">
        <f t="shared" si="360"/>
        <v>1125</v>
      </c>
      <c r="CD391" s="139">
        <f t="shared" si="360"/>
        <v>1140</v>
      </c>
      <c r="CE391" s="139">
        <f t="shared" si="360"/>
        <v>1155</v>
      </c>
      <c r="CF391" s="139">
        <f t="shared" si="360"/>
        <v>1170</v>
      </c>
      <c r="CG391" s="139">
        <f t="shared" si="360"/>
        <v>1185</v>
      </c>
      <c r="CH391" s="139">
        <f t="shared" si="360"/>
        <v>1200</v>
      </c>
      <c r="CI391" s="139">
        <f t="shared" si="360"/>
        <v>1215</v>
      </c>
      <c r="CJ391" s="139">
        <f t="shared" si="360"/>
        <v>1230</v>
      </c>
      <c r="CK391" s="139">
        <f t="shared" si="360"/>
        <v>1245</v>
      </c>
      <c r="CL391" s="139">
        <f t="shared" si="360"/>
        <v>1260</v>
      </c>
      <c r="CM391" s="139">
        <f t="shared" si="360"/>
        <v>1275</v>
      </c>
      <c r="CN391" s="139">
        <f t="shared" si="360"/>
        <v>1290</v>
      </c>
      <c r="CO391" s="139">
        <f t="shared" si="360"/>
        <v>1305</v>
      </c>
      <c r="CP391" s="139">
        <f t="shared" si="360"/>
        <v>1320</v>
      </c>
      <c r="CQ391" s="139">
        <f t="shared" si="360"/>
        <v>1335</v>
      </c>
      <c r="CR391" s="139">
        <f t="shared" si="360"/>
        <v>1350</v>
      </c>
      <c r="CS391" s="139">
        <f t="shared" si="360"/>
        <v>1365</v>
      </c>
      <c r="CT391" s="139">
        <f t="shared" si="360"/>
        <v>1380</v>
      </c>
      <c r="CU391" s="139">
        <f t="shared" si="360"/>
        <v>1395</v>
      </c>
      <c r="CV391" s="139">
        <f t="shared" si="360"/>
        <v>1410</v>
      </c>
      <c r="CW391" s="139">
        <f t="shared" si="360"/>
        <v>1425</v>
      </c>
    </row>
    <row r="392" spans="6:103" x14ac:dyDescent="0.4">
      <c r="F392" s="85" t="s">
        <v>154</v>
      </c>
      <c r="G392" s="85">
        <f>COUNTIFS('2023년 신조차 고장관리 세부현황'!$K:$K,"448R",'2023년 신조차 고장관리 세부현황'!$P:$P,"&gt;="&amp;G390,'2023년 신조차 고장관리 세부현황'!$P:$P,"&lt;"&amp;'트랜드 분석_15일'!G391,'2023년 신조차 고장관리 세부현황'!$BC:$BC,"완료",'2023년 신조차 고장관리 세부현황'!$CY:$CY,"밸브")</f>
        <v>0</v>
      </c>
      <c r="H392" s="85">
        <f>COUNTIFS('2023년 신조차 고장관리 세부현황'!$K:$K,"448R",'2023년 신조차 고장관리 세부현황'!$P:$P,"&gt;="&amp;'트랜드 분석_15일'!G$27,'2023년 신조차 고장관리 세부현황'!$P:$P,"&lt;"&amp;'트랜드 분석_15일'!H$27,'2023년 신조차 고장관리 세부현황'!$BC:$BC,"완료",'2023년 신조차 고장관리 세부현황'!$CY:$CY,"밸브")</f>
        <v>0</v>
      </c>
      <c r="I392" s="85">
        <f>COUNTIFS('2023년 신조차 고장관리 세부현황'!$K:$K,"448R",'2023년 신조차 고장관리 세부현황'!$P:$P,"&gt;="&amp;'트랜드 분석_15일'!H$27,'2023년 신조차 고장관리 세부현황'!$P:$P,"&lt;"&amp;'트랜드 분석_15일'!I$27,'2023년 신조차 고장관리 세부현황'!$BC:$BC,"완료",'2023년 신조차 고장관리 세부현황'!$CY:$CY,"밸브")</f>
        <v>0</v>
      </c>
      <c r="J392" s="85">
        <f>COUNTIFS('2023년 신조차 고장관리 세부현황'!$K:$K,"448R",'2023년 신조차 고장관리 세부현황'!$P:$P,"&gt;="&amp;'트랜드 분석_15일'!I$27,'2023년 신조차 고장관리 세부현황'!$P:$P,"&lt;"&amp;'트랜드 분석_15일'!J$27,'2023년 신조차 고장관리 세부현황'!$BC:$BC,"완료",'2023년 신조차 고장관리 세부현황'!$CY:$CY,"밸브")</f>
        <v>0</v>
      </c>
      <c r="K392" s="85">
        <f>COUNTIFS('2023년 신조차 고장관리 세부현황'!$K:$K,"448R",'2023년 신조차 고장관리 세부현황'!$P:$P,"&gt;="&amp;'트랜드 분석_15일'!J$27,'2023년 신조차 고장관리 세부현황'!$P:$P,"&lt;"&amp;'트랜드 분석_15일'!K$27,'2023년 신조차 고장관리 세부현황'!$BC:$BC,"완료",'2023년 신조차 고장관리 세부현황'!$CY:$CY,"밸브")</f>
        <v>0</v>
      </c>
      <c r="L392" s="85">
        <f>COUNTIFS('2023년 신조차 고장관리 세부현황'!$K:$K,"448R",'2023년 신조차 고장관리 세부현황'!$P:$P,"&gt;="&amp;'트랜드 분석_15일'!K$27,'2023년 신조차 고장관리 세부현황'!$P:$P,"&lt;"&amp;'트랜드 분석_15일'!L$27,'2023년 신조차 고장관리 세부현황'!$BC:$BC,"완료",'2023년 신조차 고장관리 세부현황'!$CY:$CY,"밸브")</f>
        <v>0</v>
      </c>
      <c r="M392" s="85">
        <f>COUNTIFS('2023년 신조차 고장관리 세부현황'!$K:$K,"448R",'2023년 신조차 고장관리 세부현황'!$P:$P,"&gt;="&amp;'트랜드 분석_15일'!L$27,'2023년 신조차 고장관리 세부현황'!$P:$P,"&lt;"&amp;'트랜드 분석_15일'!M$27,'2023년 신조차 고장관리 세부현황'!$BC:$BC,"완료",'2023년 신조차 고장관리 세부현황'!$CY:$CY,"밸브")</f>
        <v>0</v>
      </c>
      <c r="N392" s="85">
        <f>COUNTIFS('2023년 신조차 고장관리 세부현황'!$K:$K,"448R",'2023년 신조차 고장관리 세부현황'!$P:$P,"&gt;="&amp;'트랜드 분석_15일'!M$27,'2023년 신조차 고장관리 세부현황'!$P:$P,"&lt;"&amp;'트랜드 분석_15일'!N$27,'2023년 신조차 고장관리 세부현황'!$BC:$BC,"완료",'2023년 신조차 고장관리 세부현황'!$CY:$CY,"밸브")</f>
        <v>0</v>
      </c>
      <c r="O392" s="85">
        <f>COUNTIFS('2023년 신조차 고장관리 세부현황'!$K:$K,"448R",'2023년 신조차 고장관리 세부현황'!$P:$P,"&gt;="&amp;'트랜드 분석_15일'!N$27,'2023년 신조차 고장관리 세부현황'!$P:$P,"&lt;"&amp;'트랜드 분석_15일'!O$27,'2023년 신조차 고장관리 세부현황'!$BC:$BC,"완료",'2023년 신조차 고장관리 세부현황'!$CY:$CY,"밸브")</f>
        <v>0</v>
      </c>
      <c r="P392" s="85">
        <f ca="1">COUNTIFS('2023년 신조차 고장관리 세부현황'!$K:$K,"448R",'2023년 신조차 고장관리 세부현황'!$P:$P,"&gt;="&amp;'트랜드 분석_15일'!O$27,'2023년 신조차 고장관리 세부현황'!$P:$P,"&lt;"&amp;'트랜드 분석_15일'!P$27,'2023년 신조차 고장관리 세부현황'!$BC:$BC,"완료",'2023년 신조차 고장관리 세부현황'!$CY:$CY,"밸브")</f>
        <v>0</v>
      </c>
      <c r="Q392" s="85">
        <f ca="1">COUNTIFS('2023년 신조차 고장관리 세부현황'!$K:$K,"448R",'2023년 신조차 고장관리 세부현황'!$P:$P,"&gt;="&amp;'트랜드 분석_15일'!P$27,'2023년 신조차 고장관리 세부현황'!$P:$P,"&lt;"&amp;'트랜드 분석_15일'!Q$27,'2023년 신조차 고장관리 세부현황'!$BC:$BC,"완료",'2023년 신조차 고장관리 세부현황'!$CY:$CY,"밸브")</f>
        <v>0</v>
      </c>
      <c r="R392" s="85">
        <f ca="1">COUNTIFS('2023년 신조차 고장관리 세부현황'!$K:$K,"448R",'2023년 신조차 고장관리 세부현황'!$P:$P,"&gt;="&amp;'트랜드 분석_15일'!Q$27,'2023년 신조차 고장관리 세부현황'!$P:$P,"&lt;"&amp;'트랜드 분석_15일'!R$27,'2023년 신조차 고장관리 세부현황'!$BC:$BC,"완료",'2023년 신조차 고장관리 세부현황'!$CY:$CY,"밸브")</f>
        <v>0</v>
      </c>
      <c r="S392" s="85">
        <f ca="1">COUNTIFS('2023년 신조차 고장관리 세부현황'!$K:$K,"448R",'2023년 신조차 고장관리 세부현황'!$P:$P,"&gt;="&amp;'트랜드 분석_15일'!R$27,'2023년 신조차 고장관리 세부현황'!$P:$P,"&lt;"&amp;'트랜드 분석_15일'!S$27,'2023년 신조차 고장관리 세부현황'!$BC:$BC,"완료",'2023년 신조차 고장관리 세부현황'!$CY:$CY,"밸브")</f>
        <v>0</v>
      </c>
      <c r="T392" s="85">
        <f ca="1">COUNTIFS('2023년 신조차 고장관리 세부현황'!$K:$K,"448R",'2023년 신조차 고장관리 세부현황'!$P:$P,"&gt;="&amp;'트랜드 분석_15일'!S$27,'2023년 신조차 고장관리 세부현황'!$P:$P,"&lt;"&amp;'트랜드 분석_15일'!T$27,'2023년 신조차 고장관리 세부현황'!$BC:$BC,"완료",'2023년 신조차 고장관리 세부현황'!$CY:$CY,"밸브")</f>
        <v>0</v>
      </c>
      <c r="U392" s="85">
        <f>COUNTIFS('2023년 신조차 고장관리 세부현황'!$K:$K,"448R",'2023년 신조차 고장관리 세부현황'!$P:$P,"&gt;="&amp;'트랜드 분석_15일'!T$27,'2023년 신조차 고장관리 세부현황'!$P:$P,"&lt;"&amp;'트랜드 분석_15일'!U$27,'2023년 신조차 고장관리 세부현황'!$BC:$BC,"완료",'2023년 신조차 고장관리 세부현황'!$CY:$CY,"밸브")</f>
        <v>0</v>
      </c>
      <c r="V392" s="85">
        <f>COUNTIFS('2023년 신조차 고장관리 세부현황'!$K:$K,"448R",'2023년 신조차 고장관리 세부현황'!$P:$P,"&gt;="&amp;'트랜드 분석_15일'!U$27,'2023년 신조차 고장관리 세부현황'!$P:$P,"&lt;"&amp;'트랜드 분석_15일'!V$27,'2023년 신조차 고장관리 세부현황'!$BC:$BC,"완료",'2023년 신조차 고장관리 세부현황'!$CY:$CY,"밸브")</f>
        <v>0</v>
      </c>
      <c r="W392" s="85">
        <f ca="1">COUNTIFS('2023년 신조차 고장관리 세부현황'!$K:$K,"448R",'2023년 신조차 고장관리 세부현황'!$P:$P,"&gt;="&amp;'트랜드 분석_15일'!V$27,'2023년 신조차 고장관리 세부현황'!$P:$P,"&lt;"&amp;'트랜드 분석_15일'!W$27,'2023년 신조차 고장관리 세부현황'!$BC:$BC,"완료",'2023년 신조차 고장관리 세부현황'!$CY:$CY,"밸브")</f>
        <v>0</v>
      </c>
      <c r="X392" s="85">
        <f ca="1">COUNTIFS('2023년 신조차 고장관리 세부현황'!$K:$K,"448R",'2023년 신조차 고장관리 세부현황'!$P:$P,"&gt;="&amp;'트랜드 분석_15일'!W$27,'2023년 신조차 고장관리 세부현황'!$P:$P,"&lt;"&amp;'트랜드 분석_15일'!X$27,'2023년 신조차 고장관리 세부현황'!$BC:$BC,"완료",'2023년 신조차 고장관리 세부현황'!$CY:$CY,"밸브")</f>
        <v>0</v>
      </c>
      <c r="Y392" s="85">
        <f ca="1">COUNTIFS('2023년 신조차 고장관리 세부현황'!$K:$K,"448R",'2023년 신조차 고장관리 세부현황'!$P:$P,"&gt;="&amp;'트랜드 분석_15일'!X$27,'2023년 신조차 고장관리 세부현황'!$P:$P,"&lt;"&amp;'트랜드 분석_15일'!Y$27,'2023년 신조차 고장관리 세부현황'!$BC:$BC,"완료",'2023년 신조차 고장관리 세부현황'!$CY:$CY,"밸브")</f>
        <v>0</v>
      </c>
      <c r="Z392" s="85">
        <f ca="1">COUNTIFS('2023년 신조차 고장관리 세부현황'!$K:$K,"448R",'2023년 신조차 고장관리 세부현황'!$P:$P,"&gt;="&amp;'트랜드 분석_15일'!Y$27,'2023년 신조차 고장관리 세부현황'!$P:$P,"&lt;"&amp;'트랜드 분석_15일'!Z$27,'2023년 신조차 고장관리 세부현황'!$BC:$BC,"완료",'2023년 신조차 고장관리 세부현황'!$CY:$CY,"밸브")</f>
        <v>0</v>
      </c>
      <c r="AA392" s="85">
        <f ca="1">COUNTIFS('2023년 신조차 고장관리 세부현황'!$K:$K,"448R",'2023년 신조차 고장관리 세부현황'!$P:$P,"&gt;="&amp;'트랜드 분석_15일'!Z$27,'2023년 신조차 고장관리 세부현황'!$P:$P,"&lt;"&amp;'트랜드 분석_15일'!AA$27,'2023년 신조차 고장관리 세부현황'!$BC:$BC,"완료",'2023년 신조차 고장관리 세부현황'!$CY:$CY,"밸브")</f>
        <v>0</v>
      </c>
      <c r="AB392" s="85">
        <f ca="1">COUNTIFS('2023년 신조차 고장관리 세부현황'!$K:$K,"448R",'2023년 신조차 고장관리 세부현황'!$P:$P,"&gt;="&amp;'트랜드 분석_15일'!AA$27,'2023년 신조차 고장관리 세부현황'!$P:$P,"&lt;"&amp;'트랜드 분석_15일'!AB$27,'2023년 신조차 고장관리 세부현황'!$BC:$BC,"완료",'2023년 신조차 고장관리 세부현황'!$CY:$CY,"밸브")</f>
        <v>0</v>
      </c>
      <c r="AC392" s="85">
        <f ca="1">COUNTIFS('2023년 신조차 고장관리 세부현황'!$K:$K,"448R",'2023년 신조차 고장관리 세부현황'!$P:$P,"&gt;="&amp;'트랜드 분석_15일'!AB$27,'2023년 신조차 고장관리 세부현황'!$P:$P,"&lt;"&amp;'트랜드 분석_15일'!AC$27,'2023년 신조차 고장관리 세부현황'!$BC:$BC,"완료",'2023년 신조차 고장관리 세부현황'!$CY:$CY,"밸브")</f>
        <v>0</v>
      </c>
      <c r="AD392" s="85">
        <f ca="1">COUNTIFS('2023년 신조차 고장관리 세부현황'!$K:$K,"448R",'2023년 신조차 고장관리 세부현황'!$P:$P,"&gt;="&amp;'트랜드 분석_15일'!AC$27,'2023년 신조차 고장관리 세부현황'!$P:$P,"&lt;"&amp;'트랜드 분석_15일'!AD$27,'2023년 신조차 고장관리 세부현황'!$BC:$BC,"완료",'2023년 신조차 고장관리 세부현황'!$CY:$CY,"밸브")</f>
        <v>0</v>
      </c>
      <c r="AE392" s="85">
        <f ca="1">COUNTIFS('2023년 신조차 고장관리 세부현황'!$K:$K,"448R",'2023년 신조차 고장관리 세부현황'!$P:$P,"&gt;="&amp;'트랜드 분석_15일'!AD$27,'2023년 신조차 고장관리 세부현황'!$P:$P,"&lt;"&amp;'트랜드 분석_15일'!AE$27,'2023년 신조차 고장관리 세부현황'!$BC:$BC,"완료",'2023년 신조차 고장관리 세부현황'!$CY:$CY,"밸브")</f>
        <v>0</v>
      </c>
      <c r="AF392" s="85">
        <f ca="1">COUNTIFS('2023년 신조차 고장관리 세부현황'!$K:$K,"448R",'2023년 신조차 고장관리 세부현황'!$P:$P,"&gt;="&amp;'트랜드 분석_15일'!AE$27,'2023년 신조차 고장관리 세부현황'!$P:$P,"&lt;"&amp;'트랜드 분석_15일'!AF$27,'2023년 신조차 고장관리 세부현황'!$BC:$BC,"완료",'2023년 신조차 고장관리 세부현황'!$CY:$CY,"밸브")</f>
        <v>0</v>
      </c>
      <c r="AG392" s="85">
        <f ca="1">COUNTIFS('2023년 신조차 고장관리 세부현황'!$K:$K,"448R",'2023년 신조차 고장관리 세부현황'!$P:$P,"&gt;="&amp;'트랜드 분석_15일'!AF$27,'2023년 신조차 고장관리 세부현황'!$P:$P,"&lt;"&amp;'트랜드 분석_15일'!AG$27,'2023년 신조차 고장관리 세부현황'!$BC:$BC,"완료",'2023년 신조차 고장관리 세부현황'!$CY:$CY,"밸브")</f>
        <v>0</v>
      </c>
      <c r="AH392" s="85">
        <f>COUNTIFS('2023년 신조차 고장관리 세부현황'!$K:$K,"448R",'2023년 신조차 고장관리 세부현황'!$P:$P,"&gt;="&amp;'트랜드 분석_15일'!AG$27,'2023년 신조차 고장관리 세부현황'!$P:$P,"&lt;"&amp;'트랜드 분석_15일'!AH$27,'2023년 신조차 고장관리 세부현황'!$BC:$BC,"완료",'2023년 신조차 고장관리 세부현황'!$CY:$CY,"밸브")</f>
        <v>0</v>
      </c>
      <c r="AI392" s="85">
        <f>COUNTIFS('2023년 신조차 고장관리 세부현황'!$K:$K,"448R",'2023년 신조차 고장관리 세부현황'!$P:$P,"&gt;="&amp;'트랜드 분석_15일'!AH$27,'2023년 신조차 고장관리 세부현황'!$P:$P,"&lt;"&amp;'트랜드 분석_15일'!AI$27,'2023년 신조차 고장관리 세부현황'!$BC:$BC,"완료",'2023년 신조차 고장관리 세부현황'!$CY:$CY,"밸브")</f>
        <v>0</v>
      </c>
      <c r="AJ392" s="85">
        <f>COUNTIFS('2023년 신조차 고장관리 세부현황'!$K:$K,"448R",'2023년 신조차 고장관리 세부현황'!$P:$P,"&gt;="&amp;'트랜드 분석_15일'!AI$27,'2023년 신조차 고장관리 세부현황'!$P:$P,"&lt;"&amp;'트랜드 분석_15일'!AJ$27,'2023년 신조차 고장관리 세부현황'!$BC:$BC,"완료",'2023년 신조차 고장관리 세부현황'!$CY:$CY,"밸브")</f>
        <v>0</v>
      </c>
      <c r="AK392" s="85">
        <f ca="1">COUNTIFS('2023년 신조차 고장관리 세부현황'!$K:$K,"448R",'2023년 신조차 고장관리 세부현황'!$P:$P,"&gt;="&amp;'트랜드 분석_15일'!AJ$27,'2023년 신조차 고장관리 세부현황'!$P:$P,"&lt;"&amp;'트랜드 분석_15일'!AK$27,'2023년 신조차 고장관리 세부현황'!$BC:$BC,"완료",'2023년 신조차 고장관리 세부현황'!$CY:$CY,"밸브")</f>
        <v>0</v>
      </c>
      <c r="AL392" s="85">
        <f ca="1">COUNTIFS('2023년 신조차 고장관리 세부현황'!$K:$K,"448R",'2023년 신조차 고장관리 세부현황'!$P:$P,"&gt;="&amp;'트랜드 분석_15일'!AK$27,'2023년 신조차 고장관리 세부현황'!$P:$P,"&lt;"&amp;'트랜드 분석_15일'!AL$27,'2023년 신조차 고장관리 세부현황'!$BC:$BC,"완료",'2023년 신조차 고장관리 세부현황'!$CY:$CY,"밸브")</f>
        <v>0</v>
      </c>
      <c r="AM392" s="85">
        <f>COUNTIFS('2023년 신조차 고장관리 세부현황'!$K:$K,"448R",'2023년 신조차 고장관리 세부현황'!$P:$P,"&gt;="&amp;'트랜드 분석_15일'!AL$27,'2023년 신조차 고장관리 세부현황'!$P:$P,"&lt;"&amp;'트랜드 분석_15일'!AM$27,'2023년 신조차 고장관리 세부현황'!$BC:$BC,"완료",'2023년 신조차 고장관리 세부현황'!$CY:$CY,"밸브")</f>
        <v>0</v>
      </c>
      <c r="AN392" s="85">
        <f>COUNTIFS('2023년 신조차 고장관리 세부현황'!$K:$K,"448R",'2023년 신조차 고장관리 세부현황'!$P:$P,"&gt;="&amp;'트랜드 분석_15일'!AM$27,'2023년 신조차 고장관리 세부현황'!$P:$P,"&lt;"&amp;'트랜드 분석_15일'!AN$27,'2023년 신조차 고장관리 세부현황'!$BC:$BC,"완료",'2023년 신조차 고장관리 세부현황'!$CY:$CY,"밸브")</f>
        <v>0</v>
      </c>
      <c r="AO392" s="85">
        <f ca="1">COUNTIFS('2023년 신조차 고장관리 세부현황'!$K:$K,"448R",'2023년 신조차 고장관리 세부현황'!$P:$P,"&gt;="&amp;'트랜드 분석_15일'!AN$27,'2023년 신조차 고장관리 세부현황'!$P:$P,"&lt;"&amp;'트랜드 분석_15일'!AO$27,'2023년 신조차 고장관리 세부현황'!$BC:$BC,"완료",'2023년 신조차 고장관리 세부현황'!$CY:$CY,"밸브")</f>
        <v>0</v>
      </c>
      <c r="AP392" s="85">
        <f>COUNTIFS('2023년 신조차 고장관리 세부현황'!$K:$K,"448R",'2023년 신조차 고장관리 세부현황'!$P:$P,"&gt;="&amp;'트랜드 분석_15일'!AO$27,'2023년 신조차 고장관리 세부현황'!$P:$P,"&lt;"&amp;'트랜드 분석_15일'!AP$27,'2023년 신조차 고장관리 세부현황'!$BC:$BC,"완료",'2023년 신조차 고장관리 세부현황'!$CY:$CY,"밸브")</f>
        <v>0</v>
      </c>
      <c r="AQ392" s="85">
        <f ca="1">COUNTIFS('2023년 신조차 고장관리 세부현황'!$K:$K,"448R",'2023년 신조차 고장관리 세부현황'!$P:$P,"&gt;="&amp;'트랜드 분석_15일'!AP$27,'2023년 신조차 고장관리 세부현황'!$P:$P,"&lt;"&amp;'트랜드 분석_15일'!AQ$27,'2023년 신조차 고장관리 세부현황'!$BC:$BC,"완료",'2023년 신조차 고장관리 세부현황'!$CY:$CY,"밸브")</f>
        <v>0</v>
      </c>
      <c r="AR392" s="85">
        <f>COUNTIFS('2023년 신조차 고장관리 세부현황'!$K:$K,"448R",'2023년 신조차 고장관리 세부현황'!$P:$P,"&gt;="&amp;'트랜드 분석_15일'!AQ$27,'2023년 신조차 고장관리 세부현황'!$P:$P,"&lt;"&amp;'트랜드 분석_15일'!AR$27,'2023년 신조차 고장관리 세부현황'!$BC:$BC,"완료",'2023년 신조차 고장관리 세부현황'!$CY:$CY,"밸브")</f>
        <v>0</v>
      </c>
      <c r="AS392" s="85">
        <f>COUNTIFS('2023년 신조차 고장관리 세부현황'!$K:$K,"448R",'2023년 신조차 고장관리 세부현황'!$P:$P,"&gt;="&amp;'트랜드 분석_15일'!AR$27,'2023년 신조차 고장관리 세부현황'!$P:$P,"&lt;"&amp;'트랜드 분석_15일'!AS$27,'2023년 신조차 고장관리 세부현황'!$BC:$BC,"완료",'2023년 신조차 고장관리 세부현황'!$CY:$CY,"밸브")</f>
        <v>0</v>
      </c>
      <c r="AT392" s="85">
        <f>COUNTIFS('2023년 신조차 고장관리 세부현황'!$K:$K,"448R",'2023년 신조차 고장관리 세부현황'!$P:$P,"&gt;="&amp;'트랜드 분석_15일'!AS$27,'2023년 신조차 고장관리 세부현황'!$P:$P,"&lt;"&amp;'트랜드 분석_15일'!AT$27,'2023년 신조차 고장관리 세부현황'!$BC:$BC,"완료",'2023년 신조차 고장관리 세부현황'!$CY:$CY,"밸브")</f>
        <v>0</v>
      </c>
      <c r="AU392" s="85">
        <f>COUNTIFS('2023년 신조차 고장관리 세부현황'!$K:$K,"448R",'2023년 신조차 고장관리 세부현황'!$P:$P,"&gt;="&amp;'트랜드 분석_15일'!AT$27,'2023년 신조차 고장관리 세부현황'!$P:$P,"&lt;"&amp;'트랜드 분석_15일'!AU$27,'2023년 신조차 고장관리 세부현황'!$BC:$BC,"완료",'2023년 신조차 고장관리 세부현황'!$CY:$CY,"밸브")</f>
        <v>0</v>
      </c>
      <c r="AV392" s="85">
        <f>COUNTIFS('2023년 신조차 고장관리 세부현황'!$K:$K,"448R",'2023년 신조차 고장관리 세부현황'!$P:$P,"&gt;="&amp;'트랜드 분석_15일'!AU$27,'2023년 신조차 고장관리 세부현황'!$P:$P,"&lt;"&amp;'트랜드 분석_15일'!AV$27,'2023년 신조차 고장관리 세부현황'!$BC:$BC,"완료",'2023년 신조차 고장관리 세부현황'!$CY:$CY,"밸브")</f>
        <v>0</v>
      </c>
      <c r="AW392" s="85">
        <f>COUNTIFS('2023년 신조차 고장관리 세부현황'!$K:$K,"448R",'2023년 신조차 고장관리 세부현황'!$P:$P,"&gt;="&amp;'트랜드 분석_15일'!AV$27,'2023년 신조차 고장관리 세부현황'!$P:$P,"&lt;"&amp;'트랜드 분석_15일'!AW$27,'2023년 신조차 고장관리 세부현황'!$BC:$BC,"완료",'2023년 신조차 고장관리 세부현황'!$CY:$CY,"밸브")</f>
        <v>0</v>
      </c>
      <c r="AX392" s="85">
        <f>COUNTIFS('2023년 신조차 고장관리 세부현황'!$K:$K,"448R",'2023년 신조차 고장관리 세부현황'!$P:$P,"&gt;="&amp;'트랜드 분석_15일'!AW$27,'2023년 신조차 고장관리 세부현황'!$P:$P,"&lt;"&amp;'트랜드 분석_15일'!AX$27,'2023년 신조차 고장관리 세부현황'!$BC:$BC,"완료",'2023년 신조차 고장관리 세부현황'!$CY:$CY,"밸브")</f>
        <v>0</v>
      </c>
      <c r="AY392" s="85">
        <f>COUNTIFS('2023년 신조차 고장관리 세부현황'!$K:$K,"448R",'2023년 신조차 고장관리 세부현황'!$P:$P,"&gt;="&amp;'트랜드 분석_15일'!AX$27,'2023년 신조차 고장관리 세부현황'!$P:$P,"&lt;"&amp;'트랜드 분석_15일'!AY$27,'2023년 신조차 고장관리 세부현황'!$BC:$BC,"완료",'2023년 신조차 고장관리 세부현황'!$CY:$CY,"밸브")</f>
        <v>0</v>
      </c>
      <c r="AZ392" s="85">
        <f>COUNTIFS('2023년 신조차 고장관리 세부현황'!$K:$K,"448R",'2023년 신조차 고장관리 세부현황'!$P:$P,"&gt;="&amp;'트랜드 분석_15일'!AY$27,'2023년 신조차 고장관리 세부현황'!$P:$P,"&lt;"&amp;'트랜드 분석_15일'!AZ$27,'2023년 신조차 고장관리 세부현황'!$BC:$BC,"완료",'2023년 신조차 고장관리 세부현황'!$CY:$CY,"밸브")</f>
        <v>0</v>
      </c>
      <c r="BA392" s="85">
        <f>COUNTIFS('2023년 신조차 고장관리 세부현황'!$K:$K,"448R",'2023년 신조차 고장관리 세부현황'!$P:$P,"&gt;="&amp;'트랜드 분석_15일'!AZ$27,'2023년 신조차 고장관리 세부현황'!$P:$P,"&lt;"&amp;'트랜드 분석_15일'!BA$27,'2023년 신조차 고장관리 세부현황'!$BC:$BC,"완료",'2023년 신조차 고장관리 세부현황'!$CY:$CY,"밸브")</f>
        <v>0</v>
      </c>
      <c r="BB392" s="85">
        <f>COUNTIFS('2023년 신조차 고장관리 세부현황'!$K:$K,"448R",'2023년 신조차 고장관리 세부현황'!$P:$P,"&gt;="&amp;'트랜드 분석_15일'!BA$27,'2023년 신조차 고장관리 세부현황'!$P:$P,"&lt;"&amp;'트랜드 분석_15일'!BB$27,'2023년 신조차 고장관리 세부현황'!$BC:$BC,"완료",'2023년 신조차 고장관리 세부현황'!$CY:$CY,"밸브")</f>
        <v>0</v>
      </c>
      <c r="BC392" s="85">
        <f>COUNTIFS('2023년 신조차 고장관리 세부현황'!$K:$K,"448R",'2023년 신조차 고장관리 세부현황'!$P:$P,"&gt;="&amp;'트랜드 분석_15일'!BB$27,'2023년 신조차 고장관리 세부현황'!$P:$P,"&lt;"&amp;'트랜드 분석_15일'!BC$27,'2023년 신조차 고장관리 세부현황'!$BC:$BC,"완료",'2023년 신조차 고장관리 세부현황'!$CY:$CY,"밸브")</f>
        <v>0</v>
      </c>
      <c r="BD392" s="85">
        <f>COUNTIFS('2023년 신조차 고장관리 세부현황'!$K:$K,"448R",'2023년 신조차 고장관리 세부현황'!$P:$P,"&gt;="&amp;'트랜드 분석_15일'!BC$27,'2023년 신조차 고장관리 세부현황'!$P:$P,"&lt;"&amp;'트랜드 분석_15일'!BD$27,'2023년 신조차 고장관리 세부현황'!$BC:$BC,"완료",'2023년 신조차 고장관리 세부현황'!$CY:$CY,"밸브")</f>
        <v>0</v>
      </c>
      <c r="BE392" s="85">
        <f>COUNTIFS('2023년 신조차 고장관리 세부현황'!$K:$K,"448R",'2023년 신조차 고장관리 세부현황'!$P:$P,"&gt;="&amp;'트랜드 분석_15일'!BD$27,'2023년 신조차 고장관리 세부현황'!$P:$P,"&lt;"&amp;'트랜드 분석_15일'!BE$27,'2023년 신조차 고장관리 세부현황'!$BC:$BC,"완료",'2023년 신조차 고장관리 세부현황'!$CY:$CY,"밸브")</f>
        <v>0</v>
      </c>
      <c r="BF392" s="85">
        <f>COUNTIFS('2023년 신조차 고장관리 세부현황'!$K:$K,"448R",'2023년 신조차 고장관리 세부현황'!$P:$P,"&gt;="&amp;'트랜드 분석_15일'!BE$27,'2023년 신조차 고장관리 세부현황'!$P:$P,"&lt;"&amp;'트랜드 분석_15일'!BF$27,'2023년 신조차 고장관리 세부현황'!$BC:$BC,"완료",'2023년 신조차 고장관리 세부현황'!$CY:$CY,"밸브")</f>
        <v>0</v>
      </c>
      <c r="BG392" s="85">
        <f>COUNTIFS('2023년 신조차 고장관리 세부현황'!$K:$K,"448R",'2023년 신조차 고장관리 세부현황'!$P:$P,"&gt;="&amp;'트랜드 분석_15일'!BF$27,'2023년 신조차 고장관리 세부현황'!$P:$P,"&lt;"&amp;'트랜드 분석_15일'!BG$27,'2023년 신조차 고장관리 세부현황'!$BC:$BC,"완료",'2023년 신조차 고장관리 세부현황'!$CY:$CY,"밸브")</f>
        <v>0</v>
      </c>
      <c r="BH392" s="85">
        <f>COUNTIFS('2023년 신조차 고장관리 세부현황'!$K:$K,"448R",'2023년 신조차 고장관리 세부현황'!$P:$P,"&gt;="&amp;'트랜드 분석_15일'!BG$27,'2023년 신조차 고장관리 세부현황'!$P:$P,"&lt;"&amp;'트랜드 분석_15일'!BH$27,'2023년 신조차 고장관리 세부현황'!$BC:$BC,"완료",'2023년 신조차 고장관리 세부현황'!$CY:$CY,"밸브")</f>
        <v>0</v>
      </c>
      <c r="BI392" s="85">
        <f>COUNTIFS('2023년 신조차 고장관리 세부현황'!$K:$K,"448R",'2023년 신조차 고장관리 세부현황'!$P:$P,"&gt;="&amp;'트랜드 분석_15일'!BH$27,'2023년 신조차 고장관리 세부현황'!$P:$P,"&lt;"&amp;'트랜드 분석_15일'!BI$27,'2023년 신조차 고장관리 세부현황'!$BC:$BC,"완료",'2023년 신조차 고장관리 세부현황'!$CY:$CY,"밸브")</f>
        <v>0</v>
      </c>
      <c r="BJ392" s="85">
        <f>COUNTIFS('2023년 신조차 고장관리 세부현황'!$K:$K,"448R",'2023년 신조차 고장관리 세부현황'!$P:$P,"&gt;="&amp;'트랜드 분석_15일'!BI$27,'2023년 신조차 고장관리 세부현황'!$P:$P,"&lt;"&amp;'트랜드 분석_15일'!BJ$27,'2023년 신조차 고장관리 세부현황'!$BC:$BC,"완료",'2023년 신조차 고장관리 세부현황'!$CY:$CY,"밸브")</f>
        <v>0</v>
      </c>
      <c r="BK392" s="85">
        <f>COUNTIFS('2023년 신조차 고장관리 세부현황'!$K:$K,"448R",'2023년 신조차 고장관리 세부현황'!$P:$P,"&gt;="&amp;'트랜드 분석_15일'!BJ$27,'2023년 신조차 고장관리 세부현황'!$P:$P,"&lt;"&amp;'트랜드 분석_15일'!BK$27,'2023년 신조차 고장관리 세부현황'!$BC:$BC,"완료",'2023년 신조차 고장관리 세부현황'!$CY:$CY,"밸브")</f>
        <v>0</v>
      </c>
      <c r="BL392" s="85">
        <f>COUNTIFS('2023년 신조차 고장관리 세부현황'!$K:$K,"448R",'2023년 신조차 고장관리 세부현황'!$P:$P,"&gt;="&amp;'트랜드 분석_15일'!BK$27,'2023년 신조차 고장관리 세부현황'!$P:$P,"&lt;"&amp;'트랜드 분석_15일'!BL$27,'2023년 신조차 고장관리 세부현황'!$BC:$BC,"완료",'2023년 신조차 고장관리 세부현황'!$CY:$CY,"밸브")</f>
        <v>0</v>
      </c>
      <c r="BM392" s="85">
        <f>COUNTIFS('2023년 신조차 고장관리 세부현황'!$K:$K,"448R",'2023년 신조차 고장관리 세부현황'!$P:$P,"&gt;="&amp;'트랜드 분석_15일'!BL$27,'2023년 신조차 고장관리 세부현황'!$P:$P,"&lt;"&amp;'트랜드 분석_15일'!BM$27,'2023년 신조차 고장관리 세부현황'!$BC:$BC,"완료",'2023년 신조차 고장관리 세부현황'!$CY:$CY,"밸브")</f>
        <v>0</v>
      </c>
      <c r="BN392" s="85">
        <f>COUNTIFS('2023년 신조차 고장관리 세부현황'!$K:$K,"448R",'2023년 신조차 고장관리 세부현황'!$P:$P,"&gt;="&amp;'트랜드 분석_15일'!BM$27,'2023년 신조차 고장관리 세부현황'!$P:$P,"&lt;"&amp;'트랜드 분석_15일'!BN$27,'2023년 신조차 고장관리 세부현황'!$BC:$BC,"완료",'2023년 신조차 고장관리 세부현황'!$CY:$CY,"밸브")</f>
        <v>0</v>
      </c>
      <c r="BO392" s="85">
        <f>COUNTIFS('2023년 신조차 고장관리 세부현황'!$K:$K,"448R",'2023년 신조차 고장관리 세부현황'!$P:$P,"&gt;="&amp;'트랜드 분석_15일'!BN$27,'2023년 신조차 고장관리 세부현황'!$P:$P,"&lt;"&amp;'트랜드 분석_15일'!BO$27,'2023년 신조차 고장관리 세부현황'!$BC:$BC,"완료",'2023년 신조차 고장관리 세부현황'!$CY:$CY,"밸브")</f>
        <v>0</v>
      </c>
      <c r="BP392" s="85">
        <f>COUNTIFS('2023년 신조차 고장관리 세부현황'!$K:$K,"448R",'2023년 신조차 고장관리 세부현황'!$P:$P,"&gt;="&amp;'트랜드 분석_15일'!BO$27,'2023년 신조차 고장관리 세부현황'!$P:$P,"&lt;"&amp;'트랜드 분석_15일'!BP$27,'2023년 신조차 고장관리 세부현황'!$BC:$BC,"완료",'2023년 신조차 고장관리 세부현황'!$CY:$CY,"밸브")</f>
        <v>0</v>
      </c>
      <c r="BQ392" s="85">
        <f>COUNTIFS('2023년 신조차 고장관리 세부현황'!$K:$K,"448R",'2023년 신조차 고장관리 세부현황'!$P:$P,"&gt;="&amp;'트랜드 분석_15일'!BP$27,'2023년 신조차 고장관리 세부현황'!$P:$P,"&lt;"&amp;'트랜드 분석_15일'!BQ$27,'2023년 신조차 고장관리 세부현황'!$BC:$BC,"완료",'2023년 신조차 고장관리 세부현황'!$CY:$CY,"밸브")</f>
        <v>0</v>
      </c>
      <c r="BR392" s="85">
        <f>COUNTIFS('2023년 신조차 고장관리 세부현황'!$K:$K,"448R",'2023년 신조차 고장관리 세부현황'!$P:$P,"&gt;="&amp;'트랜드 분석_15일'!BQ$27,'2023년 신조차 고장관리 세부현황'!$P:$P,"&lt;"&amp;'트랜드 분석_15일'!BR$27,'2023년 신조차 고장관리 세부현황'!$BC:$BC,"완료",'2023년 신조차 고장관리 세부현황'!$CY:$CY,"밸브")</f>
        <v>0</v>
      </c>
      <c r="BS392" s="85">
        <f>COUNTIFS('2023년 신조차 고장관리 세부현황'!$K:$K,"448R",'2023년 신조차 고장관리 세부현황'!$P:$P,"&gt;="&amp;'트랜드 분석_15일'!BR$27,'2023년 신조차 고장관리 세부현황'!$P:$P,"&lt;"&amp;'트랜드 분석_15일'!BS$27,'2023년 신조차 고장관리 세부현황'!$BC:$BC,"완료",'2023년 신조차 고장관리 세부현황'!$CY:$CY,"밸브")</f>
        <v>0</v>
      </c>
      <c r="BT392" s="85">
        <f>COUNTIFS('2023년 신조차 고장관리 세부현황'!$K:$K,"448R",'2023년 신조차 고장관리 세부현황'!$P:$P,"&gt;="&amp;'트랜드 분석_15일'!BS$27,'2023년 신조차 고장관리 세부현황'!$P:$P,"&lt;"&amp;'트랜드 분석_15일'!BT$27,'2023년 신조차 고장관리 세부현황'!$BC:$BC,"완료",'2023년 신조차 고장관리 세부현황'!$CY:$CY,"밸브")</f>
        <v>0</v>
      </c>
      <c r="BU392" s="85">
        <f>COUNTIFS('2023년 신조차 고장관리 세부현황'!$K:$K,"448R",'2023년 신조차 고장관리 세부현황'!$P:$P,"&gt;="&amp;'트랜드 분석_15일'!BT$27,'2023년 신조차 고장관리 세부현황'!$P:$P,"&lt;"&amp;'트랜드 분석_15일'!BU$27,'2023년 신조차 고장관리 세부현황'!$BC:$BC,"완료",'2023년 신조차 고장관리 세부현황'!$CY:$CY,"밸브")</f>
        <v>0</v>
      </c>
      <c r="BV392" s="85">
        <f>COUNTIFS('2023년 신조차 고장관리 세부현황'!$K:$K,"448R",'2023년 신조차 고장관리 세부현황'!$P:$P,"&gt;="&amp;'트랜드 분석_15일'!BU$27,'2023년 신조차 고장관리 세부현황'!$P:$P,"&lt;"&amp;'트랜드 분석_15일'!BV$27,'2023년 신조차 고장관리 세부현황'!$BC:$BC,"완료",'2023년 신조차 고장관리 세부현황'!$CY:$CY,"밸브")</f>
        <v>0</v>
      </c>
      <c r="BW392" s="85">
        <f>COUNTIFS('2023년 신조차 고장관리 세부현황'!$K:$K,"448R",'2023년 신조차 고장관리 세부현황'!$P:$P,"&gt;="&amp;'트랜드 분석_15일'!BV$27,'2023년 신조차 고장관리 세부현황'!$P:$P,"&lt;"&amp;'트랜드 분석_15일'!BW$27,'2023년 신조차 고장관리 세부현황'!$BC:$BC,"완료",'2023년 신조차 고장관리 세부현황'!$CY:$CY,"밸브")</f>
        <v>0</v>
      </c>
      <c r="BX392" s="85">
        <f>COUNTIFS('2023년 신조차 고장관리 세부현황'!$K:$K,"448R",'2023년 신조차 고장관리 세부현황'!$P:$P,"&gt;="&amp;'트랜드 분석_15일'!BW$27,'2023년 신조차 고장관리 세부현황'!$P:$P,"&lt;"&amp;'트랜드 분석_15일'!BX$27,'2023년 신조차 고장관리 세부현황'!$BC:$BC,"완료",'2023년 신조차 고장관리 세부현황'!$CY:$CY,"밸브")</f>
        <v>0</v>
      </c>
      <c r="BY392" s="85">
        <f>COUNTIFS('2023년 신조차 고장관리 세부현황'!$K:$K,"448R",'2023년 신조차 고장관리 세부현황'!$P:$P,"&gt;="&amp;'트랜드 분석_15일'!BX$27,'2023년 신조차 고장관리 세부현황'!$P:$P,"&lt;"&amp;'트랜드 분석_15일'!BY$27,'2023년 신조차 고장관리 세부현황'!$BC:$BC,"완료",'2023년 신조차 고장관리 세부현황'!$CY:$CY,"밸브")</f>
        <v>0</v>
      </c>
      <c r="BZ392" s="85">
        <f>COUNTIFS('2023년 신조차 고장관리 세부현황'!$K:$K,"448R",'2023년 신조차 고장관리 세부현황'!$P:$P,"&gt;="&amp;'트랜드 분석_15일'!BY$27,'2023년 신조차 고장관리 세부현황'!$P:$P,"&lt;"&amp;'트랜드 분석_15일'!BZ$27,'2023년 신조차 고장관리 세부현황'!$BC:$BC,"완료",'2023년 신조차 고장관리 세부현황'!$CY:$CY,"밸브")</f>
        <v>0</v>
      </c>
      <c r="CA392" s="85">
        <f>COUNTIFS('2023년 신조차 고장관리 세부현황'!$K:$K,"448R",'2023년 신조차 고장관리 세부현황'!$P:$P,"&gt;="&amp;'트랜드 분석_15일'!BZ$27,'2023년 신조차 고장관리 세부현황'!$P:$P,"&lt;"&amp;'트랜드 분석_15일'!CA$27,'2023년 신조차 고장관리 세부현황'!$BC:$BC,"완료",'2023년 신조차 고장관리 세부현황'!$CY:$CY,"밸브")</f>
        <v>0</v>
      </c>
      <c r="CB392" s="85">
        <f>COUNTIFS('2023년 신조차 고장관리 세부현황'!$K:$K,"448R",'2023년 신조차 고장관리 세부현황'!$P:$P,"&gt;="&amp;'트랜드 분석_15일'!CA$27,'2023년 신조차 고장관리 세부현황'!$P:$P,"&lt;"&amp;'트랜드 분석_15일'!CB$27,'2023년 신조차 고장관리 세부현황'!$BC:$BC,"완료",'2023년 신조차 고장관리 세부현황'!$CY:$CY,"밸브")</f>
        <v>0</v>
      </c>
      <c r="CC392" s="85">
        <f>COUNTIFS('2023년 신조차 고장관리 세부현황'!$K:$K,"448R",'2023년 신조차 고장관리 세부현황'!$P:$P,"&gt;="&amp;'트랜드 분석_15일'!CB$27,'2023년 신조차 고장관리 세부현황'!$P:$P,"&lt;"&amp;'트랜드 분석_15일'!CC$27,'2023년 신조차 고장관리 세부현황'!$BC:$BC,"완료",'2023년 신조차 고장관리 세부현황'!$CY:$CY,"밸브")</f>
        <v>0</v>
      </c>
      <c r="CD392" s="85">
        <f>COUNTIFS('2023년 신조차 고장관리 세부현황'!$K:$K,"448R",'2023년 신조차 고장관리 세부현황'!$P:$P,"&gt;="&amp;'트랜드 분석_15일'!CC$27,'2023년 신조차 고장관리 세부현황'!$P:$P,"&lt;"&amp;'트랜드 분석_15일'!CD$27,'2023년 신조차 고장관리 세부현황'!$BC:$BC,"완료",'2023년 신조차 고장관리 세부현황'!$CY:$CY,"밸브")</f>
        <v>0</v>
      </c>
      <c r="CE392" s="85">
        <f>COUNTIFS('2023년 신조차 고장관리 세부현황'!$K:$K,"448R",'2023년 신조차 고장관리 세부현황'!$P:$P,"&gt;="&amp;'트랜드 분석_15일'!CD$27,'2023년 신조차 고장관리 세부현황'!$P:$P,"&lt;"&amp;'트랜드 분석_15일'!CE$27,'2023년 신조차 고장관리 세부현황'!$BC:$BC,"완료",'2023년 신조차 고장관리 세부현황'!$CY:$CY,"밸브")</f>
        <v>0</v>
      </c>
      <c r="CF392" s="85">
        <f>COUNTIFS('2023년 신조차 고장관리 세부현황'!$K:$K,"448R",'2023년 신조차 고장관리 세부현황'!$P:$P,"&gt;="&amp;'트랜드 분석_15일'!CE$27,'2023년 신조차 고장관리 세부현황'!$P:$P,"&lt;"&amp;'트랜드 분석_15일'!CF$27,'2023년 신조차 고장관리 세부현황'!$BC:$BC,"완료",'2023년 신조차 고장관리 세부현황'!$CY:$CY,"밸브")</f>
        <v>0</v>
      </c>
      <c r="CG392" s="85">
        <f>COUNTIFS('2023년 신조차 고장관리 세부현황'!$K:$K,"448R",'2023년 신조차 고장관리 세부현황'!$P:$P,"&gt;="&amp;'트랜드 분석_15일'!CF$27,'2023년 신조차 고장관리 세부현황'!$P:$P,"&lt;"&amp;'트랜드 분석_15일'!CG$27,'2023년 신조차 고장관리 세부현황'!$BC:$BC,"완료",'2023년 신조차 고장관리 세부현황'!$CY:$CY,"밸브")</f>
        <v>0</v>
      </c>
      <c r="CH392" s="85">
        <f>COUNTIFS('2023년 신조차 고장관리 세부현황'!$K:$K,"448R",'2023년 신조차 고장관리 세부현황'!$P:$P,"&gt;="&amp;'트랜드 분석_15일'!CG$27,'2023년 신조차 고장관리 세부현황'!$P:$P,"&lt;"&amp;'트랜드 분석_15일'!CH$27,'2023년 신조차 고장관리 세부현황'!$BC:$BC,"완료",'2023년 신조차 고장관리 세부현황'!$CY:$CY,"밸브")</f>
        <v>0</v>
      </c>
      <c r="CI392" s="85">
        <f>COUNTIFS('2023년 신조차 고장관리 세부현황'!$K:$K,"448R",'2023년 신조차 고장관리 세부현황'!$P:$P,"&gt;="&amp;'트랜드 분석_15일'!CH$27,'2023년 신조차 고장관리 세부현황'!$P:$P,"&lt;"&amp;'트랜드 분석_15일'!CI$27,'2023년 신조차 고장관리 세부현황'!$BC:$BC,"완료",'2023년 신조차 고장관리 세부현황'!$CY:$CY,"밸브")</f>
        <v>0</v>
      </c>
      <c r="CJ392" s="85">
        <f>COUNTIFS('2023년 신조차 고장관리 세부현황'!$K:$K,"448R",'2023년 신조차 고장관리 세부현황'!$P:$P,"&gt;="&amp;'트랜드 분석_15일'!CI$27,'2023년 신조차 고장관리 세부현황'!$P:$P,"&lt;"&amp;'트랜드 분석_15일'!CJ$27,'2023년 신조차 고장관리 세부현황'!$BC:$BC,"완료",'2023년 신조차 고장관리 세부현황'!$CY:$CY,"밸브")</f>
        <v>0</v>
      </c>
      <c r="CK392" s="85">
        <f>COUNTIFS('2023년 신조차 고장관리 세부현황'!$K:$K,"448R",'2023년 신조차 고장관리 세부현황'!$P:$P,"&gt;="&amp;'트랜드 분석_15일'!CJ$27,'2023년 신조차 고장관리 세부현황'!$P:$P,"&lt;"&amp;'트랜드 분석_15일'!CK$27,'2023년 신조차 고장관리 세부현황'!$BC:$BC,"완료",'2023년 신조차 고장관리 세부현황'!$CY:$CY,"밸브")</f>
        <v>0</v>
      </c>
      <c r="CL392" s="85">
        <f>COUNTIFS('2023년 신조차 고장관리 세부현황'!$K:$K,"448R",'2023년 신조차 고장관리 세부현황'!$P:$P,"&gt;="&amp;'트랜드 분석_15일'!CK$27,'2023년 신조차 고장관리 세부현황'!$P:$P,"&lt;"&amp;'트랜드 분석_15일'!CL$27,'2023년 신조차 고장관리 세부현황'!$BC:$BC,"완료",'2023년 신조차 고장관리 세부현황'!$CY:$CY,"밸브")</f>
        <v>0</v>
      </c>
      <c r="CM392" s="85">
        <f>COUNTIFS('2023년 신조차 고장관리 세부현황'!$K:$K,"448R",'2023년 신조차 고장관리 세부현황'!$P:$P,"&gt;="&amp;'트랜드 분석_15일'!CL$27,'2023년 신조차 고장관리 세부현황'!$P:$P,"&lt;"&amp;'트랜드 분석_15일'!CM$27,'2023년 신조차 고장관리 세부현황'!$BC:$BC,"완료",'2023년 신조차 고장관리 세부현황'!$CY:$CY,"밸브")</f>
        <v>0</v>
      </c>
      <c r="CN392" s="85">
        <f>COUNTIFS('2023년 신조차 고장관리 세부현황'!$K:$K,"448R",'2023년 신조차 고장관리 세부현황'!$P:$P,"&gt;="&amp;'트랜드 분석_15일'!CM$27,'2023년 신조차 고장관리 세부현황'!$P:$P,"&lt;"&amp;'트랜드 분석_15일'!CN$27,'2023년 신조차 고장관리 세부현황'!$BC:$BC,"완료",'2023년 신조차 고장관리 세부현황'!$CY:$CY,"밸브")</f>
        <v>0</v>
      </c>
      <c r="CO392" s="85">
        <f>COUNTIFS('2023년 신조차 고장관리 세부현황'!$K:$K,"448R",'2023년 신조차 고장관리 세부현황'!$P:$P,"&gt;="&amp;'트랜드 분석_15일'!CN$27,'2023년 신조차 고장관리 세부현황'!$P:$P,"&lt;"&amp;'트랜드 분석_15일'!CO$27,'2023년 신조차 고장관리 세부현황'!$BC:$BC,"완료",'2023년 신조차 고장관리 세부현황'!$CY:$CY,"밸브")</f>
        <v>0</v>
      </c>
      <c r="CP392" s="85">
        <f>COUNTIFS('2023년 신조차 고장관리 세부현황'!$K:$K,"448R",'2023년 신조차 고장관리 세부현황'!$P:$P,"&gt;="&amp;'트랜드 분석_15일'!CO$27,'2023년 신조차 고장관리 세부현황'!$P:$P,"&lt;"&amp;'트랜드 분석_15일'!CP$27,'2023년 신조차 고장관리 세부현황'!$BC:$BC,"완료",'2023년 신조차 고장관리 세부현황'!$CY:$CY,"밸브")</f>
        <v>0</v>
      </c>
      <c r="CQ392" s="85">
        <f>COUNTIFS('2023년 신조차 고장관리 세부현황'!$K:$K,"448R",'2023년 신조차 고장관리 세부현황'!$P:$P,"&gt;="&amp;'트랜드 분석_15일'!CP$27,'2023년 신조차 고장관리 세부현황'!$P:$P,"&lt;"&amp;'트랜드 분석_15일'!CQ$27,'2023년 신조차 고장관리 세부현황'!$BC:$BC,"완료",'2023년 신조차 고장관리 세부현황'!$CY:$CY,"밸브")</f>
        <v>0</v>
      </c>
      <c r="CR392" s="85">
        <f>COUNTIFS('2023년 신조차 고장관리 세부현황'!$K:$K,"448R",'2023년 신조차 고장관리 세부현황'!$P:$P,"&gt;="&amp;'트랜드 분석_15일'!CQ$27,'2023년 신조차 고장관리 세부현황'!$P:$P,"&lt;"&amp;'트랜드 분석_15일'!CR$27,'2023년 신조차 고장관리 세부현황'!$BC:$BC,"완료",'2023년 신조차 고장관리 세부현황'!$CY:$CY,"밸브")</f>
        <v>0</v>
      </c>
      <c r="CS392" s="85">
        <f>COUNTIFS('2023년 신조차 고장관리 세부현황'!$K:$K,"448R",'2023년 신조차 고장관리 세부현황'!$P:$P,"&gt;="&amp;'트랜드 분석_15일'!CR$27,'2023년 신조차 고장관리 세부현황'!$P:$P,"&lt;"&amp;'트랜드 분석_15일'!CS$27,'2023년 신조차 고장관리 세부현황'!$BC:$BC,"완료",'2023년 신조차 고장관리 세부현황'!$CY:$CY,"밸브")</f>
        <v>0</v>
      </c>
      <c r="CT392" s="85">
        <f>COUNTIFS('2023년 신조차 고장관리 세부현황'!$K:$K,"448R",'2023년 신조차 고장관리 세부현황'!$P:$P,"&gt;="&amp;'트랜드 분석_15일'!CS$27,'2023년 신조차 고장관리 세부현황'!$P:$P,"&lt;"&amp;'트랜드 분석_15일'!CT$27,'2023년 신조차 고장관리 세부현황'!$BC:$BC,"완료",'2023년 신조차 고장관리 세부현황'!$CY:$CY,"밸브")</f>
        <v>0</v>
      </c>
      <c r="CU392" s="85">
        <f>COUNTIFS('2023년 신조차 고장관리 세부현황'!$K:$K,"448R",'2023년 신조차 고장관리 세부현황'!$P:$P,"&gt;="&amp;'트랜드 분석_15일'!CT$27,'2023년 신조차 고장관리 세부현황'!$P:$P,"&lt;"&amp;'트랜드 분석_15일'!CU$27,'2023년 신조차 고장관리 세부현황'!$BC:$BC,"완료",'2023년 신조차 고장관리 세부현황'!$CY:$CY,"밸브")</f>
        <v>0</v>
      </c>
      <c r="CV392" s="85">
        <f>COUNTIFS('2023년 신조차 고장관리 세부현황'!$K:$K,"448R",'2023년 신조차 고장관리 세부현황'!$P:$P,"&gt;="&amp;'트랜드 분석_15일'!CU$27,'2023년 신조차 고장관리 세부현황'!$P:$P,"&lt;"&amp;'트랜드 분석_15일'!CV$27,'2023년 신조차 고장관리 세부현황'!$BC:$BC,"완료",'2023년 신조차 고장관리 세부현황'!$CY:$CY,"밸브")</f>
        <v>0</v>
      </c>
      <c r="CW392" s="85">
        <f>COUNTIFS('2023년 신조차 고장관리 세부현황'!$K:$K,"448R",'2023년 신조차 고장관리 세부현황'!$P:$P,"&gt;="&amp;'트랜드 분석_15일'!CV$27,'2023년 신조차 고장관리 세부현황'!$P:$P,"&lt;"&amp;'트랜드 분석_15일'!CW$27,'2023년 신조차 고장관리 세부현황'!$BC:$BC,"완료",'2023년 신조차 고장관리 세부현황'!$CY:$CY,"밸브")</f>
        <v>0</v>
      </c>
      <c r="CX392">
        <f ca="1">SUM(G392:CW392)</f>
        <v>0</v>
      </c>
    </row>
    <row r="393" spans="6:103" x14ac:dyDescent="0.4">
      <c r="F393" s="85" t="s">
        <v>164</v>
      </c>
      <c r="G393" s="85">
        <f>COUNTIFS('2023년 신조차 고장관리 세부현황'!$K:$K,"448R",'2023년 신조차 고장관리 세부현황'!$P:$P,"&gt;="&amp;$G$26,'2023년 신조차 고장관리 세부현황'!$P:$P,"&lt;"&amp;'트랜드 분석_15일'!G$27,'2023년 신조차 고장관리 세부현황'!$S:$S,'트랜드 분석_15일'!$F393,'2023년 신조차 고장관리 세부현황'!$BC:$BC,"완료",'2023년 신조차 고장관리 세부현황'!$CY:$CY,"밸브")</f>
        <v>0</v>
      </c>
      <c r="H393"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분석_15일'!$F393,'2023년 신조차 고장관리 세부현황'!$BC:$BC,"완료",'2023년 신조차 고장관리 세부현황'!$CY:$CY,"밸브")</f>
        <v>0</v>
      </c>
      <c r="I393"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분석_15일'!$F393,'2023년 신조차 고장관리 세부현황'!$BC:$BC,"완료",'2023년 신조차 고장관리 세부현황'!$CY:$CY,"밸브")</f>
        <v>0</v>
      </c>
      <c r="J393"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분석_15일'!$F393,'2023년 신조차 고장관리 세부현황'!$BC:$BC,"완료",'2023년 신조차 고장관리 세부현황'!$CY:$CY,"밸브")</f>
        <v>0</v>
      </c>
      <c r="K393"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분석_15일'!$F393,'2023년 신조차 고장관리 세부현황'!$BC:$BC,"완료",'2023년 신조차 고장관리 세부현황'!$CY:$CY,"밸브")</f>
        <v>0</v>
      </c>
      <c r="L393"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분석_15일'!$F393,'2023년 신조차 고장관리 세부현황'!$BC:$BC,"완료",'2023년 신조차 고장관리 세부현황'!$CY:$CY,"밸브")</f>
        <v>0</v>
      </c>
      <c r="M393"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분석_15일'!$F393,'2023년 신조차 고장관리 세부현황'!$BC:$BC,"완료",'2023년 신조차 고장관리 세부현황'!$CY:$CY,"밸브")</f>
        <v>0</v>
      </c>
      <c r="N393"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분석_15일'!$F393,'2023년 신조차 고장관리 세부현황'!$BC:$BC,"완료",'2023년 신조차 고장관리 세부현황'!$CY:$CY,"밸브")</f>
        <v>0</v>
      </c>
      <c r="O393"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분석_15일'!$F393,'2023년 신조차 고장관리 세부현황'!$BC:$BC,"완료",'2023년 신조차 고장관리 세부현황'!$CY:$CY,"밸브")</f>
        <v>0</v>
      </c>
      <c r="P393"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분석_15일'!$F393,'2023년 신조차 고장관리 세부현황'!$BC:$BC,"완료",'2023년 신조차 고장관리 세부현황'!$CY:$CY,"밸브")</f>
        <v>0</v>
      </c>
      <c r="Q393"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분석_15일'!$F393,'2023년 신조차 고장관리 세부현황'!$BC:$BC,"완료",'2023년 신조차 고장관리 세부현황'!$CY:$CY,"밸브")</f>
        <v>0</v>
      </c>
      <c r="R393"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분석_15일'!$F393,'2023년 신조차 고장관리 세부현황'!$BC:$BC,"완료",'2023년 신조차 고장관리 세부현황'!$CY:$CY,"밸브")</f>
        <v>0</v>
      </c>
      <c r="S393"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분석_15일'!$F393,'2023년 신조차 고장관리 세부현황'!$BC:$BC,"완료",'2023년 신조차 고장관리 세부현황'!$CY:$CY,"밸브")</f>
        <v>0</v>
      </c>
      <c r="T393"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분석_15일'!$F393,'2023년 신조차 고장관리 세부현황'!$BC:$BC,"완료",'2023년 신조차 고장관리 세부현황'!$CY:$CY,"밸브")</f>
        <v>0</v>
      </c>
      <c r="U393"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분석_15일'!$F393,'2023년 신조차 고장관리 세부현황'!$BC:$BC,"완료",'2023년 신조차 고장관리 세부현황'!$CY:$CY,"밸브")</f>
        <v>0</v>
      </c>
      <c r="V393"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분석_15일'!$F393,'2023년 신조차 고장관리 세부현황'!$BC:$BC,"완료",'2023년 신조차 고장관리 세부현황'!$CY:$CY,"밸브")</f>
        <v>0</v>
      </c>
      <c r="W393"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분석_15일'!$F393,'2023년 신조차 고장관리 세부현황'!$BC:$BC,"완료",'2023년 신조차 고장관리 세부현황'!$CY:$CY,"밸브")</f>
        <v>0</v>
      </c>
      <c r="X393"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분석_15일'!$F393,'2023년 신조차 고장관리 세부현황'!$BC:$BC,"완료",'2023년 신조차 고장관리 세부현황'!$CY:$CY,"밸브")</f>
        <v>0</v>
      </c>
      <c r="Y393"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분석_15일'!$F393,'2023년 신조차 고장관리 세부현황'!$BC:$BC,"완료",'2023년 신조차 고장관리 세부현황'!$CY:$CY,"밸브")</f>
        <v>0</v>
      </c>
      <c r="Z393"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분석_15일'!$F393,'2023년 신조차 고장관리 세부현황'!$BC:$BC,"완료",'2023년 신조차 고장관리 세부현황'!$CY:$CY,"밸브")</f>
        <v>0</v>
      </c>
      <c r="AA393"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분석_15일'!$F393,'2023년 신조차 고장관리 세부현황'!$BC:$BC,"완료",'2023년 신조차 고장관리 세부현황'!$CY:$CY,"밸브")</f>
        <v>0</v>
      </c>
      <c r="AB393"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분석_15일'!$F393,'2023년 신조차 고장관리 세부현황'!$BC:$BC,"완료",'2023년 신조차 고장관리 세부현황'!$CY:$CY,"밸브")</f>
        <v>0</v>
      </c>
      <c r="AC393"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분석_15일'!$F393,'2023년 신조차 고장관리 세부현황'!$BC:$BC,"완료",'2023년 신조차 고장관리 세부현황'!$CY:$CY,"밸브")</f>
        <v>0</v>
      </c>
      <c r="AD393"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분석_15일'!$F393,'2023년 신조차 고장관리 세부현황'!$BC:$BC,"완료",'2023년 신조차 고장관리 세부현황'!$CY:$CY,"밸브")</f>
        <v>0</v>
      </c>
      <c r="AE393"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분석_15일'!$F393,'2023년 신조차 고장관리 세부현황'!$BC:$BC,"완료",'2023년 신조차 고장관리 세부현황'!$CY:$CY,"밸브")</f>
        <v>0</v>
      </c>
      <c r="AF393"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분석_15일'!$F393,'2023년 신조차 고장관리 세부현황'!$BC:$BC,"완료",'2023년 신조차 고장관리 세부현황'!$CY:$CY,"밸브")</f>
        <v>0</v>
      </c>
      <c r="AG393"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분석_15일'!$F393,'2023년 신조차 고장관리 세부현황'!$BC:$BC,"완료",'2023년 신조차 고장관리 세부현황'!$CY:$CY,"밸브")</f>
        <v>0</v>
      </c>
      <c r="AH393"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분석_15일'!$F393,'2023년 신조차 고장관리 세부현황'!$BC:$BC,"완료",'2023년 신조차 고장관리 세부현황'!$CY:$CY,"밸브")</f>
        <v>0</v>
      </c>
      <c r="AI393"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분석_15일'!$F393,'2023년 신조차 고장관리 세부현황'!$BC:$BC,"완료",'2023년 신조차 고장관리 세부현황'!$CY:$CY,"밸브")</f>
        <v>0</v>
      </c>
      <c r="AJ393"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분석_15일'!$F393,'2023년 신조차 고장관리 세부현황'!$BC:$BC,"완료",'2023년 신조차 고장관리 세부현황'!$CY:$CY,"밸브")</f>
        <v>0</v>
      </c>
      <c r="AK393"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분석_15일'!$F393,'2023년 신조차 고장관리 세부현황'!$BC:$BC,"완료",'2023년 신조차 고장관리 세부현황'!$CY:$CY,"밸브")</f>
        <v>0</v>
      </c>
      <c r="AL393"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분석_15일'!$F393,'2023년 신조차 고장관리 세부현황'!$BC:$BC,"완료",'2023년 신조차 고장관리 세부현황'!$CY:$CY,"밸브")</f>
        <v>0</v>
      </c>
      <c r="AM393"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분석_15일'!$F393,'2023년 신조차 고장관리 세부현황'!$BC:$BC,"완료",'2023년 신조차 고장관리 세부현황'!$CY:$CY,"밸브")</f>
        <v>0</v>
      </c>
      <c r="AN393"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분석_15일'!$F393,'2023년 신조차 고장관리 세부현황'!$BC:$BC,"완료",'2023년 신조차 고장관리 세부현황'!$CY:$CY,"밸브")</f>
        <v>0</v>
      </c>
      <c r="AO393"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분석_15일'!$F393,'2023년 신조차 고장관리 세부현황'!$BC:$BC,"완료",'2023년 신조차 고장관리 세부현황'!$CY:$CY,"밸브")</f>
        <v>0</v>
      </c>
      <c r="AP393"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분석_15일'!$F393,'2023년 신조차 고장관리 세부현황'!$BC:$BC,"완료",'2023년 신조차 고장관리 세부현황'!$CY:$CY,"밸브")</f>
        <v>0</v>
      </c>
      <c r="AQ393"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분석_15일'!$F393,'2023년 신조차 고장관리 세부현황'!$BC:$BC,"완료",'2023년 신조차 고장관리 세부현황'!$CY:$CY,"밸브")</f>
        <v>0</v>
      </c>
      <c r="AR393"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분석_15일'!$F393,'2023년 신조차 고장관리 세부현황'!$BC:$BC,"완료",'2023년 신조차 고장관리 세부현황'!$CY:$CY,"밸브")</f>
        <v>0</v>
      </c>
      <c r="AS393"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분석_15일'!$F393,'2023년 신조차 고장관리 세부현황'!$BC:$BC,"완료",'2023년 신조차 고장관리 세부현황'!$CY:$CY,"밸브")</f>
        <v>0</v>
      </c>
      <c r="AT393"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분석_15일'!$F393,'2023년 신조차 고장관리 세부현황'!$BC:$BC,"완료",'2023년 신조차 고장관리 세부현황'!$CY:$CY,"밸브")</f>
        <v>0</v>
      </c>
      <c r="AU393"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분석_15일'!$F393,'2023년 신조차 고장관리 세부현황'!$BC:$BC,"완료",'2023년 신조차 고장관리 세부현황'!$CY:$CY,"밸브")</f>
        <v>0</v>
      </c>
      <c r="AV393"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분석_15일'!$F393,'2023년 신조차 고장관리 세부현황'!$BC:$BC,"완료",'2023년 신조차 고장관리 세부현황'!$CY:$CY,"밸브")</f>
        <v>0</v>
      </c>
      <c r="AW393"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분석_15일'!$F393,'2023년 신조차 고장관리 세부현황'!$BC:$BC,"완료",'2023년 신조차 고장관리 세부현황'!$CY:$CY,"밸브")</f>
        <v>0</v>
      </c>
      <c r="AX393"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분석_15일'!$F393,'2023년 신조차 고장관리 세부현황'!$BC:$BC,"완료",'2023년 신조차 고장관리 세부현황'!$CY:$CY,"밸브")</f>
        <v>0</v>
      </c>
      <c r="AY393"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분석_15일'!$F393,'2023년 신조차 고장관리 세부현황'!$BC:$BC,"완료",'2023년 신조차 고장관리 세부현황'!$CY:$CY,"밸브")</f>
        <v>0</v>
      </c>
      <c r="AZ393"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분석_15일'!$F393,'2023년 신조차 고장관리 세부현황'!$BC:$BC,"완료",'2023년 신조차 고장관리 세부현황'!$CY:$CY,"밸브")</f>
        <v>0</v>
      </c>
      <c r="BA393"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분석_15일'!$F393,'2023년 신조차 고장관리 세부현황'!$BC:$BC,"완료",'2023년 신조차 고장관리 세부현황'!$CY:$CY,"밸브")</f>
        <v>0</v>
      </c>
      <c r="BB393"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분석_15일'!$F393,'2023년 신조차 고장관리 세부현황'!$BC:$BC,"완료",'2023년 신조차 고장관리 세부현황'!$CY:$CY,"밸브")</f>
        <v>0</v>
      </c>
      <c r="BC393"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분석_15일'!$F393,'2023년 신조차 고장관리 세부현황'!$BC:$BC,"완료",'2023년 신조차 고장관리 세부현황'!$CY:$CY,"밸브")</f>
        <v>0</v>
      </c>
      <c r="BD393"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분석_15일'!$F393,'2023년 신조차 고장관리 세부현황'!$BC:$BC,"완료",'2023년 신조차 고장관리 세부현황'!$CY:$CY,"밸브")</f>
        <v>0</v>
      </c>
      <c r="BE393"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분석_15일'!$F393,'2023년 신조차 고장관리 세부현황'!$BC:$BC,"완료",'2023년 신조차 고장관리 세부현황'!$CY:$CY,"밸브")</f>
        <v>0</v>
      </c>
      <c r="BF393"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분석_15일'!$F393,'2023년 신조차 고장관리 세부현황'!$BC:$BC,"완료",'2023년 신조차 고장관리 세부현황'!$CY:$CY,"밸브")</f>
        <v>0</v>
      </c>
      <c r="BG393"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분석_15일'!$F393,'2023년 신조차 고장관리 세부현황'!$BC:$BC,"완료",'2023년 신조차 고장관리 세부현황'!$CY:$CY,"밸브")</f>
        <v>0</v>
      </c>
      <c r="BH393"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분석_15일'!$F393,'2023년 신조차 고장관리 세부현황'!$BC:$BC,"완료",'2023년 신조차 고장관리 세부현황'!$CY:$CY,"밸브")</f>
        <v>0</v>
      </c>
      <c r="BI393"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분석_15일'!$F393,'2023년 신조차 고장관리 세부현황'!$BC:$BC,"완료",'2023년 신조차 고장관리 세부현황'!$CY:$CY,"밸브")</f>
        <v>0</v>
      </c>
      <c r="BJ393"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분석_15일'!$F393,'2023년 신조차 고장관리 세부현황'!$BC:$BC,"완료",'2023년 신조차 고장관리 세부현황'!$CY:$CY,"밸브")</f>
        <v>0</v>
      </c>
      <c r="BK393"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분석_15일'!$F393,'2023년 신조차 고장관리 세부현황'!$BC:$BC,"완료",'2023년 신조차 고장관리 세부현황'!$CY:$CY,"밸브")</f>
        <v>0</v>
      </c>
      <c r="BL393"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분석_15일'!$F393,'2023년 신조차 고장관리 세부현황'!$BC:$BC,"완료",'2023년 신조차 고장관리 세부현황'!$CY:$CY,"밸브")</f>
        <v>0</v>
      </c>
      <c r="BM393"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분석_15일'!$F393,'2023년 신조차 고장관리 세부현황'!$BC:$BC,"완료",'2023년 신조차 고장관리 세부현황'!$CY:$CY,"밸브")</f>
        <v>0</v>
      </c>
      <c r="BN393"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분석_15일'!$F393,'2023년 신조차 고장관리 세부현황'!$BC:$BC,"완료",'2023년 신조차 고장관리 세부현황'!$CY:$CY,"밸브")</f>
        <v>0</v>
      </c>
      <c r="BO393"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분석_15일'!$F393,'2023년 신조차 고장관리 세부현황'!$BC:$BC,"완료",'2023년 신조차 고장관리 세부현황'!$CY:$CY,"밸브")</f>
        <v>0</v>
      </c>
      <c r="BP393"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분석_15일'!$F393,'2023년 신조차 고장관리 세부현황'!$BC:$BC,"완료",'2023년 신조차 고장관리 세부현황'!$CY:$CY,"밸브")</f>
        <v>0</v>
      </c>
      <c r="BQ393"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분석_15일'!$F393,'2023년 신조차 고장관리 세부현황'!$BC:$BC,"완료",'2023년 신조차 고장관리 세부현황'!$CY:$CY,"밸브")</f>
        <v>0</v>
      </c>
      <c r="BR393"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분석_15일'!$F393,'2023년 신조차 고장관리 세부현황'!$BC:$BC,"완료",'2023년 신조차 고장관리 세부현황'!$CY:$CY,"밸브")</f>
        <v>0</v>
      </c>
      <c r="BS393"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분석_15일'!$F393,'2023년 신조차 고장관리 세부현황'!$BC:$BC,"완료",'2023년 신조차 고장관리 세부현황'!$CY:$CY,"밸브")</f>
        <v>0</v>
      </c>
      <c r="BT393"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분석_15일'!$F393,'2023년 신조차 고장관리 세부현황'!$BC:$BC,"완료",'2023년 신조차 고장관리 세부현황'!$CY:$CY,"밸브")</f>
        <v>0</v>
      </c>
      <c r="BU393"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분석_15일'!$F393,'2023년 신조차 고장관리 세부현황'!$BC:$BC,"완료",'2023년 신조차 고장관리 세부현황'!$CY:$CY,"밸브")</f>
        <v>0</v>
      </c>
      <c r="BV393"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분석_15일'!$F393,'2023년 신조차 고장관리 세부현황'!$BC:$BC,"완료",'2023년 신조차 고장관리 세부현황'!$CY:$CY,"밸브")</f>
        <v>0</v>
      </c>
      <c r="BW393"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분석_15일'!$F393,'2023년 신조차 고장관리 세부현황'!$BC:$BC,"완료",'2023년 신조차 고장관리 세부현황'!$CY:$CY,"밸브")</f>
        <v>0</v>
      </c>
      <c r="BX393"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분석_15일'!$F393,'2023년 신조차 고장관리 세부현황'!$BC:$BC,"완료",'2023년 신조차 고장관리 세부현황'!$CY:$CY,"밸브")</f>
        <v>0</v>
      </c>
      <c r="BY393"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분석_15일'!$F393,'2023년 신조차 고장관리 세부현황'!$BC:$BC,"완료",'2023년 신조차 고장관리 세부현황'!$CY:$CY,"밸브")</f>
        <v>0</v>
      </c>
      <c r="BZ393"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분석_15일'!$F393,'2023년 신조차 고장관리 세부현황'!$BC:$BC,"완료",'2023년 신조차 고장관리 세부현황'!$CY:$CY,"밸브")</f>
        <v>0</v>
      </c>
      <c r="CA393"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분석_15일'!$F393,'2023년 신조차 고장관리 세부현황'!$BC:$BC,"완료",'2023년 신조차 고장관리 세부현황'!$CY:$CY,"밸브")</f>
        <v>0</v>
      </c>
      <c r="CB393"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분석_15일'!$F393,'2023년 신조차 고장관리 세부현황'!$BC:$BC,"완료",'2023년 신조차 고장관리 세부현황'!$CY:$CY,"밸브")</f>
        <v>0</v>
      </c>
      <c r="CC393"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분석_15일'!$F393,'2023년 신조차 고장관리 세부현황'!$BC:$BC,"완료",'2023년 신조차 고장관리 세부현황'!$CY:$CY,"밸브")</f>
        <v>0</v>
      </c>
      <c r="CD393"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분석_15일'!$F393,'2023년 신조차 고장관리 세부현황'!$BC:$BC,"완료",'2023년 신조차 고장관리 세부현황'!$CY:$CY,"밸브")</f>
        <v>0</v>
      </c>
      <c r="CE393"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분석_15일'!$F393,'2023년 신조차 고장관리 세부현황'!$BC:$BC,"완료",'2023년 신조차 고장관리 세부현황'!$CY:$CY,"밸브")</f>
        <v>0</v>
      </c>
      <c r="CF393"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분석_15일'!$F393,'2023년 신조차 고장관리 세부현황'!$BC:$BC,"완료",'2023년 신조차 고장관리 세부현황'!$CY:$CY,"밸브")</f>
        <v>0</v>
      </c>
      <c r="CG393"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분석_15일'!$F393,'2023년 신조차 고장관리 세부현황'!$BC:$BC,"완료",'2023년 신조차 고장관리 세부현황'!$CY:$CY,"밸브")</f>
        <v>0</v>
      </c>
      <c r="CH393"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분석_15일'!$F393,'2023년 신조차 고장관리 세부현황'!$BC:$BC,"완료",'2023년 신조차 고장관리 세부현황'!$CY:$CY,"밸브")</f>
        <v>0</v>
      </c>
      <c r="CI393"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분석_15일'!$F393,'2023년 신조차 고장관리 세부현황'!$BC:$BC,"완료",'2023년 신조차 고장관리 세부현황'!$CY:$CY,"밸브")</f>
        <v>0</v>
      </c>
      <c r="CJ393"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분석_15일'!$F393,'2023년 신조차 고장관리 세부현황'!$BC:$BC,"완료",'2023년 신조차 고장관리 세부현황'!$CY:$CY,"밸브")</f>
        <v>0</v>
      </c>
      <c r="CK393"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분석_15일'!$F393,'2023년 신조차 고장관리 세부현황'!$BC:$BC,"완료",'2023년 신조차 고장관리 세부현황'!$CY:$CY,"밸브")</f>
        <v>0</v>
      </c>
      <c r="CL393"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분석_15일'!$F393,'2023년 신조차 고장관리 세부현황'!$BC:$BC,"완료",'2023년 신조차 고장관리 세부현황'!$CY:$CY,"밸브")</f>
        <v>0</v>
      </c>
      <c r="CM393"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분석_15일'!$F393,'2023년 신조차 고장관리 세부현황'!$BC:$BC,"완료",'2023년 신조차 고장관리 세부현황'!$CY:$CY,"밸브")</f>
        <v>0</v>
      </c>
      <c r="CN393"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분석_15일'!$F393,'2023년 신조차 고장관리 세부현황'!$BC:$BC,"완료",'2023년 신조차 고장관리 세부현황'!$CY:$CY,"밸브")</f>
        <v>0</v>
      </c>
      <c r="CO393"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분석_15일'!$F393,'2023년 신조차 고장관리 세부현황'!$BC:$BC,"완료",'2023년 신조차 고장관리 세부현황'!$CY:$CY,"밸브")</f>
        <v>0</v>
      </c>
      <c r="CP393"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분석_15일'!$F393,'2023년 신조차 고장관리 세부현황'!$BC:$BC,"완료",'2023년 신조차 고장관리 세부현황'!$CY:$CY,"밸브")</f>
        <v>0</v>
      </c>
      <c r="CQ393"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분석_15일'!$F393,'2023년 신조차 고장관리 세부현황'!$BC:$BC,"완료",'2023년 신조차 고장관리 세부현황'!$CY:$CY,"밸브")</f>
        <v>0</v>
      </c>
      <c r="CR393"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분석_15일'!$F393,'2023년 신조차 고장관리 세부현황'!$BC:$BC,"완료",'2023년 신조차 고장관리 세부현황'!$CY:$CY,"밸브")</f>
        <v>0</v>
      </c>
      <c r="CS393"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분석_15일'!$F393,'2023년 신조차 고장관리 세부현황'!$BC:$BC,"완료",'2023년 신조차 고장관리 세부현황'!$CY:$CY,"밸브")</f>
        <v>0</v>
      </c>
      <c r="CT393"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분석_15일'!$F393,'2023년 신조차 고장관리 세부현황'!$BC:$BC,"완료",'2023년 신조차 고장관리 세부현황'!$CY:$CY,"밸브")</f>
        <v>0</v>
      </c>
      <c r="CU393"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분석_15일'!$F393,'2023년 신조차 고장관리 세부현황'!$BC:$BC,"완료",'2023년 신조차 고장관리 세부현황'!$CY:$CY,"밸브")</f>
        <v>0</v>
      </c>
      <c r="CV393"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분석_15일'!$F393,'2023년 신조차 고장관리 세부현황'!$BC:$BC,"완료",'2023년 신조차 고장관리 세부현황'!$CY:$CY,"밸브")</f>
        <v>0</v>
      </c>
      <c r="CW393"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분석_15일'!$F393,'2023년 신조차 고장관리 세부현황'!$BC:$BC,"완료",'2023년 신조차 고장관리 세부현황'!$CY:$CY,"밸브")</f>
        <v>0</v>
      </c>
      <c r="CX393">
        <f>SUM(G393:CW393)</f>
        <v>0</v>
      </c>
    </row>
    <row r="394" spans="6:103" x14ac:dyDescent="0.4">
      <c r="F394" s="85" t="s">
        <v>223</v>
      </c>
      <c r="G394" s="85">
        <f>COUNTIFS('2023년 신조차 고장관리 세부현황'!$K:$K,"448R",'2023년 신조차 고장관리 세부현황'!$P:$P,"&gt;="&amp;$G$26,'2023년 신조차 고장관리 세부현황'!$P:$P,"&lt;"&amp;'트랜드 분석_15일'!G$27,'2023년 신조차 고장관리 세부현황'!$S:$S,'트랜드 분석_15일'!$F394,'2023년 신조차 고장관리 세부현황'!$BC:$BC,"완료",'2023년 신조차 고장관리 세부현황'!$CY:$CY,"밸브")</f>
        <v>0</v>
      </c>
      <c r="H394"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분석_15일'!$F394,'2023년 신조차 고장관리 세부현황'!$BC:$BC,"완료",'2023년 신조차 고장관리 세부현황'!$CY:$CY,"밸브")</f>
        <v>0</v>
      </c>
      <c r="I394"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분석_15일'!$F394,'2023년 신조차 고장관리 세부현황'!$BC:$BC,"완료",'2023년 신조차 고장관리 세부현황'!$CY:$CY,"밸브")</f>
        <v>0</v>
      </c>
      <c r="J394"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분석_15일'!$F394,'2023년 신조차 고장관리 세부현황'!$BC:$BC,"완료",'2023년 신조차 고장관리 세부현황'!$CY:$CY,"밸브")</f>
        <v>0</v>
      </c>
      <c r="K394"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분석_15일'!$F394,'2023년 신조차 고장관리 세부현황'!$BC:$BC,"완료",'2023년 신조차 고장관리 세부현황'!$CY:$CY,"밸브")</f>
        <v>0</v>
      </c>
      <c r="L394"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분석_15일'!$F394,'2023년 신조차 고장관리 세부현황'!$BC:$BC,"완료",'2023년 신조차 고장관리 세부현황'!$CY:$CY,"밸브")</f>
        <v>0</v>
      </c>
      <c r="M394"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분석_15일'!$F394,'2023년 신조차 고장관리 세부현황'!$BC:$BC,"완료",'2023년 신조차 고장관리 세부현황'!$CY:$CY,"밸브")</f>
        <v>0</v>
      </c>
      <c r="N394"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분석_15일'!$F394,'2023년 신조차 고장관리 세부현황'!$BC:$BC,"완료",'2023년 신조차 고장관리 세부현황'!$CY:$CY,"밸브")</f>
        <v>0</v>
      </c>
      <c r="O394"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분석_15일'!$F394,'2023년 신조차 고장관리 세부현황'!$BC:$BC,"완료",'2023년 신조차 고장관리 세부현황'!$CY:$CY,"밸브")</f>
        <v>0</v>
      </c>
      <c r="P394" s="85">
        <f ca="1">COUNTIFS('2023년 신조차 고장관리 세부현황'!$K:$K,"448R",'2023년 신조차 고장관리 세부현황'!$P:$P,"&gt;="&amp;'트랜드 분석_15일'!O$27,'2023년 신조차 고장관리 세부현황'!$P:$P,"&lt;"&amp;'트랜드 분석_15일'!P$27,'2023년 신조차 고장관리 세부현황'!$S:$S,'트랜드 분석_15일'!$F394,'2023년 신조차 고장관리 세부현황'!$BC:$BC,"완료",'2023년 신조차 고장관리 세부현황'!$CY:$CY,"밸브")</f>
        <v>0</v>
      </c>
      <c r="Q394"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분석_15일'!$F394,'2023년 신조차 고장관리 세부현황'!$BC:$BC,"완료",'2023년 신조차 고장관리 세부현황'!$CY:$CY,"밸브")</f>
        <v>0</v>
      </c>
      <c r="R394" s="85">
        <f ca="1">COUNTIFS('2023년 신조차 고장관리 세부현황'!$K:$K,"448R",'2023년 신조차 고장관리 세부현황'!$P:$P,"&gt;="&amp;'트랜드 분석_15일'!Q$27,'2023년 신조차 고장관리 세부현황'!$P:$P,"&lt;"&amp;'트랜드 분석_15일'!R$27,'2023년 신조차 고장관리 세부현황'!$S:$S,'트랜드 분석_15일'!$F394,'2023년 신조차 고장관리 세부현황'!$BC:$BC,"완료",'2023년 신조차 고장관리 세부현황'!$CY:$CY,"밸브")</f>
        <v>0</v>
      </c>
      <c r="S394" s="85">
        <f ca="1">COUNTIFS('2023년 신조차 고장관리 세부현황'!$K:$K,"448R",'2023년 신조차 고장관리 세부현황'!$P:$P,"&gt;="&amp;'트랜드 분석_15일'!R$27,'2023년 신조차 고장관리 세부현황'!$P:$P,"&lt;"&amp;'트랜드 분석_15일'!S$27,'2023년 신조차 고장관리 세부현황'!$S:$S,'트랜드 분석_15일'!$F394,'2023년 신조차 고장관리 세부현황'!$BC:$BC,"완료",'2023년 신조차 고장관리 세부현황'!$CY:$CY,"밸브")</f>
        <v>0</v>
      </c>
      <c r="T394"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분석_15일'!$F394,'2023년 신조차 고장관리 세부현황'!$BC:$BC,"완료",'2023년 신조차 고장관리 세부현황'!$CY:$CY,"밸브")</f>
        <v>0</v>
      </c>
      <c r="U394"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분석_15일'!$F394,'2023년 신조차 고장관리 세부현황'!$BC:$BC,"완료",'2023년 신조차 고장관리 세부현황'!$CY:$CY,"밸브")</f>
        <v>0</v>
      </c>
      <c r="V394"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분석_15일'!$F394,'2023년 신조차 고장관리 세부현황'!$BC:$BC,"완료",'2023년 신조차 고장관리 세부현황'!$CY:$CY,"밸브")</f>
        <v>0</v>
      </c>
      <c r="W394" s="85">
        <f ca="1">COUNTIFS('2023년 신조차 고장관리 세부현황'!$K:$K,"448R",'2023년 신조차 고장관리 세부현황'!$P:$P,"&gt;="&amp;'트랜드 분석_15일'!V$27,'2023년 신조차 고장관리 세부현황'!$P:$P,"&lt;"&amp;'트랜드 분석_15일'!W$27,'2023년 신조차 고장관리 세부현황'!$S:$S,'트랜드 분석_15일'!$F394,'2023년 신조차 고장관리 세부현황'!$BC:$BC,"완료",'2023년 신조차 고장관리 세부현황'!$CY:$CY,"밸브")</f>
        <v>0</v>
      </c>
      <c r="X394"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분석_15일'!$F394,'2023년 신조차 고장관리 세부현황'!$BC:$BC,"완료",'2023년 신조차 고장관리 세부현황'!$CY:$CY,"밸브")</f>
        <v>0</v>
      </c>
      <c r="Y394" s="85">
        <f ca="1">COUNTIFS('2023년 신조차 고장관리 세부현황'!$K:$K,"448R",'2023년 신조차 고장관리 세부현황'!$P:$P,"&gt;="&amp;'트랜드 분석_15일'!X$27,'2023년 신조차 고장관리 세부현황'!$P:$P,"&lt;"&amp;'트랜드 분석_15일'!Y$27,'2023년 신조차 고장관리 세부현황'!$S:$S,'트랜드 분석_15일'!$F394,'2023년 신조차 고장관리 세부현황'!$BC:$BC,"완료",'2023년 신조차 고장관리 세부현황'!$CY:$CY,"밸브")</f>
        <v>0</v>
      </c>
      <c r="Z394" s="85">
        <f ca="1">COUNTIFS('2023년 신조차 고장관리 세부현황'!$K:$K,"448R",'2023년 신조차 고장관리 세부현황'!$P:$P,"&gt;="&amp;'트랜드 분석_15일'!Y$27,'2023년 신조차 고장관리 세부현황'!$P:$P,"&lt;"&amp;'트랜드 분석_15일'!Z$27,'2023년 신조차 고장관리 세부현황'!$S:$S,'트랜드 분석_15일'!$F394,'2023년 신조차 고장관리 세부현황'!$BC:$BC,"완료",'2023년 신조차 고장관리 세부현황'!$CY:$CY,"밸브")</f>
        <v>0</v>
      </c>
      <c r="AA394"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분석_15일'!$F394,'2023년 신조차 고장관리 세부현황'!$BC:$BC,"완료",'2023년 신조차 고장관리 세부현황'!$CY:$CY,"밸브")</f>
        <v>0</v>
      </c>
      <c r="AB394" s="85">
        <f ca="1">COUNTIFS('2023년 신조차 고장관리 세부현황'!$K:$K,"448R",'2023년 신조차 고장관리 세부현황'!$P:$P,"&gt;="&amp;'트랜드 분석_15일'!AA$27,'2023년 신조차 고장관리 세부현황'!$P:$P,"&lt;"&amp;'트랜드 분석_15일'!AB$27,'2023년 신조차 고장관리 세부현황'!$S:$S,'트랜드 분석_15일'!$F394,'2023년 신조차 고장관리 세부현황'!$BC:$BC,"완료",'2023년 신조차 고장관리 세부현황'!$CY:$CY,"밸브")</f>
        <v>0</v>
      </c>
      <c r="AC394" s="85">
        <f ca="1">COUNTIFS('2023년 신조차 고장관리 세부현황'!$K:$K,"448R",'2023년 신조차 고장관리 세부현황'!$P:$P,"&gt;="&amp;'트랜드 분석_15일'!AB$27,'2023년 신조차 고장관리 세부현황'!$P:$P,"&lt;"&amp;'트랜드 분석_15일'!AC$27,'2023년 신조차 고장관리 세부현황'!$S:$S,'트랜드 분석_15일'!$F394,'2023년 신조차 고장관리 세부현황'!$BC:$BC,"완료",'2023년 신조차 고장관리 세부현황'!$CY:$CY,"밸브")</f>
        <v>0</v>
      </c>
      <c r="AD394"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분석_15일'!$F394,'2023년 신조차 고장관리 세부현황'!$BC:$BC,"완료",'2023년 신조차 고장관리 세부현황'!$CY:$CY,"밸브")</f>
        <v>0</v>
      </c>
      <c r="AE394" s="85">
        <f ca="1">COUNTIFS('2023년 신조차 고장관리 세부현황'!$K:$K,"448R",'2023년 신조차 고장관리 세부현황'!$P:$P,"&gt;="&amp;'트랜드 분석_15일'!AD$27,'2023년 신조차 고장관리 세부현황'!$P:$P,"&lt;"&amp;'트랜드 분석_15일'!AE$27,'2023년 신조차 고장관리 세부현황'!$S:$S,'트랜드 분석_15일'!$F394,'2023년 신조차 고장관리 세부현황'!$BC:$BC,"완료",'2023년 신조차 고장관리 세부현황'!$CY:$CY,"밸브")</f>
        <v>0</v>
      </c>
      <c r="AF394" s="85">
        <f ca="1">COUNTIFS('2023년 신조차 고장관리 세부현황'!$K:$K,"448R",'2023년 신조차 고장관리 세부현황'!$P:$P,"&gt;="&amp;'트랜드 분석_15일'!AE$27,'2023년 신조차 고장관리 세부현황'!$P:$P,"&lt;"&amp;'트랜드 분석_15일'!AF$27,'2023년 신조차 고장관리 세부현황'!$S:$S,'트랜드 분석_15일'!$F394,'2023년 신조차 고장관리 세부현황'!$BC:$BC,"완료",'2023년 신조차 고장관리 세부현황'!$CY:$CY,"밸브")</f>
        <v>0</v>
      </c>
      <c r="AG394"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분석_15일'!$F394,'2023년 신조차 고장관리 세부현황'!$BC:$BC,"완료",'2023년 신조차 고장관리 세부현황'!$CY:$CY,"밸브")</f>
        <v>0</v>
      </c>
      <c r="AH394"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분석_15일'!$F394,'2023년 신조차 고장관리 세부현황'!$BC:$BC,"완료",'2023년 신조차 고장관리 세부현황'!$CY:$CY,"밸브")</f>
        <v>0</v>
      </c>
      <c r="AI394"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분석_15일'!$F394,'2023년 신조차 고장관리 세부현황'!$BC:$BC,"완료",'2023년 신조차 고장관리 세부현황'!$CY:$CY,"밸브")</f>
        <v>0</v>
      </c>
      <c r="AJ394"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분석_15일'!$F394,'2023년 신조차 고장관리 세부현황'!$BC:$BC,"완료",'2023년 신조차 고장관리 세부현황'!$CY:$CY,"밸브")</f>
        <v>0</v>
      </c>
      <c r="AK394"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분석_15일'!$F394,'2023년 신조차 고장관리 세부현황'!$BC:$BC,"완료",'2023년 신조차 고장관리 세부현황'!$CY:$CY,"밸브")</f>
        <v>0</v>
      </c>
      <c r="AL394"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분석_15일'!$F394,'2023년 신조차 고장관리 세부현황'!$BC:$BC,"완료",'2023년 신조차 고장관리 세부현황'!$CY:$CY,"밸브")</f>
        <v>0</v>
      </c>
      <c r="AM394"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분석_15일'!$F394,'2023년 신조차 고장관리 세부현황'!$BC:$BC,"완료",'2023년 신조차 고장관리 세부현황'!$CY:$CY,"밸브")</f>
        <v>0</v>
      </c>
      <c r="AN394"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분석_15일'!$F394,'2023년 신조차 고장관리 세부현황'!$BC:$BC,"완료",'2023년 신조차 고장관리 세부현황'!$CY:$CY,"밸브")</f>
        <v>0</v>
      </c>
      <c r="AO394"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분석_15일'!$F394,'2023년 신조차 고장관리 세부현황'!$BC:$BC,"완료",'2023년 신조차 고장관리 세부현황'!$CY:$CY,"밸브")</f>
        <v>0</v>
      </c>
      <c r="AP394"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분석_15일'!$F394,'2023년 신조차 고장관리 세부현황'!$BC:$BC,"완료",'2023년 신조차 고장관리 세부현황'!$CY:$CY,"밸브")</f>
        <v>0</v>
      </c>
      <c r="AQ394"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분석_15일'!$F394,'2023년 신조차 고장관리 세부현황'!$BC:$BC,"완료",'2023년 신조차 고장관리 세부현황'!$CY:$CY,"밸브")</f>
        <v>0</v>
      </c>
      <c r="AR394"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분석_15일'!$F394,'2023년 신조차 고장관리 세부현황'!$BC:$BC,"완료",'2023년 신조차 고장관리 세부현황'!$CY:$CY,"밸브")</f>
        <v>0</v>
      </c>
      <c r="AS394"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분석_15일'!$F394,'2023년 신조차 고장관리 세부현황'!$BC:$BC,"완료",'2023년 신조차 고장관리 세부현황'!$CY:$CY,"밸브")</f>
        <v>0</v>
      </c>
      <c r="AT394"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분석_15일'!$F394,'2023년 신조차 고장관리 세부현황'!$BC:$BC,"완료",'2023년 신조차 고장관리 세부현황'!$CY:$CY,"밸브")</f>
        <v>0</v>
      </c>
      <c r="AU394"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분석_15일'!$F394,'2023년 신조차 고장관리 세부현황'!$BC:$BC,"완료",'2023년 신조차 고장관리 세부현황'!$CY:$CY,"밸브")</f>
        <v>0</v>
      </c>
      <c r="AV394"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분석_15일'!$F394,'2023년 신조차 고장관리 세부현황'!$BC:$BC,"완료",'2023년 신조차 고장관리 세부현황'!$CY:$CY,"밸브")</f>
        <v>0</v>
      </c>
      <c r="AW394"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분석_15일'!$F394,'2023년 신조차 고장관리 세부현황'!$BC:$BC,"완료",'2023년 신조차 고장관리 세부현황'!$CY:$CY,"밸브")</f>
        <v>0</v>
      </c>
      <c r="AX394"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분석_15일'!$F394,'2023년 신조차 고장관리 세부현황'!$BC:$BC,"완료",'2023년 신조차 고장관리 세부현황'!$CY:$CY,"밸브")</f>
        <v>0</v>
      </c>
      <c r="AY394"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분석_15일'!$F394,'2023년 신조차 고장관리 세부현황'!$BC:$BC,"완료",'2023년 신조차 고장관리 세부현황'!$CY:$CY,"밸브")</f>
        <v>0</v>
      </c>
      <c r="AZ394"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분석_15일'!$F394,'2023년 신조차 고장관리 세부현황'!$BC:$BC,"완료",'2023년 신조차 고장관리 세부현황'!$CY:$CY,"밸브")</f>
        <v>0</v>
      </c>
      <c r="BA394"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분석_15일'!$F394,'2023년 신조차 고장관리 세부현황'!$BC:$BC,"완료",'2023년 신조차 고장관리 세부현황'!$CY:$CY,"밸브")</f>
        <v>0</v>
      </c>
      <c r="BB394"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분석_15일'!$F394,'2023년 신조차 고장관리 세부현황'!$BC:$BC,"완료",'2023년 신조차 고장관리 세부현황'!$CY:$CY,"밸브")</f>
        <v>0</v>
      </c>
      <c r="BC394"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분석_15일'!$F394,'2023년 신조차 고장관리 세부현황'!$BC:$BC,"완료",'2023년 신조차 고장관리 세부현황'!$CY:$CY,"밸브")</f>
        <v>0</v>
      </c>
      <c r="BD394"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분석_15일'!$F394,'2023년 신조차 고장관리 세부현황'!$BC:$BC,"완료",'2023년 신조차 고장관리 세부현황'!$CY:$CY,"밸브")</f>
        <v>0</v>
      </c>
      <c r="BE394"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분석_15일'!$F394,'2023년 신조차 고장관리 세부현황'!$BC:$BC,"완료",'2023년 신조차 고장관리 세부현황'!$CY:$CY,"밸브")</f>
        <v>0</v>
      </c>
      <c r="BF394"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분석_15일'!$F394,'2023년 신조차 고장관리 세부현황'!$BC:$BC,"완료",'2023년 신조차 고장관리 세부현황'!$CY:$CY,"밸브")</f>
        <v>0</v>
      </c>
      <c r="BG394"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분석_15일'!$F394,'2023년 신조차 고장관리 세부현황'!$BC:$BC,"완료",'2023년 신조차 고장관리 세부현황'!$CY:$CY,"밸브")</f>
        <v>0</v>
      </c>
      <c r="BH394"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분석_15일'!$F394,'2023년 신조차 고장관리 세부현황'!$BC:$BC,"완료",'2023년 신조차 고장관리 세부현황'!$CY:$CY,"밸브")</f>
        <v>0</v>
      </c>
      <c r="BI394"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분석_15일'!$F394,'2023년 신조차 고장관리 세부현황'!$BC:$BC,"완료",'2023년 신조차 고장관리 세부현황'!$CY:$CY,"밸브")</f>
        <v>0</v>
      </c>
      <c r="BJ394"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분석_15일'!$F394,'2023년 신조차 고장관리 세부현황'!$BC:$BC,"완료",'2023년 신조차 고장관리 세부현황'!$CY:$CY,"밸브")</f>
        <v>0</v>
      </c>
      <c r="BK394"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분석_15일'!$F394,'2023년 신조차 고장관리 세부현황'!$BC:$BC,"완료",'2023년 신조차 고장관리 세부현황'!$CY:$CY,"밸브")</f>
        <v>0</v>
      </c>
      <c r="BL394"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분석_15일'!$F394,'2023년 신조차 고장관리 세부현황'!$BC:$BC,"완료",'2023년 신조차 고장관리 세부현황'!$CY:$CY,"밸브")</f>
        <v>0</v>
      </c>
      <c r="BM394"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분석_15일'!$F394,'2023년 신조차 고장관리 세부현황'!$BC:$BC,"완료",'2023년 신조차 고장관리 세부현황'!$CY:$CY,"밸브")</f>
        <v>0</v>
      </c>
      <c r="BN394"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분석_15일'!$F394,'2023년 신조차 고장관리 세부현황'!$BC:$BC,"완료",'2023년 신조차 고장관리 세부현황'!$CY:$CY,"밸브")</f>
        <v>0</v>
      </c>
      <c r="BO394"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분석_15일'!$F394,'2023년 신조차 고장관리 세부현황'!$BC:$BC,"완료",'2023년 신조차 고장관리 세부현황'!$CY:$CY,"밸브")</f>
        <v>0</v>
      </c>
      <c r="BP394"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분석_15일'!$F394,'2023년 신조차 고장관리 세부현황'!$BC:$BC,"완료",'2023년 신조차 고장관리 세부현황'!$CY:$CY,"밸브")</f>
        <v>0</v>
      </c>
      <c r="BQ394"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분석_15일'!$F394,'2023년 신조차 고장관리 세부현황'!$BC:$BC,"완료",'2023년 신조차 고장관리 세부현황'!$CY:$CY,"밸브")</f>
        <v>0</v>
      </c>
      <c r="BR394"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분석_15일'!$F394,'2023년 신조차 고장관리 세부현황'!$BC:$BC,"완료",'2023년 신조차 고장관리 세부현황'!$CY:$CY,"밸브")</f>
        <v>0</v>
      </c>
      <c r="BS394"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분석_15일'!$F394,'2023년 신조차 고장관리 세부현황'!$BC:$BC,"완료",'2023년 신조차 고장관리 세부현황'!$CY:$CY,"밸브")</f>
        <v>0</v>
      </c>
      <c r="BT394"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분석_15일'!$F394,'2023년 신조차 고장관리 세부현황'!$BC:$BC,"완료",'2023년 신조차 고장관리 세부현황'!$CY:$CY,"밸브")</f>
        <v>0</v>
      </c>
      <c r="BU394"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분석_15일'!$F394,'2023년 신조차 고장관리 세부현황'!$BC:$BC,"완료",'2023년 신조차 고장관리 세부현황'!$CY:$CY,"밸브")</f>
        <v>0</v>
      </c>
      <c r="BV394"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분석_15일'!$F394,'2023년 신조차 고장관리 세부현황'!$BC:$BC,"완료",'2023년 신조차 고장관리 세부현황'!$CY:$CY,"밸브")</f>
        <v>0</v>
      </c>
      <c r="BW394"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분석_15일'!$F394,'2023년 신조차 고장관리 세부현황'!$BC:$BC,"완료",'2023년 신조차 고장관리 세부현황'!$CY:$CY,"밸브")</f>
        <v>0</v>
      </c>
      <c r="BX394"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분석_15일'!$F394,'2023년 신조차 고장관리 세부현황'!$BC:$BC,"완료",'2023년 신조차 고장관리 세부현황'!$CY:$CY,"밸브")</f>
        <v>0</v>
      </c>
      <c r="BY394"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분석_15일'!$F394,'2023년 신조차 고장관리 세부현황'!$BC:$BC,"완료",'2023년 신조차 고장관리 세부현황'!$CY:$CY,"밸브")</f>
        <v>0</v>
      </c>
      <c r="BZ394"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분석_15일'!$F394,'2023년 신조차 고장관리 세부현황'!$BC:$BC,"완료",'2023년 신조차 고장관리 세부현황'!$CY:$CY,"밸브")</f>
        <v>0</v>
      </c>
      <c r="CA394"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분석_15일'!$F394,'2023년 신조차 고장관리 세부현황'!$BC:$BC,"완료",'2023년 신조차 고장관리 세부현황'!$CY:$CY,"밸브")</f>
        <v>0</v>
      </c>
      <c r="CB394"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분석_15일'!$F394,'2023년 신조차 고장관리 세부현황'!$BC:$BC,"완료",'2023년 신조차 고장관리 세부현황'!$CY:$CY,"밸브")</f>
        <v>0</v>
      </c>
      <c r="CC394"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분석_15일'!$F394,'2023년 신조차 고장관리 세부현황'!$BC:$BC,"완료",'2023년 신조차 고장관리 세부현황'!$CY:$CY,"밸브")</f>
        <v>0</v>
      </c>
      <c r="CD394"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분석_15일'!$F394,'2023년 신조차 고장관리 세부현황'!$BC:$BC,"완료",'2023년 신조차 고장관리 세부현황'!$CY:$CY,"밸브")</f>
        <v>0</v>
      </c>
      <c r="CE394"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분석_15일'!$F394,'2023년 신조차 고장관리 세부현황'!$BC:$BC,"완료",'2023년 신조차 고장관리 세부현황'!$CY:$CY,"밸브")</f>
        <v>0</v>
      </c>
      <c r="CF394"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분석_15일'!$F394,'2023년 신조차 고장관리 세부현황'!$BC:$BC,"완료",'2023년 신조차 고장관리 세부현황'!$CY:$CY,"밸브")</f>
        <v>0</v>
      </c>
      <c r="CG394"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분석_15일'!$F394,'2023년 신조차 고장관리 세부현황'!$BC:$BC,"완료",'2023년 신조차 고장관리 세부현황'!$CY:$CY,"밸브")</f>
        <v>0</v>
      </c>
      <c r="CH394"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분석_15일'!$F394,'2023년 신조차 고장관리 세부현황'!$BC:$BC,"완료",'2023년 신조차 고장관리 세부현황'!$CY:$CY,"밸브")</f>
        <v>0</v>
      </c>
      <c r="CI394"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분석_15일'!$F394,'2023년 신조차 고장관리 세부현황'!$BC:$BC,"완료",'2023년 신조차 고장관리 세부현황'!$CY:$CY,"밸브")</f>
        <v>0</v>
      </c>
      <c r="CJ394"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분석_15일'!$F394,'2023년 신조차 고장관리 세부현황'!$BC:$BC,"완료",'2023년 신조차 고장관리 세부현황'!$CY:$CY,"밸브")</f>
        <v>0</v>
      </c>
      <c r="CK394"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분석_15일'!$F394,'2023년 신조차 고장관리 세부현황'!$BC:$BC,"완료",'2023년 신조차 고장관리 세부현황'!$CY:$CY,"밸브")</f>
        <v>0</v>
      </c>
      <c r="CL394"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분석_15일'!$F394,'2023년 신조차 고장관리 세부현황'!$BC:$BC,"완료",'2023년 신조차 고장관리 세부현황'!$CY:$CY,"밸브")</f>
        <v>0</v>
      </c>
      <c r="CM394"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분석_15일'!$F394,'2023년 신조차 고장관리 세부현황'!$BC:$BC,"완료",'2023년 신조차 고장관리 세부현황'!$CY:$CY,"밸브")</f>
        <v>0</v>
      </c>
      <c r="CN394"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분석_15일'!$F394,'2023년 신조차 고장관리 세부현황'!$BC:$BC,"완료",'2023년 신조차 고장관리 세부현황'!$CY:$CY,"밸브")</f>
        <v>0</v>
      </c>
      <c r="CO394"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분석_15일'!$F394,'2023년 신조차 고장관리 세부현황'!$BC:$BC,"완료",'2023년 신조차 고장관리 세부현황'!$CY:$CY,"밸브")</f>
        <v>0</v>
      </c>
      <c r="CP394"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분석_15일'!$F394,'2023년 신조차 고장관리 세부현황'!$BC:$BC,"완료",'2023년 신조차 고장관리 세부현황'!$CY:$CY,"밸브")</f>
        <v>0</v>
      </c>
      <c r="CQ394"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분석_15일'!$F394,'2023년 신조차 고장관리 세부현황'!$BC:$BC,"완료",'2023년 신조차 고장관리 세부현황'!$CY:$CY,"밸브")</f>
        <v>0</v>
      </c>
      <c r="CR394"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분석_15일'!$F394,'2023년 신조차 고장관리 세부현황'!$BC:$BC,"완료",'2023년 신조차 고장관리 세부현황'!$CY:$CY,"밸브")</f>
        <v>0</v>
      </c>
      <c r="CS394"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분석_15일'!$F394,'2023년 신조차 고장관리 세부현황'!$BC:$BC,"완료",'2023년 신조차 고장관리 세부현황'!$CY:$CY,"밸브")</f>
        <v>0</v>
      </c>
      <c r="CT394"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분석_15일'!$F394,'2023년 신조차 고장관리 세부현황'!$BC:$BC,"완료",'2023년 신조차 고장관리 세부현황'!$CY:$CY,"밸브")</f>
        <v>0</v>
      </c>
      <c r="CU394"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분석_15일'!$F394,'2023년 신조차 고장관리 세부현황'!$BC:$BC,"완료",'2023년 신조차 고장관리 세부현황'!$CY:$CY,"밸브")</f>
        <v>0</v>
      </c>
      <c r="CV394"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분석_15일'!$F394,'2023년 신조차 고장관리 세부현황'!$BC:$BC,"완료",'2023년 신조차 고장관리 세부현황'!$CY:$CY,"밸브")</f>
        <v>0</v>
      </c>
      <c r="CW394"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분석_15일'!$F394,'2023년 신조차 고장관리 세부현황'!$BC:$BC,"완료",'2023년 신조차 고장관리 세부현황'!$CY:$CY,"밸브")</f>
        <v>0</v>
      </c>
      <c r="CX394">
        <f ca="1">SUM(G394:CW394)</f>
        <v>0</v>
      </c>
    </row>
    <row r="395" spans="6:103" x14ac:dyDescent="0.4">
      <c r="F395" s="85" t="s">
        <v>243</v>
      </c>
      <c r="G395" s="85">
        <f>G393+G394</f>
        <v>0</v>
      </c>
      <c r="H395" s="85">
        <f t="shared" ref="H395:BS395" si="361">H393+H394</f>
        <v>0</v>
      </c>
      <c r="I395" s="85">
        <f t="shared" si="361"/>
        <v>0</v>
      </c>
      <c r="J395" s="85">
        <f t="shared" si="361"/>
        <v>0</v>
      </c>
      <c r="K395" s="85">
        <f t="shared" si="361"/>
        <v>0</v>
      </c>
      <c r="L395" s="85">
        <f t="shared" si="361"/>
        <v>0</v>
      </c>
      <c r="M395" s="85">
        <f t="shared" si="361"/>
        <v>0</v>
      </c>
      <c r="N395" s="85">
        <f t="shared" si="361"/>
        <v>0</v>
      </c>
      <c r="O395" s="85">
        <f t="shared" si="361"/>
        <v>0</v>
      </c>
      <c r="P395" s="85">
        <f t="shared" ca="1" si="361"/>
        <v>0</v>
      </c>
      <c r="Q395" s="85">
        <f t="shared" si="361"/>
        <v>0</v>
      </c>
      <c r="R395" s="85">
        <f t="shared" ca="1" si="361"/>
        <v>0</v>
      </c>
      <c r="S395" s="85">
        <f t="shared" ca="1" si="361"/>
        <v>0</v>
      </c>
      <c r="T395" s="85">
        <f t="shared" si="361"/>
        <v>0</v>
      </c>
      <c r="U395" s="85">
        <f t="shared" si="361"/>
        <v>0</v>
      </c>
      <c r="V395" s="85">
        <f t="shared" si="361"/>
        <v>0</v>
      </c>
      <c r="W395" s="85">
        <f t="shared" ca="1" si="361"/>
        <v>0</v>
      </c>
      <c r="X395" s="85">
        <f t="shared" si="361"/>
        <v>0</v>
      </c>
      <c r="Y395" s="85">
        <f t="shared" ca="1" si="361"/>
        <v>0</v>
      </c>
      <c r="Z395" s="85">
        <f t="shared" ca="1" si="361"/>
        <v>0</v>
      </c>
      <c r="AA395" s="85">
        <f t="shared" si="361"/>
        <v>0</v>
      </c>
      <c r="AB395" s="85">
        <f t="shared" ca="1" si="361"/>
        <v>0</v>
      </c>
      <c r="AC395" s="85">
        <f t="shared" ca="1" si="361"/>
        <v>0</v>
      </c>
      <c r="AD395" s="85">
        <f t="shared" si="361"/>
        <v>0</v>
      </c>
      <c r="AE395" s="85">
        <f t="shared" ca="1" si="361"/>
        <v>0</v>
      </c>
      <c r="AF395" s="85">
        <f t="shared" ca="1" si="361"/>
        <v>0</v>
      </c>
      <c r="AG395" s="85">
        <f t="shared" si="361"/>
        <v>0</v>
      </c>
      <c r="AH395" s="85">
        <f t="shared" si="361"/>
        <v>0</v>
      </c>
      <c r="AI395" s="85">
        <f t="shared" si="361"/>
        <v>0</v>
      </c>
      <c r="AJ395" s="85">
        <f t="shared" si="361"/>
        <v>0</v>
      </c>
      <c r="AK395" s="85">
        <f t="shared" si="361"/>
        <v>0</v>
      </c>
      <c r="AL395" s="85">
        <f t="shared" si="361"/>
        <v>0</v>
      </c>
      <c r="AM395" s="85">
        <f t="shared" si="361"/>
        <v>0</v>
      </c>
      <c r="AN395" s="85">
        <f t="shared" si="361"/>
        <v>0</v>
      </c>
      <c r="AO395" s="85">
        <f t="shared" si="361"/>
        <v>0</v>
      </c>
      <c r="AP395" s="85">
        <f t="shared" si="361"/>
        <v>0</v>
      </c>
      <c r="AQ395" s="85">
        <f t="shared" si="361"/>
        <v>0</v>
      </c>
      <c r="AR395" s="85">
        <f t="shared" si="361"/>
        <v>0</v>
      </c>
      <c r="AS395" s="85">
        <f t="shared" si="361"/>
        <v>0</v>
      </c>
      <c r="AT395" s="85">
        <f t="shared" si="361"/>
        <v>0</v>
      </c>
      <c r="AU395" s="85">
        <f t="shared" si="361"/>
        <v>0</v>
      </c>
      <c r="AV395" s="85">
        <f t="shared" si="361"/>
        <v>0</v>
      </c>
      <c r="AW395" s="85">
        <f t="shared" si="361"/>
        <v>0</v>
      </c>
      <c r="AX395" s="85">
        <f t="shared" si="361"/>
        <v>0</v>
      </c>
      <c r="AY395" s="85">
        <f t="shared" si="361"/>
        <v>0</v>
      </c>
      <c r="AZ395" s="85">
        <f t="shared" si="361"/>
        <v>0</v>
      </c>
      <c r="BA395" s="85">
        <f t="shared" si="361"/>
        <v>0</v>
      </c>
      <c r="BB395" s="85">
        <f t="shared" si="361"/>
        <v>0</v>
      </c>
      <c r="BC395" s="85">
        <f t="shared" si="361"/>
        <v>0</v>
      </c>
      <c r="BD395" s="85">
        <f t="shared" si="361"/>
        <v>0</v>
      </c>
      <c r="BE395" s="85">
        <f t="shared" si="361"/>
        <v>0</v>
      </c>
      <c r="BF395" s="85">
        <f t="shared" si="361"/>
        <v>0</v>
      </c>
      <c r="BG395" s="85">
        <f t="shared" si="361"/>
        <v>0</v>
      </c>
      <c r="BH395" s="85">
        <f t="shared" si="361"/>
        <v>0</v>
      </c>
      <c r="BI395" s="85">
        <f t="shared" si="361"/>
        <v>0</v>
      </c>
      <c r="BJ395" s="85">
        <f t="shared" si="361"/>
        <v>0</v>
      </c>
      <c r="BK395" s="85">
        <f t="shared" si="361"/>
        <v>0</v>
      </c>
      <c r="BL395" s="85">
        <f t="shared" si="361"/>
        <v>0</v>
      </c>
      <c r="BM395" s="85">
        <f t="shared" si="361"/>
        <v>0</v>
      </c>
      <c r="BN395" s="85">
        <f t="shared" si="361"/>
        <v>0</v>
      </c>
      <c r="BO395" s="85">
        <f t="shared" si="361"/>
        <v>0</v>
      </c>
      <c r="BP395" s="85">
        <f t="shared" si="361"/>
        <v>0</v>
      </c>
      <c r="BQ395" s="85">
        <f t="shared" si="361"/>
        <v>0</v>
      </c>
      <c r="BR395" s="85">
        <f t="shared" si="361"/>
        <v>0</v>
      </c>
      <c r="BS395" s="85">
        <f t="shared" si="361"/>
        <v>0</v>
      </c>
      <c r="BT395" s="85">
        <f t="shared" ref="BT395:CW395" si="362">BT393+BT394</f>
        <v>0</v>
      </c>
      <c r="BU395" s="85">
        <f t="shared" si="362"/>
        <v>0</v>
      </c>
      <c r="BV395" s="85">
        <f t="shared" si="362"/>
        <v>0</v>
      </c>
      <c r="BW395" s="85">
        <f t="shared" si="362"/>
        <v>0</v>
      </c>
      <c r="BX395" s="85">
        <f t="shared" si="362"/>
        <v>0</v>
      </c>
      <c r="BY395" s="85">
        <f t="shared" si="362"/>
        <v>0</v>
      </c>
      <c r="BZ395" s="85">
        <f t="shared" si="362"/>
        <v>0</v>
      </c>
      <c r="CA395" s="85">
        <f t="shared" si="362"/>
        <v>0</v>
      </c>
      <c r="CB395" s="85">
        <f t="shared" si="362"/>
        <v>0</v>
      </c>
      <c r="CC395" s="85">
        <f t="shared" si="362"/>
        <v>0</v>
      </c>
      <c r="CD395" s="85">
        <f t="shared" si="362"/>
        <v>0</v>
      </c>
      <c r="CE395" s="85">
        <f t="shared" si="362"/>
        <v>0</v>
      </c>
      <c r="CF395" s="85">
        <f t="shared" si="362"/>
        <v>0</v>
      </c>
      <c r="CG395" s="85">
        <f t="shared" si="362"/>
        <v>0</v>
      </c>
      <c r="CH395" s="85">
        <f t="shared" si="362"/>
        <v>0</v>
      </c>
      <c r="CI395" s="85">
        <f t="shared" si="362"/>
        <v>0</v>
      </c>
      <c r="CJ395" s="85">
        <f t="shared" si="362"/>
        <v>0</v>
      </c>
      <c r="CK395" s="85">
        <f t="shared" si="362"/>
        <v>0</v>
      </c>
      <c r="CL395" s="85">
        <f t="shared" si="362"/>
        <v>0</v>
      </c>
      <c r="CM395" s="85">
        <f t="shared" si="362"/>
        <v>0</v>
      </c>
      <c r="CN395" s="85">
        <f t="shared" si="362"/>
        <v>0</v>
      </c>
      <c r="CO395" s="85">
        <f t="shared" si="362"/>
        <v>0</v>
      </c>
      <c r="CP395" s="85">
        <f t="shared" si="362"/>
        <v>0</v>
      </c>
      <c r="CQ395" s="85">
        <f t="shared" si="362"/>
        <v>0</v>
      </c>
      <c r="CR395" s="85">
        <f t="shared" si="362"/>
        <v>0</v>
      </c>
      <c r="CS395" s="85">
        <f t="shared" si="362"/>
        <v>0</v>
      </c>
      <c r="CT395" s="85">
        <f t="shared" si="362"/>
        <v>0</v>
      </c>
      <c r="CU395" s="85">
        <f t="shared" si="362"/>
        <v>0</v>
      </c>
      <c r="CV395" s="85">
        <f t="shared" si="362"/>
        <v>0</v>
      </c>
      <c r="CW395" s="85">
        <f t="shared" si="362"/>
        <v>0</v>
      </c>
      <c r="CX395">
        <f ca="1">SUM(G395:CW395)</f>
        <v>0</v>
      </c>
    </row>
    <row r="396" spans="6:103" x14ac:dyDescent="0.4">
      <c r="F396" s="86" t="s">
        <v>222</v>
      </c>
      <c r="G396" s="85">
        <f>COUNTIFS('2023년 신조차 고장관리 세부현황'!$K:$K,"448R",'2023년 신조차 고장관리 세부현황'!$P:$P,"&gt;="&amp;$G$26,'2023년 신조차 고장관리 세부현황'!$P:$P,"&lt;"&amp;'트랜드 분석_15일'!G$27,'2023년 신조차 고장관리 세부현황'!$S:$S,'트랜드 분석_15일'!$F396,'2023년 신조차 고장관리 세부현황'!$BC:$BC,"완료",'2023년 신조차 고장관리 세부현황'!$CY:$CY,"밸브")</f>
        <v>0</v>
      </c>
      <c r="H396" s="85">
        <f>COUNTIFS('2023년 신조차 고장관리 세부현황'!$K:$K,"448R",'2023년 신조차 고장관리 세부현황'!$P:$P,"&gt;="&amp;'트랜드 분석_15일'!G$27,'2023년 신조차 고장관리 세부현황'!$P:$P,"&lt;"&amp;'트랜드 분석_15일'!H$27,'2023년 신조차 고장관리 세부현황'!$S:$S,'트랜드 분석_15일'!$F396,'2023년 신조차 고장관리 세부현황'!$BC:$BC,"완료",'2023년 신조차 고장관리 세부현황'!$CY:$CY,"밸브")</f>
        <v>0</v>
      </c>
      <c r="I396" s="85">
        <f>COUNTIFS('2023년 신조차 고장관리 세부현황'!$K:$K,"448R",'2023년 신조차 고장관리 세부현황'!$P:$P,"&gt;="&amp;'트랜드 분석_15일'!H$27,'2023년 신조차 고장관리 세부현황'!$P:$P,"&lt;"&amp;'트랜드 분석_15일'!I$27,'2023년 신조차 고장관리 세부현황'!$S:$S,'트랜드 분석_15일'!$F396,'2023년 신조차 고장관리 세부현황'!$BC:$BC,"완료",'2023년 신조차 고장관리 세부현황'!$CY:$CY,"밸브")</f>
        <v>0</v>
      </c>
      <c r="J396" s="85">
        <f>COUNTIFS('2023년 신조차 고장관리 세부현황'!$K:$K,"448R",'2023년 신조차 고장관리 세부현황'!$P:$P,"&gt;="&amp;'트랜드 분석_15일'!I$27,'2023년 신조차 고장관리 세부현황'!$P:$P,"&lt;"&amp;'트랜드 분석_15일'!J$27,'2023년 신조차 고장관리 세부현황'!$S:$S,'트랜드 분석_15일'!$F396,'2023년 신조차 고장관리 세부현황'!$BC:$BC,"완료",'2023년 신조차 고장관리 세부현황'!$CY:$CY,"밸브")</f>
        <v>0</v>
      </c>
      <c r="K396" s="85">
        <f>COUNTIFS('2023년 신조차 고장관리 세부현황'!$K:$K,"448R",'2023년 신조차 고장관리 세부현황'!$P:$P,"&gt;="&amp;'트랜드 분석_15일'!J$27,'2023년 신조차 고장관리 세부현황'!$P:$P,"&lt;"&amp;'트랜드 분석_15일'!K$27,'2023년 신조차 고장관리 세부현황'!$S:$S,'트랜드 분석_15일'!$F396,'2023년 신조차 고장관리 세부현황'!$BC:$BC,"완료",'2023년 신조차 고장관리 세부현황'!$CY:$CY,"밸브")</f>
        <v>0</v>
      </c>
      <c r="L396" s="85">
        <f>COUNTIFS('2023년 신조차 고장관리 세부현황'!$K:$K,"448R",'2023년 신조차 고장관리 세부현황'!$P:$P,"&gt;="&amp;'트랜드 분석_15일'!K$27,'2023년 신조차 고장관리 세부현황'!$P:$P,"&lt;"&amp;'트랜드 분석_15일'!L$27,'2023년 신조차 고장관리 세부현황'!$S:$S,'트랜드 분석_15일'!$F396,'2023년 신조차 고장관리 세부현황'!$BC:$BC,"완료",'2023년 신조차 고장관리 세부현황'!$CY:$CY,"밸브")</f>
        <v>0</v>
      </c>
      <c r="M396" s="85">
        <f>COUNTIFS('2023년 신조차 고장관리 세부현황'!$K:$K,"448R",'2023년 신조차 고장관리 세부현황'!$P:$P,"&gt;="&amp;'트랜드 분석_15일'!L$27,'2023년 신조차 고장관리 세부현황'!$P:$P,"&lt;"&amp;'트랜드 분석_15일'!M$27,'2023년 신조차 고장관리 세부현황'!$S:$S,'트랜드 분석_15일'!$F396,'2023년 신조차 고장관리 세부현황'!$BC:$BC,"완료",'2023년 신조차 고장관리 세부현황'!$CY:$CY,"밸브")</f>
        <v>0</v>
      </c>
      <c r="N396" s="85">
        <f>COUNTIFS('2023년 신조차 고장관리 세부현황'!$K:$K,"448R",'2023년 신조차 고장관리 세부현황'!$P:$P,"&gt;="&amp;'트랜드 분석_15일'!M$27,'2023년 신조차 고장관리 세부현황'!$P:$P,"&lt;"&amp;'트랜드 분석_15일'!N$27,'2023년 신조차 고장관리 세부현황'!$S:$S,'트랜드 분석_15일'!$F396,'2023년 신조차 고장관리 세부현황'!$BC:$BC,"완료",'2023년 신조차 고장관리 세부현황'!$CY:$CY,"밸브")</f>
        <v>0</v>
      </c>
      <c r="O396" s="85">
        <f>COUNTIFS('2023년 신조차 고장관리 세부현황'!$K:$K,"448R",'2023년 신조차 고장관리 세부현황'!$P:$P,"&gt;="&amp;'트랜드 분석_15일'!N$27,'2023년 신조차 고장관리 세부현황'!$P:$P,"&lt;"&amp;'트랜드 분석_15일'!O$27,'2023년 신조차 고장관리 세부현황'!$S:$S,'트랜드 분석_15일'!$F396,'2023년 신조차 고장관리 세부현황'!$BC:$BC,"완료",'2023년 신조차 고장관리 세부현황'!$CY:$CY,"밸브")</f>
        <v>0</v>
      </c>
      <c r="P396" s="85">
        <f>COUNTIFS('2023년 신조차 고장관리 세부현황'!$K:$K,"448R",'2023년 신조차 고장관리 세부현황'!$P:$P,"&gt;="&amp;'트랜드 분석_15일'!O$27,'2023년 신조차 고장관리 세부현황'!$P:$P,"&lt;"&amp;'트랜드 분석_15일'!P$27,'2023년 신조차 고장관리 세부현황'!$S:$S,'트랜드 분석_15일'!$F396,'2023년 신조차 고장관리 세부현황'!$BC:$BC,"완료",'2023년 신조차 고장관리 세부현황'!$CY:$CY,"밸브")</f>
        <v>0</v>
      </c>
      <c r="Q396" s="85">
        <f>COUNTIFS('2023년 신조차 고장관리 세부현황'!$K:$K,"448R",'2023년 신조차 고장관리 세부현황'!$P:$P,"&gt;="&amp;'트랜드 분석_15일'!P$27,'2023년 신조차 고장관리 세부현황'!$P:$P,"&lt;"&amp;'트랜드 분석_15일'!Q$27,'2023년 신조차 고장관리 세부현황'!$S:$S,'트랜드 분석_15일'!$F396,'2023년 신조차 고장관리 세부현황'!$BC:$BC,"완료",'2023년 신조차 고장관리 세부현황'!$CY:$CY,"밸브")</f>
        <v>0</v>
      </c>
      <c r="R396" s="85">
        <f>COUNTIFS('2023년 신조차 고장관리 세부현황'!$K:$K,"448R",'2023년 신조차 고장관리 세부현황'!$P:$P,"&gt;="&amp;'트랜드 분석_15일'!Q$27,'2023년 신조차 고장관리 세부현황'!$P:$P,"&lt;"&amp;'트랜드 분석_15일'!R$27,'2023년 신조차 고장관리 세부현황'!$S:$S,'트랜드 분석_15일'!$F396,'2023년 신조차 고장관리 세부현황'!$BC:$BC,"완료",'2023년 신조차 고장관리 세부현황'!$CY:$CY,"밸브")</f>
        <v>0</v>
      </c>
      <c r="S396" s="85">
        <f>COUNTIFS('2023년 신조차 고장관리 세부현황'!$K:$K,"448R",'2023년 신조차 고장관리 세부현황'!$P:$P,"&gt;="&amp;'트랜드 분석_15일'!R$27,'2023년 신조차 고장관리 세부현황'!$P:$P,"&lt;"&amp;'트랜드 분석_15일'!S$27,'2023년 신조차 고장관리 세부현황'!$S:$S,'트랜드 분석_15일'!$F396,'2023년 신조차 고장관리 세부현황'!$BC:$BC,"완료",'2023년 신조차 고장관리 세부현황'!$CY:$CY,"밸브")</f>
        <v>0</v>
      </c>
      <c r="T396" s="85">
        <f>COUNTIFS('2023년 신조차 고장관리 세부현황'!$K:$K,"448R",'2023년 신조차 고장관리 세부현황'!$P:$P,"&gt;="&amp;'트랜드 분석_15일'!S$27,'2023년 신조차 고장관리 세부현황'!$P:$P,"&lt;"&amp;'트랜드 분석_15일'!T$27,'2023년 신조차 고장관리 세부현황'!$S:$S,'트랜드 분석_15일'!$F396,'2023년 신조차 고장관리 세부현황'!$BC:$BC,"완료",'2023년 신조차 고장관리 세부현황'!$CY:$CY,"밸브")</f>
        <v>0</v>
      </c>
      <c r="U396" s="85">
        <f>COUNTIFS('2023년 신조차 고장관리 세부현황'!$K:$K,"448R",'2023년 신조차 고장관리 세부현황'!$P:$P,"&gt;="&amp;'트랜드 분석_15일'!T$27,'2023년 신조차 고장관리 세부현황'!$P:$P,"&lt;"&amp;'트랜드 분석_15일'!U$27,'2023년 신조차 고장관리 세부현황'!$S:$S,'트랜드 분석_15일'!$F396,'2023년 신조차 고장관리 세부현황'!$BC:$BC,"완료",'2023년 신조차 고장관리 세부현황'!$CY:$CY,"밸브")</f>
        <v>0</v>
      </c>
      <c r="V396" s="85">
        <f>COUNTIFS('2023년 신조차 고장관리 세부현황'!$K:$K,"448R",'2023년 신조차 고장관리 세부현황'!$P:$P,"&gt;="&amp;'트랜드 분석_15일'!U$27,'2023년 신조차 고장관리 세부현황'!$P:$P,"&lt;"&amp;'트랜드 분석_15일'!V$27,'2023년 신조차 고장관리 세부현황'!$S:$S,'트랜드 분석_15일'!$F396,'2023년 신조차 고장관리 세부현황'!$BC:$BC,"완료",'2023년 신조차 고장관리 세부현황'!$CY:$CY,"밸브")</f>
        <v>0</v>
      </c>
      <c r="W396" s="85">
        <f>COUNTIFS('2023년 신조차 고장관리 세부현황'!$K:$K,"448R",'2023년 신조차 고장관리 세부현황'!$P:$P,"&gt;="&amp;'트랜드 분석_15일'!V$27,'2023년 신조차 고장관리 세부현황'!$P:$P,"&lt;"&amp;'트랜드 분석_15일'!W$27,'2023년 신조차 고장관리 세부현황'!$S:$S,'트랜드 분석_15일'!$F396,'2023년 신조차 고장관리 세부현황'!$BC:$BC,"완료",'2023년 신조차 고장관리 세부현황'!$CY:$CY,"밸브")</f>
        <v>0</v>
      </c>
      <c r="X396" s="85">
        <f>COUNTIFS('2023년 신조차 고장관리 세부현황'!$K:$K,"448R",'2023년 신조차 고장관리 세부현황'!$P:$P,"&gt;="&amp;'트랜드 분석_15일'!W$27,'2023년 신조차 고장관리 세부현황'!$P:$P,"&lt;"&amp;'트랜드 분석_15일'!X$27,'2023년 신조차 고장관리 세부현황'!$S:$S,'트랜드 분석_15일'!$F396,'2023년 신조차 고장관리 세부현황'!$BC:$BC,"완료",'2023년 신조차 고장관리 세부현황'!$CY:$CY,"밸브")</f>
        <v>0</v>
      </c>
      <c r="Y396" s="85">
        <f>COUNTIFS('2023년 신조차 고장관리 세부현황'!$K:$K,"448R",'2023년 신조차 고장관리 세부현황'!$P:$P,"&gt;="&amp;'트랜드 분석_15일'!X$27,'2023년 신조차 고장관리 세부현황'!$P:$P,"&lt;"&amp;'트랜드 분석_15일'!Y$27,'2023년 신조차 고장관리 세부현황'!$S:$S,'트랜드 분석_15일'!$F396,'2023년 신조차 고장관리 세부현황'!$BC:$BC,"완료",'2023년 신조차 고장관리 세부현황'!$CY:$CY,"밸브")</f>
        <v>0</v>
      </c>
      <c r="Z396" s="85">
        <f>COUNTIFS('2023년 신조차 고장관리 세부현황'!$K:$K,"448R",'2023년 신조차 고장관리 세부현황'!$P:$P,"&gt;="&amp;'트랜드 분석_15일'!Y$27,'2023년 신조차 고장관리 세부현황'!$P:$P,"&lt;"&amp;'트랜드 분석_15일'!Z$27,'2023년 신조차 고장관리 세부현황'!$S:$S,'트랜드 분석_15일'!$F396,'2023년 신조차 고장관리 세부현황'!$BC:$BC,"완료",'2023년 신조차 고장관리 세부현황'!$CY:$CY,"밸브")</f>
        <v>0</v>
      </c>
      <c r="AA396" s="85">
        <f>COUNTIFS('2023년 신조차 고장관리 세부현황'!$K:$K,"448R",'2023년 신조차 고장관리 세부현황'!$P:$P,"&gt;="&amp;'트랜드 분석_15일'!Z$27,'2023년 신조차 고장관리 세부현황'!$P:$P,"&lt;"&amp;'트랜드 분석_15일'!AA$27,'2023년 신조차 고장관리 세부현황'!$S:$S,'트랜드 분석_15일'!$F396,'2023년 신조차 고장관리 세부현황'!$BC:$BC,"완료",'2023년 신조차 고장관리 세부현황'!$CY:$CY,"밸브")</f>
        <v>0</v>
      </c>
      <c r="AB396" s="85">
        <f>COUNTIFS('2023년 신조차 고장관리 세부현황'!$K:$K,"448R",'2023년 신조차 고장관리 세부현황'!$P:$P,"&gt;="&amp;'트랜드 분석_15일'!AA$27,'2023년 신조차 고장관리 세부현황'!$P:$P,"&lt;"&amp;'트랜드 분석_15일'!AB$27,'2023년 신조차 고장관리 세부현황'!$S:$S,'트랜드 분석_15일'!$F396,'2023년 신조차 고장관리 세부현황'!$BC:$BC,"완료",'2023년 신조차 고장관리 세부현황'!$CY:$CY,"밸브")</f>
        <v>0</v>
      </c>
      <c r="AC396" s="85">
        <f>COUNTIFS('2023년 신조차 고장관리 세부현황'!$K:$K,"448R",'2023년 신조차 고장관리 세부현황'!$P:$P,"&gt;="&amp;'트랜드 분석_15일'!AB$27,'2023년 신조차 고장관리 세부현황'!$P:$P,"&lt;"&amp;'트랜드 분석_15일'!AC$27,'2023년 신조차 고장관리 세부현황'!$S:$S,'트랜드 분석_15일'!$F396,'2023년 신조차 고장관리 세부현황'!$BC:$BC,"완료",'2023년 신조차 고장관리 세부현황'!$CY:$CY,"밸브")</f>
        <v>0</v>
      </c>
      <c r="AD396" s="85">
        <f>COUNTIFS('2023년 신조차 고장관리 세부현황'!$K:$K,"448R",'2023년 신조차 고장관리 세부현황'!$P:$P,"&gt;="&amp;'트랜드 분석_15일'!AC$27,'2023년 신조차 고장관리 세부현황'!$P:$P,"&lt;"&amp;'트랜드 분석_15일'!AD$27,'2023년 신조차 고장관리 세부현황'!$S:$S,'트랜드 분석_15일'!$F396,'2023년 신조차 고장관리 세부현황'!$BC:$BC,"완료",'2023년 신조차 고장관리 세부현황'!$CY:$CY,"밸브")</f>
        <v>0</v>
      </c>
      <c r="AE396" s="85">
        <f>COUNTIFS('2023년 신조차 고장관리 세부현황'!$K:$K,"448R",'2023년 신조차 고장관리 세부현황'!$P:$P,"&gt;="&amp;'트랜드 분석_15일'!AD$27,'2023년 신조차 고장관리 세부현황'!$P:$P,"&lt;"&amp;'트랜드 분석_15일'!AE$27,'2023년 신조차 고장관리 세부현황'!$S:$S,'트랜드 분석_15일'!$F396,'2023년 신조차 고장관리 세부현황'!$BC:$BC,"완료",'2023년 신조차 고장관리 세부현황'!$CY:$CY,"밸브")</f>
        <v>0</v>
      </c>
      <c r="AF396" s="85">
        <f>COUNTIFS('2023년 신조차 고장관리 세부현황'!$K:$K,"448R",'2023년 신조차 고장관리 세부현황'!$P:$P,"&gt;="&amp;'트랜드 분석_15일'!AE$27,'2023년 신조차 고장관리 세부현황'!$P:$P,"&lt;"&amp;'트랜드 분석_15일'!AF$27,'2023년 신조차 고장관리 세부현황'!$S:$S,'트랜드 분석_15일'!$F396,'2023년 신조차 고장관리 세부현황'!$BC:$BC,"완료",'2023년 신조차 고장관리 세부현황'!$CY:$CY,"밸브")</f>
        <v>0</v>
      </c>
      <c r="AG396" s="85">
        <f>COUNTIFS('2023년 신조차 고장관리 세부현황'!$K:$K,"448R",'2023년 신조차 고장관리 세부현황'!$P:$P,"&gt;="&amp;'트랜드 분석_15일'!AF$27,'2023년 신조차 고장관리 세부현황'!$P:$P,"&lt;"&amp;'트랜드 분석_15일'!AG$27,'2023년 신조차 고장관리 세부현황'!$S:$S,'트랜드 분석_15일'!$F396,'2023년 신조차 고장관리 세부현황'!$BC:$BC,"완료",'2023년 신조차 고장관리 세부현황'!$CY:$CY,"밸브")</f>
        <v>0</v>
      </c>
      <c r="AH396" s="85">
        <f>COUNTIFS('2023년 신조차 고장관리 세부현황'!$K:$K,"448R",'2023년 신조차 고장관리 세부현황'!$P:$P,"&gt;="&amp;'트랜드 분석_15일'!AG$27,'2023년 신조차 고장관리 세부현황'!$P:$P,"&lt;"&amp;'트랜드 분석_15일'!AH$27,'2023년 신조차 고장관리 세부현황'!$S:$S,'트랜드 분석_15일'!$F396,'2023년 신조차 고장관리 세부현황'!$BC:$BC,"완료",'2023년 신조차 고장관리 세부현황'!$CY:$CY,"밸브")</f>
        <v>0</v>
      </c>
      <c r="AI396" s="85">
        <f>COUNTIFS('2023년 신조차 고장관리 세부현황'!$K:$K,"448R",'2023년 신조차 고장관리 세부현황'!$P:$P,"&gt;="&amp;'트랜드 분석_15일'!AH$27,'2023년 신조차 고장관리 세부현황'!$P:$P,"&lt;"&amp;'트랜드 분석_15일'!AI$27,'2023년 신조차 고장관리 세부현황'!$S:$S,'트랜드 분석_15일'!$F396,'2023년 신조차 고장관리 세부현황'!$BC:$BC,"완료",'2023년 신조차 고장관리 세부현황'!$CY:$CY,"밸브")</f>
        <v>0</v>
      </c>
      <c r="AJ396" s="85">
        <f>COUNTIFS('2023년 신조차 고장관리 세부현황'!$K:$K,"448R",'2023년 신조차 고장관리 세부현황'!$P:$P,"&gt;="&amp;'트랜드 분석_15일'!AI$27,'2023년 신조차 고장관리 세부현황'!$P:$P,"&lt;"&amp;'트랜드 분석_15일'!AJ$27,'2023년 신조차 고장관리 세부현황'!$S:$S,'트랜드 분석_15일'!$F396,'2023년 신조차 고장관리 세부현황'!$BC:$BC,"완료",'2023년 신조차 고장관리 세부현황'!$CY:$CY,"밸브")</f>
        <v>0</v>
      </c>
      <c r="AK396" s="85">
        <f>COUNTIFS('2023년 신조차 고장관리 세부현황'!$K:$K,"448R",'2023년 신조차 고장관리 세부현황'!$P:$P,"&gt;="&amp;'트랜드 분석_15일'!AJ$27,'2023년 신조차 고장관리 세부현황'!$P:$P,"&lt;"&amp;'트랜드 분석_15일'!AK$27,'2023년 신조차 고장관리 세부현황'!$S:$S,'트랜드 분석_15일'!$F396,'2023년 신조차 고장관리 세부현황'!$BC:$BC,"완료",'2023년 신조차 고장관리 세부현황'!$CY:$CY,"밸브")</f>
        <v>0</v>
      </c>
      <c r="AL396" s="85">
        <f>COUNTIFS('2023년 신조차 고장관리 세부현황'!$K:$K,"448R",'2023년 신조차 고장관리 세부현황'!$P:$P,"&gt;="&amp;'트랜드 분석_15일'!AK$27,'2023년 신조차 고장관리 세부현황'!$P:$P,"&lt;"&amp;'트랜드 분석_15일'!AL$27,'2023년 신조차 고장관리 세부현황'!$S:$S,'트랜드 분석_15일'!$F396,'2023년 신조차 고장관리 세부현황'!$BC:$BC,"완료",'2023년 신조차 고장관리 세부현황'!$CY:$CY,"밸브")</f>
        <v>0</v>
      </c>
      <c r="AM396" s="85">
        <f>COUNTIFS('2023년 신조차 고장관리 세부현황'!$K:$K,"448R",'2023년 신조차 고장관리 세부현황'!$P:$P,"&gt;="&amp;'트랜드 분석_15일'!AL$27,'2023년 신조차 고장관리 세부현황'!$P:$P,"&lt;"&amp;'트랜드 분석_15일'!AM$27,'2023년 신조차 고장관리 세부현황'!$S:$S,'트랜드 분석_15일'!$F396,'2023년 신조차 고장관리 세부현황'!$BC:$BC,"완료",'2023년 신조차 고장관리 세부현황'!$CY:$CY,"밸브")</f>
        <v>0</v>
      </c>
      <c r="AN396" s="85">
        <f>COUNTIFS('2023년 신조차 고장관리 세부현황'!$K:$K,"448R",'2023년 신조차 고장관리 세부현황'!$P:$P,"&gt;="&amp;'트랜드 분석_15일'!AM$27,'2023년 신조차 고장관리 세부현황'!$P:$P,"&lt;"&amp;'트랜드 분석_15일'!AN$27,'2023년 신조차 고장관리 세부현황'!$S:$S,'트랜드 분석_15일'!$F396,'2023년 신조차 고장관리 세부현황'!$BC:$BC,"완료",'2023년 신조차 고장관리 세부현황'!$CY:$CY,"밸브")</f>
        <v>0</v>
      </c>
      <c r="AO396" s="85">
        <f>COUNTIFS('2023년 신조차 고장관리 세부현황'!$K:$K,"448R",'2023년 신조차 고장관리 세부현황'!$P:$P,"&gt;="&amp;'트랜드 분석_15일'!AN$27,'2023년 신조차 고장관리 세부현황'!$P:$P,"&lt;"&amp;'트랜드 분석_15일'!AO$27,'2023년 신조차 고장관리 세부현황'!$S:$S,'트랜드 분석_15일'!$F396,'2023년 신조차 고장관리 세부현황'!$BC:$BC,"완료",'2023년 신조차 고장관리 세부현황'!$CY:$CY,"밸브")</f>
        <v>0</v>
      </c>
      <c r="AP396" s="85">
        <f>COUNTIFS('2023년 신조차 고장관리 세부현황'!$K:$K,"448R",'2023년 신조차 고장관리 세부현황'!$P:$P,"&gt;="&amp;'트랜드 분석_15일'!AO$27,'2023년 신조차 고장관리 세부현황'!$P:$P,"&lt;"&amp;'트랜드 분석_15일'!AP$27,'2023년 신조차 고장관리 세부현황'!$S:$S,'트랜드 분석_15일'!$F396,'2023년 신조차 고장관리 세부현황'!$BC:$BC,"완료",'2023년 신조차 고장관리 세부현황'!$CY:$CY,"밸브")</f>
        <v>0</v>
      </c>
      <c r="AQ396" s="85">
        <f>COUNTIFS('2023년 신조차 고장관리 세부현황'!$K:$K,"448R",'2023년 신조차 고장관리 세부현황'!$P:$P,"&gt;="&amp;'트랜드 분석_15일'!AP$27,'2023년 신조차 고장관리 세부현황'!$P:$P,"&lt;"&amp;'트랜드 분석_15일'!AQ$27,'2023년 신조차 고장관리 세부현황'!$S:$S,'트랜드 분석_15일'!$F396,'2023년 신조차 고장관리 세부현황'!$BC:$BC,"완료",'2023년 신조차 고장관리 세부현황'!$CY:$CY,"밸브")</f>
        <v>0</v>
      </c>
      <c r="AR396" s="85">
        <f>COUNTIFS('2023년 신조차 고장관리 세부현황'!$K:$K,"448R",'2023년 신조차 고장관리 세부현황'!$P:$P,"&gt;="&amp;'트랜드 분석_15일'!AQ$27,'2023년 신조차 고장관리 세부현황'!$P:$P,"&lt;"&amp;'트랜드 분석_15일'!AR$27,'2023년 신조차 고장관리 세부현황'!$S:$S,'트랜드 분석_15일'!$F396,'2023년 신조차 고장관리 세부현황'!$BC:$BC,"완료",'2023년 신조차 고장관리 세부현황'!$CY:$CY,"밸브")</f>
        <v>0</v>
      </c>
      <c r="AS396" s="85">
        <f>COUNTIFS('2023년 신조차 고장관리 세부현황'!$K:$K,"448R",'2023년 신조차 고장관리 세부현황'!$P:$P,"&gt;="&amp;'트랜드 분석_15일'!AR$27,'2023년 신조차 고장관리 세부현황'!$P:$P,"&lt;"&amp;'트랜드 분석_15일'!AS$27,'2023년 신조차 고장관리 세부현황'!$S:$S,'트랜드 분석_15일'!$F396,'2023년 신조차 고장관리 세부현황'!$BC:$BC,"완료",'2023년 신조차 고장관리 세부현황'!$CY:$CY,"밸브")</f>
        <v>0</v>
      </c>
      <c r="AT396" s="85">
        <f>COUNTIFS('2023년 신조차 고장관리 세부현황'!$K:$K,"448R",'2023년 신조차 고장관리 세부현황'!$P:$P,"&gt;="&amp;'트랜드 분석_15일'!AS$27,'2023년 신조차 고장관리 세부현황'!$P:$P,"&lt;"&amp;'트랜드 분석_15일'!AT$27,'2023년 신조차 고장관리 세부현황'!$S:$S,'트랜드 분석_15일'!$F396,'2023년 신조차 고장관리 세부현황'!$BC:$BC,"완료",'2023년 신조차 고장관리 세부현황'!$CY:$CY,"밸브")</f>
        <v>0</v>
      </c>
      <c r="AU396" s="85">
        <f>COUNTIFS('2023년 신조차 고장관리 세부현황'!$K:$K,"448R",'2023년 신조차 고장관리 세부현황'!$P:$P,"&gt;="&amp;'트랜드 분석_15일'!AT$27,'2023년 신조차 고장관리 세부현황'!$P:$P,"&lt;"&amp;'트랜드 분석_15일'!AU$27,'2023년 신조차 고장관리 세부현황'!$S:$S,'트랜드 분석_15일'!$F396,'2023년 신조차 고장관리 세부현황'!$BC:$BC,"완료",'2023년 신조차 고장관리 세부현황'!$CY:$CY,"밸브")</f>
        <v>0</v>
      </c>
      <c r="AV396" s="85">
        <f>COUNTIFS('2023년 신조차 고장관리 세부현황'!$K:$K,"448R",'2023년 신조차 고장관리 세부현황'!$P:$P,"&gt;="&amp;'트랜드 분석_15일'!AU$27,'2023년 신조차 고장관리 세부현황'!$P:$P,"&lt;"&amp;'트랜드 분석_15일'!AV$27,'2023년 신조차 고장관리 세부현황'!$S:$S,'트랜드 분석_15일'!$F396,'2023년 신조차 고장관리 세부현황'!$BC:$BC,"완료",'2023년 신조차 고장관리 세부현황'!$CY:$CY,"밸브")</f>
        <v>0</v>
      </c>
      <c r="AW396" s="85">
        <f>COUNTIFS('2023년 신조차 고장관리 세부현황'!$K:$K,"448R",'2023년 신조차 고장관리 세부현황'!$P:$P,"&gt;="&amp;'트랜드 분석_15일'!AV$27,'2023년 신조차 고장관리 세부현황'!$P:$P,"&lt;"&amp;'트랜드 분석_15일'!AW$27,'2023년 신조차 고장관리 세부현황'!$S:$S,'트랜드 분석_15일'!$F396,'2023년 신조차 고장관리 세부현황'!$BC:$BC,"완료",'2023년 신조차 고장관리 세부현황'!$CY:$CY,"밸브")</f>
        <v>0</v>
      </c>
      <c r="AX396" s="85">
        <f>COUNTIFS('2023년 신조차 고장관리 세부현황'!$K:$K,"448R",'2023년 신조차 고장관리 세부현황'!$P:$P,"&gt;="&amp;'트랜드 분석_15일'!AW$27,'2023년 신조차 고장관리 세부현황'!$P:$P,"&lt;"&amp;'트랜드 분석_15일'!AX$27,'2023년 신조차 고장관리 세부현황'!$S:$S,'트랜드 분석_15일'!$F396,'2023년 신조차 고장관리 세부현황'!$BC:$BC,"완료",'2023년 신조차 고장관리 세부현황'!$CY:$CY,"밸브")</f>
        <v>0</v>
      </c>
      <c r="AY396" s="85">
        <f>COUNTIFS('2023년 신조차 고장관리 세부현황'!$K:$K,"448R",'2023년 신조차 고장관리 세부현황'!$P:$P,"&gt;="&amp;'트랜드 분석_15일'!AX$27,'2023년 신조차 고장관리 세부현황'!$P:$P,"&lt;"&amp;'트랜드 분석_15일'!AY$27,'2023년 신조차 고장관리 세부현황'!$S:$S,'트랜드 분석_15일'!$F396,'2023년 신조차 고장관리 세부현황'!$BC:$BC,"완료",'2023년 신조차 고장관리 세부현황'!$CY:$CY,"밸브")</f>
        <v>0</v>
      </c>
      <c r="AZ396" s="85">
        <f>COUNTIFS('2023년 신조차 고장관리 세부현황'!$K:$K,"448R",'2023년 신조차 고장관리 세부현황'!$P:$P,"&gt;="&amp;'트랜드 분석_15일'!AY$27,'2023년 신조차 고장관리 세부현황'!$P:$P,"&lt;"&amp;'트랜드 분석_15일'!AZ$27,'2023년 신조차 고장관리 세부현황'!$S:$S,'트랜드 분석_15일'!$F396,'2023년 신조차 고장관리 세부현황'!$BC:$BC,"완료",'2023년 신조차 고장관리 세부현황'!$CY:$CY,"밸브")</f>
        <v>0</v>
      </c>
      <c r="BA396" s="85">
        <f>COUNTIFS('2023년 신조차 고장관리 세부현황'!$K:$K,"448R",'2023년 신조차 고장관리 세부현황'!$P:$P,"&gt;="&amp;'트랜드 분석_15일'!AZ$27,'2023년 신조차 고장관리 세부현황'!$P:$P,"&lt;"&amp;'트랜드 분석_15일'!BA$27,'2023년 신조차 고장관리 세부현황'!$S:$S,'트랜드 분석_15일'!$F396,'2023년 신조차 고장관리 세부현황'!$BC:$BC,"완료",'2023년 신조차 고장관리 세부현황'!$CY:$CY,"밸브")</f>
        <v>0</v>
      </c>
      <c r="BB396" s="85">
        <f>COUNTIFS('2023년 신조차 고장관리 세부현황'!$K:$K,"448R",'2023년 신조차 고장관리 세부현황'!$P:$P,"&gt;="&amp;'트랜드 분석_15일'!BA$27,'2023년 신조차 고장관리 세부현황'!$P:$P,"&lt;"&amp;'트랜드 분석_15일'!BB$27,'2023년 신조차 고장관리 세부현황'!$S:$S,'트랜드 분석_15일'!$F396,'2023년 신조차 고장관리 세부현황'!$BC:$BC,"완료",'2023년 신조차 고장관리 세부현황'!$CY:$CY,"밸브")</f>
        <v>0</v>
      </c>
      <c r="BC396" s="85">
        <f>COUNTIFS('2023년 신조차 고장관리 세부현황'!$K:$K,"448R",'2023년 신조차 고장관리 세부현황'!$P:$P,"&gt;="&amp;'트랜드 분석_15일'!BB$27,'2023년 신조차 고장관리 세부현황'!$P:$P,"&lt;"&amp;'트랜드 분석_15일'!BC$27,'2023년 신조차 고장관리 세부현황'!$S:$S,'트랜드 분석_15일'!$F396,'2023년 신조차 고장관리 세부현황'!$BC:$BC,"완료",'2023년 신조차 고장관리 세부현황'!$CY:$CY,"밸브")</f>
        <v>0</v>
      </c>
      <c r="BD396" s="85">
        <f>COUNTIFS('2023년 신조차 고장관리 세부현황'!$K:$K,"448R",'2023년 신조차 고장관리 세부현황'!$P:$P,"&gt;="&amp;'트랜드 분석_15일'!BC$27,'2023년 신조차 고장관리 세부현황'!$P:$P,"&lt;"&amp;'트랜드 분석_15일'!BD$27,'2023년 신조차 고장관리 세부현황'!$S:$S,'트랜드 분석_15일'!$F396,'2023년 신조차 고장관리 세부현황'!$BC:$BC,"완료",'2023년 신조차 고장관리 세부현황'!$CY:$CY,"밸브")</f>
        <v>0</v>
      </c>
      <c r="BE396" s="85">
        <f>COUNTIFS('2023년 신조차 고장관리 세부현황'!$K:$K,"448R",'2023년 신조차 고장관리 세부현황'!$P:$P,"&gt;="&amp;'트랜드 분석_15일'!BD$27,'2023년 신조차 고장관리 세부현황'!$P:$P,"&lt;"&amp;'트랜드 분석_15일'!BE$27,'2023년 신조차 고장관리 세부현황'!$S:$S,'트랜드 분석_15일'!$F396,'2023년 신조차 고장관리 세부현황'!$BC:$BC,"완료",'2023년 신조차 고장관리 세부현황'!$CY:$CY,"밸브")</f>
        <v>0</v>
      </c>
      <c r="BF396" s="85">
        <f>COUNTIFS('2023년 신조차 고장관리 세부현황'!$K:$K,"448R",'2023년 신조차 고장관리 세부현황'!$P:$P,"&gt;="&amp;'트랜드 분석_15일'!BE$27,'2023년 신조차 고장관리 세부현황'!$P:$P,"&lt;"&amp;'트랜드 분석_15일'!BF$27,'2023년 신조차 고장관리 세부현황'!$S:$S,'트랜드 분석_15일'!$F396,'2023년 신조차 고장관리 세부현황'!$BC:$BC,"완료",'2023년 신조차 고장관리 세부현황'!$CY:$CY,"밸브")</f>
        <v>0</v>
      </c>
      <c r="BG396" s="85">
        <f>COUNTIFS('2023년 신조차 고장관리 세부현황'!$K:$K,"448R",'2023년 신조차 고장관리 세부현황'!$P:$P,"&gt;="&amp;'트랜드 분석_15일'!BF$27,'2023년 신조차 고장관리 세부현황'!$P:$P,"&lt;"&amp;'트랜드 분석_15일'!BG$27,'2023년 신조차 고장관리 세부현황'!$S:$S,'트랜드 분석_15일'!$F396,'2023년 신조차 고장관리 세부현황'!$BC:$BC,"완료",'2023년 신조차 고장관리 세부현황'!$CY:$CY,"밸브")</f>
        <v>0</v>
      </c>
      <c r="BH396" s="85">
        <f>COUNTIFS('2023년 신조차 고장관리 세부현황'!$K:$K,"448R",'2023년 신조차 고장관리 세부현황'!$P:$P,"&gt;="&amp;'트랜드 분석_15일'!BG$27,'2023년 신조차 고장관리 세부현황'!$P:$P,"&lt;"&amp;'트랜드 분석_15일'!BH$27,'2023년 신조차 고장관리 세부현황'!$S:$S,'트랜드 분석_15일'!$F396,'2023년 신조차 고장관리 세부현황'!$BC:$BC,"완료",'2023년 신조차 고장관리 세부현황'!$CY:$CY,"밸브")</f>
        <v>0</v>
      </c>
      <c r="BI396" s="85">
        <f>COUNTIFS('2023년 신조차 고장관리 세부현황'!$K:$K,"448R",'2023년 신조차 고장관리 세부현황'!$P:$P,"&gt;="&amp;'트랜드 분석_15일'!BH$27,'2023년 신조차 고장관리 세부현황'!$P:$P,"&lt;"&amp;'트랜드 분석_15일'!BI$27,'2023년 신조차 고장관리 세부현황'!$S:$S,'트랜드 분석_15일'!$F396,'2023년 신조차 고장관리 세부현황'!$BC:$BC,"완료",'2023년 신조차 고장관리 세부현황'!$CY:$CY,"밸브")</f>
        <v>0</v>
      </c>
      <c r="BJ396" s="85">
        <f>COUNTIFS('2023년 신조차 고장관리 세부현황'!$K:$K,"448R",'2023년 신조차 고장관리 세부현황'!$P:$P,"&gt;="&amp;'트랜드 분석_15일'!BI$27,'2023년 신조차 고장관리 세부현황'!$P:$P,"&lt;"&amp;'트랜드 분석_15일'!BJ$27,'2023년 신조차 고장관리 세부현황'!$S:$S,'트랜드 분석_15일'!$F396,'2023년 신조차 고장관리 세부현황'!$BC:$BC,"완료",'2023년 신조차 고장관리 세부현황'!$CY:$CY,"밸브")</f>
        <v>0</v>
      </c>
      <c r="BK396" s="85">
        <f>COUNTIFS('2023년 신조차 고장관리 세부현황'!$K:$K,"448R",'2023년 신조차 고장관리 세부현황'!$P:$P,"&gt;="&amp;'트랜드 분석_15일'!BJ$27,'2023년 신조차 고장관리 세부현황'!$P:$P,"&lt;"&amp;'트랜드 분석_15일'!BK$27,'2023년 신조차 고장관리 세부현황'!$S:$S,'트랜드 분석_15일'!$F396,'2023년 신조차 고장관리 세부현황'!$BC:$BC,"완료",'2023년 신조차 고장관리 세부현황'!$CY:$CY,"밸브")</f>
        <v>0</v>
      </c>
      <c r="BL396" s="85">
        <f>COUNTIFS('2023년 신조차 고장관리 세부현황'!$K:$K,"448R",'2023년 신조차 고장관리 세부현황'!$P:$P,"&gt;="&amp;'트랜드 분석_15일'!BK$27,'2023년 신조차 고장관리 세부현황'!$P:$P,"&lt;"&amp;'트랜드 분석_15일'!BL$27,'2023년 신조차 고장관리 세부현황'!$S:$S,'트랜드 분석_15일'!$F396,'2023년 신조차 고장관리 세부현황'!$BC:$BC,"완료",'2023년 신조차 고장관리 세부현황'!$CY:$CY,"밸브")</f>
        <v>0</v>
      </c>
      <c r="BM396" s="85">
        <f>COUNTIFS('2023년 신조차 고장관리 세부현황'!$K:$K,"448R",'2023년 신조차 고장관리 세부현황'!$P:$P,"&gt;="&amp;'트랜드 분석_15일'!BL$27,'2023년 신조차 고장관리 세부현황'!$P:$P,"&lt;"&amp;'트랜드 분석_15일'!BM$27,'2023년 신조차 고장관리 세부현황'!$S:$S,'트랜드 분석_15일'!$F396,'2023년 신조차 고장관리 세부현황'!$BC:$BC,"완료",'2023년 신조차 고장관리 세부현황'!$CY:$CY,"밸브")</f>
        <v>0</v>
      </c>
      <c r="BN396" s="85">
        <f>COUNTIFS('2023년 신조차 고장관리 세부현황'!$K:$K,"448R",'2023년 신조차 고장관리 세부현황'!$P:$P,"&gt;="&amp;'트랜드 분석_15일'!BM$27,'2023년 신조차 고장관리 세부현황'!$P:$P,"&lt;"&amp;'트랜드 분석_15일'!BN$27,'2023년 신조차 고장관리 세부현황'!$S:$S,'트랜드 분석_15일'!$F396,'2023년 신조차 고장관리 세부현황'!$BC:$BC,"완료",'2023년 신조차 고장관리 세부현황'!$CY:$CY,"밸브")</f>
        <v>0</v>
      </c>
      <c r="BO396" s="85">
        <f>COUNTIFS('2023년 신조차 고장관리 세부현황'!$K:$K,"448R",'2023년 신조차 고장관리 세부현황'!$P:$P,"&gt;="&amp;'트랜드 분석_15일'!BN$27,'2023년 신조차 고장관리 세부현황'!$P:$P,"&lt;"&amp;'트랜드 분석_15일'!BO$27,'2023년 신조차 고장관리 세부현황'!$S:$S,'트랜드 분석_15일'!$F396,'2023년 신조차 고장관리 세부현황'!$BC:$BC,"완료",'2023년 신조차 고장관리 세부현황'!$CY:$CY,"밸브")</f>
        <v>0</v>
      </c>
      <c r="BP396" s="85">
        <f>COUNTIFS('2023년 신조차 고장관리 세부현황'!$K:$K,"448R",'2023년 신조차 고장관리 세부현황'!$P:$P,"&gt;="&amp;'트랜드 분석_15일'!BO$27,'2023년 신조차 고장관리 세부현황'!$P:$P,"&lt;"&amp;'트랜드 분석_15일'!BP$27,'2023년 신조차 고장관리 세부현황'!$S:$S,'트랜드 분석_15일'!$F396,'2023년 신조차 고장관리 세부현황'!$BC:$BC,"완료",'2023년 신조차 고장관리 세부현황'!$CY:$CY,"밸브")</f>
        <v>0</v>
      </c>
      <c r="BQ396" s="85">
        <f>COUNTIFS('2023년 신조차 고장관리 세부현황'!$K:$K,"448R",'2023년 신조차 고장관리 세부현황'!$P:$P,"&gt;="&amp;'트랜드 분석_15일'!BP$27,'2023년 신조차 고장관리 세부현황'!$P:$P,"&lt;"&amp;'트랜드 분석_15일'!BQ$27,'2023년 신조차 고장관리 세부현황'!$S:$S,'트랜드 분석_15일'!$F396,'2023년 신조차 고장관리 세부현황'!$BC:$BC,"완료",'2023년 신조차 고장관리 세부현황'!$CY:$CY,"밸브")</f>
        <v>0</v>
      </c>
      <c r="BR396" s="85">
        <f>COUNTIFS('2023년 신조차 고장관리 세부현황'!$K:$K,"448R",'2023년 신조차 고장관리 세부현황'!$P:$P,"&gt;="&amp;'트랜드 분석_15일'!BQ$27,'2023년 신조차 고장관리 세부현황'!$P:$P,"&lt;"&amp;'트랜드 분석_15일'!BR$27,'2023년 신조차 고장관리 세부현황'!$S:$S,'트랜드 분석_15일'!$F396,'2023년 신조차 고장관리 세부현황'!$BC:$BC,"완료",'2023년 신조차 고장관리 세부현황'!$CY:$CY,"밸브")</f>
        <v>0</v>
      </c>
      <c r="BS396" s="85">
        <f>COUNTIFS('2023년 신조차 고장관리 세부현황'!$K:$K,"448R",'2023년 신조차 고장관리 세부현황'!$P:$P,"&gt;="&amp;'트랜드 분석_15일'!BR$27,'2023년 신조차 고장관리 세부현황'!$P:$P,"&lt;"&amp;'트랜드 분석_15일'!BS$27,'2023년 신조차 고장관리 세부현황'!$S:$S,'트랜드 분석_15일'!$F396,'2023년 신조차 고장관리 세부현황'!$BC:$BC,"완료",'2023년 신조차 고장관리 세부현황'!$CY:$CY,"밸브")</f>
        <v>0</v>
      </c>
      <c r="BT396" s="85">
        <f>COUNTIFS('2023년 신조차 고장관리 세부현황'!$K:$K,"448R",'2023년 신조차 고장관리 세부현황'!$P:$P,"&gt;="&amp;'트랜드 분석_15일'!BS$27,'2023년 신조차 고장관리 세부현황'!$P:$P,"&lt;"&amp;'트랜드 분석_15일'!BT$27,'2023년 신조차 고장관리 세부현황'!$S:$S,'트랜드 분석_15일'!$F396,'2023년 신조차 고장관리 세부현황'!$BC:$BC,"완료",'2023년 신조차 고장관리 세부현황'!$CY:$CY,"밸브")</f>
        <v>0</v>
      </c>
      <c r="BU396" s="85">
        <f>COUNTIFS('2023년 신조차 고장관리 세부현황'!$K:$K,"448R",'2023년 신조차 고장관리 세부현황'!$P:$P,"&gt;="&amp;'트랜드 분석_15일'!BT$27,'2023년 신조차 고장관리 세부현황'!$P:$P,"&lt;"&amp;'트랜드 분석_15일'!BU$27,'2023년 신조차 고장관리 세부현황'!$S:$S,'트랜드 분석_15일'!$F396,'2023년 신조차 고장관리 세부현황'!$BC:$BC,"완료",'2023년 신조차 고장관리 세부현황'!$CY:$CY,"밸브")</f>
        <v>0</v>
      </c>
      <c r="BV396" s="85">
        <f>COUNTIFS('2023년 신조차 고장관리 세부현황'!$K:$K,"448R",'2023년 신조차 고장관리 세부현황'!$P:$P,"&gt;="&amp;'트랜드 분석_15일'!BU$27,'2023년 신조차 고장관리 세부현황'!$P:$P,"&lt;"&amp;'트랜드 분석_15일'!BV$27,'2023년 신조차 고장관리 세부현황'!$S:$S,'트랜드 분석_15일'!$F396,'2023년 신조차 고장관리 세부현황'!$BC:$BC,"완료",'2023년 신조차 고장관리 세부현황'!$CY:$CY,"밸브")</f>
        <v>0</v>
      </c>
      <c r="BW396" s="85">
        <f>COUNTIFS('2023년 신조차 고장관리 세부현황'!$K:$K,"448R",'2023년 신조차 고장관리 세부현황'!$P:$P,"&gt;="&amp;'트랜드 분석_15일'!BV$27,'2023년 신조차 고장관리 세부현황'!$P:$P,"&lt;"&amp;'트랜드 분석_15일'!BW$27,'2023년 신조차 고장관리 세부현황'!$S:$S,'트랜드 분석_15일'!$F396,'2023년 신조차 고장관리 세부현황'!$BC:$BC,"완료",'2023년 신조차 고장관리 세부현황'!$CY:$CY,"밸브")</f>
        <v>0</v>
      </c>
      <c r="BX396" s="85">
        <f>COUNTIFS('2023년 신조차 고장관리 세부현황'!$K:$K,"448R",'2023년 신조차 고장관리 세부현황'!$P:$P,"&gt;="&amp;'트랜드 분석_15일'!BW$27,'2023년 신조차 고장관리 세부현황'!$P:$P,"&lt;"&amp;'트랜드 분석_15일'!BX$27,'2023년 신조차 고장관리 세부현황'!$S:$S,'트랜드 분석_15일'!$F396,'2023년 신조차 고장관리 세부현황'!$BC:$BC,"완료",'2023년 신조차 고장관리 세부현황'!$CY:$CY,"밸브")</f>
        <v>0</v>
      </c>
      <c r="BY396" s="85">
        <f>COUNTIFS('2023년 신조차 고장관리 세부현황'!$K:$K,"448R",'2023년 신조차 고장관리 세부현황'!$P:$P,"&gt;="&amp;'트랜드 분석_15일'!BX$27,'2023년 신조차 고장관리 세부현황'!$P:$P,"&lt;"&amp;'트랜드 분석_15일'!BY$27,'2023년 신조차 고장관리 세부현황'!$S:$S,'트랜드 분석_15일'!$F396,'2023년 신조차 고장관리 세부현황'!$BC:$BC,"완료",'2023년 신조차 고장관리 세부현황'!$CY:$CY,"밸브")</f>
        <v>0</v>
      </c>
      <c r="BZ396" s="85">
        <f>COUNTIFS('2023년 신조차 고장관리 세부현황'!$K:$K,"448R",'2023년 신조차 고장관리 세부현황'!$P:$P,"&gt;="&amp;'트랜드 분석_15일'!BY$27,'2023년 신조차 고장관리 세부현황'!$P:$P,"&lt;"&amp;'트랜드 분석_15일'!BZ$27,'2023년 신조차 고장관리 세부현황'!$S:$S,'트랜드 분석_15일'!$F396,'2023년 신조차 고장관리 세부현황'!$BC:$BC,"완료",'2023년 신조차 고장관리 세부현황'!$CY:$CY,"밸브")</f>
        <v>0</v>
      </c>
      <c r="CA396" s="85">
        <f>COUNTIFS('2023년 신조차 고장관리 세부현황'!$K:$K,"448R",'2023년 신조차 고장관리 세부현황'!$P:$P,"&gt;="&amp;'트랜드 분석_15일'!BZ$27,'2023년 신조차 고장관리 세부현황'!$P:$P,"&lt;"&amp;'트랜드 분석_15일'!CA$27,'2023년 신조차 고장관리 세부현황'!$S:$S,'트랜드 분석_15일'!$F396,'2023년 신조차 고장관리 세부현황'!$BC:$BC,"완료",'2023년 신조차 고장관리 세부현황'!$CY:$CY,"밸브")</f>
        <v>0</v>
      </c>
      <c r="CB396" s="85">
        <f>COUNTIFS('2023년 신조차 고장관리 세부현황'!$K:$K,"448R",'2023년 신조차 고장관리 세부현황'!$P:$P,"&gt;="&amp;'트랜드 분석_15일'!CA$27,'2023년 신조차 고장관리 세부현황'!$P:$P,"&lt;"&amp;'트랜드 분석_15일'!CB$27,'2023년 신조차 고장관리 세부현황'!$S:$S,'트랜드 분석_15일'!$F396,'2023년 신조차 고장관리 세부현황'!$BC:$BC,"완료",'2023년 신조차 고장관리 세부현황'!$CY:$CY,"밸브")</f>
        <v>0</v>
      </c>
      <c r="CC396" s="85">
        <f>COUNTIFS('2023년 신조차 고장관리 세부현황'!$K:$K,"448R",'2023년 신조차 고장관리 세부현황'!$P:$P,"&gt;="&amp;'트랜드 분석_15일'!CB$27,'2023년 신조차 고장관리 세부현황'!$P:$P,"&lt;"&amp;'트랜드 분석_15일'!CC$27,'2023년 신조차 고장관리 세부현황'!$S:$S,'트랜드 분석_15일'!$F396,'2023년 신조차 고장관리 세부현황'!$BC:$BC,"완료",'2023년 신조차 고장관리 세부현황'!$CY:$CY,"밸브")</f>
        <v>0</v>
      </c>
      <c r="CD396" s="85">
        <f>COUNTIFS('2023년 신조차 고장관리 세부현황'!$K:$K,"448R",'2023년 신조차 고장관리 세부현황'!$P:$P,"&gt;="&amp;'트랜드 분석_15일'!CC$27,'2023년 신조차 고장관리 세부현황'!$P:$P,"&lt;"&amp;'트랜드 분석_15일'!CD$27,'2023년 신조차 고장관리 세부현황'!$S:$S,'트랜드 분석_15일'!$F396,'2023년 신조차 고장관리 세부현황'!$BC:$BC,"완료",'2023년 신조차 고장관리 세부현황'!$CY:$CY,"밸브")</f>
        <v>0</v>
      </c>
      <c r="CE396" s="85">
        <f>COUNTIFS('2023년 신조차 고장관리 세부현황'!$K:$K,"448R",'2023년 신조차 고장관리 세부현황'!$P:$P,"&gt;="&amp;'트랜드 분석_15일'!CD$27,'2023년 신조차 고장관리 세부현황'!$P:$P,"&lt;"&amp;'트랜드 분석_15일'!CE$27,'2023년 신조차 고장관리 세부현황'!$S:$S,'트랜드 분석_15일'!$F396,'2023년 신조차 고장관리 세부현황'!$BC:$BC,"완료",'2023년 신조차 고장관리 세부현황'!$CY:$CY,"밸브")</f>
        <v>0</v>
      </c>
      <c r="CF396" s="85">
        <f>COUNTIFS('2023년 신조차 고장관리 세부현황'!$K:$K,"448R",'2023년 신조차 고장관리 세부현황'!$P:$P,"&gt;="&amp;'트랜드 분석_15일'!CE$27,'2023년 신조차 고장관리 세부현황'!$P:$P,"&lt;"&amp;'트랜드 분석_15일'!CF$27,'2023년 신조차 고장관리 세부현황'!$S:$S,'트랜드 분석_15일'!$F396,'2023년 신조차 고장관리 세부현황'!$BC:$BC,"완료",'2023년 신조차 고장관리 세부현황'!$CY:$CY,"밸브")</f>
        <v>0</v>
      </c>
      <c r="CG396" s="85">
        <f>COUNTIFS('2023년 신조차 고장관리 세부현황'!$K:$K,"448R",'2023년 신조차 고장관리 세부현황'!$P:$P,"&gt;="&amp;'트랜드 분석_15일'!CF$27,'2023년 신조차 고장관리 세부현황'!$P:$P,"&lt;"&amp;'트랜드 분석_15일'!CG$27,'2023년 신조차 고장관리 세부현황'!$S:$S,'트랜드 분석_15일'!$F396,'2023년 신조차 고장관리 세부현황'!$BC:$BC,"완료",'2023년 신조차 고장관리 세부현황'!$CY:$CY,"밸브")</f>
        <v>0</v>
      </c>
      <c r="CH396" s="85">
        <f>COUNTIFS('2023년 신조차 고장관리 세부현황'!$K:$K,"448R",'2023년 신조차 고장관리 세부현황'!$P:$P,"&gt;="&amp;'트랜드 분석_15일'!CG$27,'2023년 신조차 고장관리 세부현황'!$P:$P,"&lt;"&amp;'트랜드 분석_15일'!CH$27,'2023년 신조차 고장관리 세부현황'!$S:$S,'트랜드 분석_15일'!$F396,'2023년 신조차 고장관리 세부현황'!$BC:$BC,"완료",'2023년 신조차 고장관리 세부현황'!$CY:$CY,"밸브")</f>
        <v>0</v>
      </c>
      <c r="CI396" s="85">
        <f>COUNTIFS('2023년 신조차 고장관리 세부현황'!$K:$K,"448R",'2023년 신조차 고장관리 세부현황'!$P:$P,"&gt;="&amp;'트랜드 분석_15일'!CH$27,'2023년 신조차 고장관리 세부현황'!$P:$P,"&lt;"&amp;'트랜드 분석_15일'!CI$27,'2023년 신조차 고장관리 세부현황'!$S:$S,'트랜드 분석_15일'!$F396,'2023년 신조차 고장관리 세부현황'!$BC:$BC,"완료",'2023년 신조차 고장관리 세부현황'!$CY:$CY,"밸브")</f>
        <v>0</v>
      </c>
      <c r="CJ396" s="85">
        <f>COUNTIFS('2023년 신조차 고장관리 세부현황'!$K:$K,"448R",'2023년 신조차 고장관리 세부현황'!$P:$P,"&gt;="&amp;'트랜드 분석_15일'!CI$27,'2023년 신조차 고장관리 세부현황'!$P:$P,"&lt;"&amp;'트랜드 분석_15일'!CJ$27,'2023년 신조차 고장관리 세부현황'!$S:$S,'트랜드 분석_15일'!$F396,'2023년 신조차 고장관리 세부현황'!$BC:$BC,"완료",'2023년 신조차 고장관리 세부현황'!$CY:$CY,"밸브")</f>
        <v>0</v>
      </c>
      <c r="CK396" s="85">
        <f>COUNTIFS('2023년 신조차 고장관리 세부현황'!$K:$K,"448R",'2023년 신조차 고장관리 세부현황'!$P:$P,"&gt;="&amp;'트랜드 분석_15일'!CJ$27,'2023년 신조차 고장관리 세부현황'!$P:$P,"&lt;"&amp;'트랜드 분석_15일'!CK$27,'2023년 신조차 고장관리 세부현황'!$S:$S,'트랜드 분석_15일'!$F396,'2023년 신조차 고장관리 세부현황'!$BC:$BC,"완료",'2023년 신조차 고장관리 세부현황'!$CY:$CY,"밸브")</f>
        <v>0</v>
      </c>
      <c r="CL396" s="85">
        <f>COUNTIFS('2023년 신조차 고장관리 세부현황'!$K:$K,"448R",'2023년 신조차 고장관리 세부현황'!$P:$P,"&gt;="&amp;'트랜드 분석_15일'!CK$27,'2023년 신조차 고장관리 세부현황'!$P:$P,"&lt;"&amp;'트랜드 분석_15일'!CL$27,'2023년 신조차 고장관리 세부현황'!$S:$S,'트랜드 분석_15일'!$F396,'2023년 신조차 고장관리 세부현황'!$BC:$BC,"완료",'2023년 신조차 고장관리 세부현황'!$CY:$CY,"밸브")</f>
        <v>0</v>
      </c>
      <c r="CM396" s="85">
        <f>COUNTIFS('2023년 신조차 고장관리 세부현황'!$K:$K,"448R",'2023년 신조차 고장관리 세부현황'!$P:$P,"&gt;="&amp;'트랜드 분석_15일'!CL$27,'2023년 신조차 고장관리 세부현황'!$P:$P,"&lt;"&amp;'트랜드 분석_15일'!CM$27,'2023년 신조차 고장관리 세부현황'!$S:$S,'트랜드 분석_15일'!$F396,'2023년 신조차 고장관리 세부현황'!$BC:$BC,"완료",'2023년 신조차 고장관리 세부현황'!$CY:$CY,"밸브")</f>
        <v>0</v>
      </c>
      <c r="CN396" s="85">
        <f>COUNTIFS('2023년 신조차 고장관리 세부현황'!$K:$K,"448R",'2023년 신조차 고장관리 세부현황'!$P:$P,"&gt;="&amp;'트랜드 분석_15일'!CM$27,'2023년 신조차 고장관리 세부현황'!$P:$P,"&lt;"&amp;'트랜드 분석_15일'!CN$27,'2023년 신조차 고장관리 세부현황'!$S:$S,'트랜드 분석_15일'!$F396,'2023년 신조차 고장관리 세부현황'!$BC:$BC,"완료",'2023년 신조차 고장관리 세부현황'!$CY:$CY,"밸브")</f>
        <v>0</v>
      </c>
      <c r="CO396" s="85">
        <f>COUNTIFS('2023년 신조차 고장관리 세부현황'!$K:$K,"448R",'2023년 신조차 고장관리 세부현황'!$P:$P,"&gt;="&amp;'트랜드 분석_15일'!CN$27,'2023년 신조차 고장관리 세부현황'!$P:$P,"&lt;"&amp;'트랜드 분석_15일'!CO$27,'2023년 신조차 고장관리 세부현황'!$S:$S,'트랜드 분석_15일'!$F396,'2023년 신조차 고장관리 세부현황'!$BC:$BC,"완료",'2023년 신조차 고장관리 세부현황'!$CY:$CY,"밸브")</f>
        <v>0</v>
      </c>
      <c r="CP396" s="85">
        <f>COUNTIFS('2023년 신조차 고장관리 세부현황'!$K:$K,"448R",'2023년 신조차 고장관리 세부현황'!$P:$P,"&gt;="&amp;'트랜드 분석_15일'!CO$27,'2023년 신조차 고장관리 세부현황'!$P:$P,"&lt;"&amp;'트랜드 분석_15일'!CP$27,'2023년 신조차 고장관리 세부현황'!$S:$S,'트랜드 분석_15일'!$F396,'2023년 신조차 고장관리 세부현황'!$BC:$BC,"완료",'2023년 신조차 고장관리 세부현황'!$CY:$CY,"밸브")</f>
        <v>0</v>
      </c>
      <c r="CQ396" s="85">
        <f>COUNTIFS('2023년 신조차 고장관리 세부현황'!$K:$K,"448R",'2023년 신조차 고장관리 세부현황'!$P:$P,"&gt;="&amp;'트랜드 분석_15일'!CP$27,'2023년 신조차 고장관리 세부현황'!$P:$P,"&lt;"&amp;'트랜드 분석_15일'!CQ$27,'2023년 신조차 고장관리 세부현황'!$S:$S,'트랜드 분석_15일'!$F396,'2023년 신조차 고장관리 세부현황'!$BC:$BC,"완료",'2023년 신조차 고장관리 세부현황'!$CY:$CY,"밸브")</f>
        <v>0</v>
      </c>
      <c r="CR396" s="85">
        <f>COUNTIFS('2023년 신조차 고장관리 세부현황'!$K:$K,"448R",'2023년 신조차 고장관리 세부현황'!$P:$P,"&gt;="&amp;'트랜드 분석_15일'!CQ$27,'2023년 신조차 고장관리 세부현황'!$P:$P,"&lt;"&amp;'트랜드 분석_15일'!CR$27,'2023년 신조차 고장관리 세부현황'!$S:$S,'트랜드 분석_15일'!$F396,'2023년 신조차 고장관리 세부현황'!$BC:$BC,"완료",'2023년 신조차 고장관리 세부현황'!$CY:$CY,"밸브")</f>
        <v>0</v>
      </c>
      <c r="CS396" s="85">
        <f>COUNTIFS('2023년 신조차 고장관리 세부현황'!$K:$K,"448R",'2023년 신조차 고장관리 세부현황'!$P:$P,"&gt;="&amp;'트랜드 분석_15일'!CR$27,'2023년 신조차 고장관리 세부현황'!$P:$P,"&lt;"&amp;'트랜드 분석_15일'!CS$27,'2023년 신조차 고장관리 세부현황'!$S:$S,'트랜드 분석_15일'!$F396,'2023년 신조차 고장관리 세부현황'!$BC:$BC,"완료",'2023년 신조차 고장관리 세부현황'!$CY:$CY,"밸브")</f>
        <v>0</v>
      </c>
      <c r="CT396" s="85">
        <f>COUNTIFS('2023년 신조차 고장관리 세부현황'!$K:$K,"448R",'2023년 신조차 고장관리 세부현황'!$P:$P,"&gt;="&amp;'트랜드 분석_15일'!CS$27,'2023년 신조차 고장관리 세부현황'!$P:$P,"&lt;"&amp;'트랜드 분석_15일'!CT$27,'2023년 신조차 고장관리 세부현황'!$S:$S,'트랜드 분석_15일'!$F396,'2023년 신조차 고장관리 세부현황'!$BC:$BC,"완료",'2023년 신조차 고장관리 세부현황'!$CY:$CY,"밸브")</f>
        <v>0</v>
      </c>
      <c r="CU396" s="85">
        <f>COUNTIFS('2023년 신조차 고장관리 세부현황'!$K:$K,"448R",'2023년 신조차 고장관리 세부현황'!$P:$P,"&gt;="&amp;'트랜드 분석_15일'!CT$27,'2023년 신조차 고장관리 세부현황'!$P:$P,"&lt;"&amp;'트랜드 분석_15일'!CU$27,'2023년 신조차 고장관리 세부현황'!$S:$S,'트랜드 분석_15일'!$F396,'2023년 신조차 고장관리 세부현황'!$BC:$BC,"완료",'2023년 신조차 고장관리 세부현황'!$CY:$CY,"밸브")</f>
        <v>0</v>
      </c>
      <c r="CV396" s="85">
        <f>COUNTIFS('2023년 신조차 고장관리 세부현황'!$K:$K,"448R",'2023년 신조차 고장관리 세부현황'!$P:$P,"&gt;="&amp;'트랜드 분석_15일'!CU$27,'2023년 신조차 고장관리 세부현황'!$P:$P,"&lt;"&amp;'트랜드 분석_15일'!CV$27,'2023년 신조차 고장관리 세부현황'!$S:$S,'트랜드 분석_15일'!$F396,'2023년 신조차 고장관리 세부현황'!$BC:$BC,"완료",'2023년 신조차 고장관리 세부현황'!$CY:$CY,"밸브")</f>
        <v>0</v>
      </c>
      <c r="CW396" s="85">
        <f>COUNTIFS('2023년 신조차 고장관리 세부현황'!$K:$K,"448R",'2023년 신조차 고장관리 세부현황'!$P:$P,"&gt;="&amp;'트랜드 분석_15일'!CV$27,'2023년 신조차 고장관리 세부현황'!$P:$P,"&lt;"&amp;'트랜드 분석_15일'!CW$27,'2023년 신조차 고장관리 세부현황'!$S:$S,'트랜드 분석_15일'!$F396,'2023년 신조차 고장관리 세부현황'!$BC:$BC,"완료",'2023년 신조차 고장관리 세부현황'!$CY:$CY,"밸브")</f>
        <v>0</v>
      </c>
      <c r="CX396">
        <f>SUM(G396:CW396)</f>
        <v>0</v>
      </c>
    </row>
    <row r="411" spans="103:103" x14ac:dyDescent="0.4">
      <c r="CY411" t="s">
        <v>362</v>
      </c>
    </row>
    <row r="434" spans="103:103" x14ac:dyDescent="0.4">
      <c r="CY434" t="s">
        <v>363</v>
      </c>
    </row>
    <row r="459" spans="103:103" x14ac:dyDescent="0.4">
      <c r="CY459" t="s">
        <v>653</v>
      </c>
    </row>
    <row r="481" spans="103:103" x14ac:dyDescent="0.4">
      <c r="CY481" t="s">
        <v>654</v>
      </c>
    </row>
  </sheetData>
  <phoneticPr fontId="3" type="noConversion"/>
  <pageMargins left="0.7" right="0.7" top="0.75" bottom="0.75" header="0.3" footer="0.3"/>
  <pageSetup paperSize="8" scale="17"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10"/>
  <sheetViews>
    <sheetView workbookViewId="0">
      <selection activeCell="I7" sqref="I7"/>
    </sheetView>
  </sheetViews>
  <sheetFormatPr defaultRowHeight="17.399999999999999" x14ac:dyDescent="0.4"/>
  <cols>
    <col min="1" max="1" width="14" customWidth="1"/>
    <col min="2" max="2" width="11.8984375" customWidth="1"/>
    <col min="3" max="3" width="5.5" customWidth="1"/>
    <col min="4" max="4" width="4.5" customWidth="1"/>
    <col min="5" max="5" width="6" customWidth="1"/>
    <col min="6" max="6" width="5.19921875" customWidth="1"/>
    <col min="7" max="7" width="4.59765625" customWidth="1"/>
    <col min="8" max="8" width="6.8984375" customWidth="1"/>
    <col min="9" max="9" width="11.19921875" customWidth="1"/>
    <col min="10" max="10" width="9.19921875" customWidth="1"/>
    <col min="11" max="11" width="5.5" customWidth="1"/>
    <col min="12" max="12" width="7.3984375" customWidth="1"/>
    <col min="13" max="13" width="5.5" customWidth="1"/>
    <col min="14" max="14" width="7.3984375" customWidth="1"/>
    <col min="15" max="15" width="9.19921875" customWidth="1"/>
    <col min="16" max="16" width="7.3984375" customWidth="1"/>
    <col min="17" max="18" width="5.5" customWidth="1"/>
    <col min="19" max="19" width="7.3984375" customWidth="1"/>
    <col min="20" max="20" width="5.5" bestFit="1" customWidth="1"/>
    <col min="21" max="21" width="7.3984375" bestFit="1" customWidth="1"/>
    <col min="22" max="22" width="11.19921875" bestFit="1" customWidth="1"/>
    <col min="23" max="23" width="5.5" bestFit="1" customWidth="1"/>
    <col min="24" max="24" width="9.19921875" customWidth="1"/>
    <col min="25" max="25" width="5.5" customWidth="1"/>
    <col min="26" max="26" width="7.3984375" customWidth="1"/>
    <col min="27" max="28" width="11.19921875" customWidth="1"/>
    <col min="29" max="29" width="7.3984375" customWidth="1"/>
    <col min="30" max="31" width="11.19921875" customWidth="1"/>
    <col min="32" max="32" width="7.3984375" customWidth="1"/>
    <col min="33" max="36" width="11.8984375" customWidth="1"/>
    <col min="37" max="38" width="11.8984375" bestFit="1" customWidth="1"/>
    <col min="39" max="40" width="11.8984375" customWidth="1"/>
    <col min="41" max="41" width="11.8984375" bestFit="1" customWidth="1"/>
    <col min="42" max="42" width="11.8984375" customWidth="1"/>
    <col min="43" max="43" width="7.3984375" customWidth="1"/>
    <col min="44" max="55" width="11.8984375" bestFit="1" customWidth="1"/>
    <col min="56" max="56" width="7.3984375" bestFit="1" customWidth="1"/>
  </cols>
  <sheetData>
    <row r="3" spans="1:28" x14ac:dyDescent="0.4">
      <c r="A3" s="315" t="s">
        <v>651</v>
      </c>
      <c r="B3" s="315" t="s">
        <v>652</v>
      </c>
    </row>
    <row r="4" spans="1:28" x14ac:dyDescent="0.4">
      <c r="A4" s="315" t="s">
        <v>581</v>
      </c>
      <c r="B4" t="s">
        <v>622</v>
      </c>
      <c r="C4" t="s">
        <v>628</v>
      </c>
      <c r="D4" s="347" t="s">
        <v>602</v>
      </c>
      <c r="E4" t="s">
        <v>642</v>
      </c>
      <c r="F4" t="s">
        <v>623</v>
      </c>
      <c r="G4" t="s">
        <v>599</v>
      </c>
      <c r="H4" s="347" t="s">
        <v>607</v>
      </c>
      <c r="I4" t="s">
        <v>613</v>
      </c>
      <c r="J4" t="s">
        <v>626</v>
      </c>
      <c r="K4" t="s">
        <v>606</v>
      </c>
      <c r="L4" t="s">
        <v>614</v>
      </c>
      <c r="M4" t="s">
        <v>605</v>
      </c>
      <c r="N4" t="s">
        <v>619</v>
      </c>
      <c r="O4" s="347" t="s">
        <v>624</v>
      </c>
      <c r="P4" t="s">
        <v>604</v>
      </c>
      <c r="Q4" s="347" t="s">
        <v>609</v>
      </c>
      <c r="R4" s="347" t="s">
        <v>600</v>
      </c>
      <c r="S4" t="s">
        <v>620</v>
      </c>
      <c r="T4" t="s">
        <v>646</v>
      </c>
      <c r="U4" t="s">
        <v>610</v>
      </c>
      <c r="V4" t="s">
        <v>612</v>
      </c>
      <c r="W4" t="s">
        <v>615</v>
      </c>
      <c r="X4" s="347" t="s">
        <v>611</v>
      </c>
      <c r="Y4" t="s">
        <v>618</v>
      </c>
      <c r="Z4" t="s">
        <v>603</v>
      </c>
      <c r="AA4" t="s">
        <v>601</v>
      </c>
      <c r="AB4" t="s">
        <v>625</v>
      </c>
    </row>
    <row r="5" spans="1:28" x14ac:dyDescent="0.4">
      <c r="A5" s="356" t="s">
        <v>161</v>
      </c>
      <c r="B5" s="316">
        <v>1</v>
      </c>
      <c r="C5" s="316">
        <v>2</v>
      </c>
      <c r="D5" s="348">
        <v>56</v>
      </c>
      <c r="E5" s="316">
        <v>2</v>
      </c>
      <c r="F5" s="316">
        <v>17</v>
      </c>
      <c r="G5" s="316">
        <v>18</v>
      </c>
      <c r="H5" s="348">
        <v>78</v>
      </c>
      <c r="I5" s="316">
        <v>1</v>
      </c>
      <c r="J5" s="316">
        <v>1</v>
      </c>
      <c r="K5" s="316">
        <v>14</v>
      </c>
      <c r="L5" s="316">
        <v>5</v>
      </c>
      <c r="M5" s="316">
        <v>1</v>
      </c>
      <c r="N5" s="316">
        <v>3</v>
      </c>
      <c r="O5" s="348">
        <v>46</v>
      </c>
      <c r="P5" s="316">
        <v>7</v>
      </c>
      <c r="Q5" s="348">
        <v>26</v>
      </c>
      <c r="R5" s="348">
        <v>24</v>
      </c>
      <c r="S5" s="316">
        <v>3</v>
      </c>
      <c r="T5" s="316">
        <v>1</v>
      </c>
      <c r="U5" s="316">
        <v>14</v>
      </c>
      <c r="V5" s="316">
        <v>5</v>
      </c>
      <c r="W5" s="316">
        <v>7</v>
      </c>
      <c r="X5" s="348">
        <v>25</v>
      </c>
      <c r="Y5" s="316">
        <v>1</v>
      </c>
      <c r="Z5" s="316">
        <v>7</v>
      </c>
      <c r="AA5" s="316">
        <v>8</v>
      </c>
      <c r="AB5" s="316">
        <v>3</v>
      </c>
    </row>
    <row r="6" spans="1:28" x14ac:dyDescent="0.4">
      <c r="A6" s="358" t="s">
        <v>186</v>
      </c>
      <c r="B6" s="316"/>
      <c r="C6" s="316">
        <v>1</v>
      </c>
      <c r="D6" s="348">
        <v>24</v>
      </c>
      <c r="E6" s="316"/>
      <c r="F6" s="316">
        <v>17</v>
      </c>
      <c r="G6" s="316">
        <v>3</v>
      </c>
      <c r="H6" s="348">
        <v>62</v>
      </c>
      <c r="I6" s="316"/>
      <c r="J6" s="316"/>
      <c r="K6" s="316"/>
      <c r="L6" s="316">
        <v>4</v>
      </c>
      <c r="M6" s="316"/>
      <c r="N6" s="316"/>
      <c r="O6" s="348">
        <v>16</v>
      </c>
      <c r="P6" s="316"/>
      <c r="Q6" s="348"/>
      <c r="R6" s="348">
        <v>7</v>
      </c>
      <c r="S6" s="316">
        <v>3</v>
      </c>
      <c r="T6" s="316"/>
      <c r="U6" s="316"/>
      <c r="V6" s="316"/>
      <c r="W6" s="316"/>
      <c r="X6" s="348">
        <v>1</v>
      </c>
      <c r="Y6" s="316"/>
      <c r="Z6" s="316"/>
      <c r="AA6" s="316"/>
      <c r="AB6" s="316"/>
    </row>
    <row r="7" spans="1:28" x14ac:dyDescent="0.4">
      <c r="A7" s="359" t="s">
        <v>257</v>
      </c>
      <c r="B7" s="316"/>
      <c r="C7" s="316"/>
      <c r="D7" s="348">
        <v>5</v>
      </c>
      <c r="E7" s="316"/>
      <c r="F7" s="316"/>
      <c r="G7" s="316">
        <v>3</v>
      </c>
      <c r="H7" s="348">
        <v>22</v>
      </c>
      <c r="I7" s="316"/>
      <c r="J7" s="316"/>
      <c r="K7" s="316"/>
      <c r="L7" s="316">
        <v>4</v>
      </c>
      <c r="M7" s="316"/>
      <c r="N7" s="316"/>
      <c r="O7" s="348">
        <v>1</v>
      </c>
      <c r="P7" s="316"/>
      <c r="Q7" s="348"/>
      <c r="R7" s="348">
        <v>4</v>
      </c>
      <c r="S7" s="316"/>
      <c r="T7" s="316"/>
      <c r="U7" s="316"/>
      <c r="V7" s="316"/>
      <c r="W7" s="316"/>
      <c r="X7" s="348"/>
      <c r="Y7" s="316"/>
      <c r="Z7" s="316"/>
      <c r="AA7" s="316"/>
      <c r="AB7" s="316"/>
    </row>
    <row r="8" spans="1:28" x14ac:dyDescent="0.4">
      <c r="A8" s="359" t="s">
        <v>258</v>
      </c>
      <c r="B8" s="316"/>
      <c r="C8" s="316">
        <v>1</v>
      </c>
      <c r="D8" s="348">
        <v>19</v>
      </c>
      <c r="E8" s="316"/>
      <c r="F8" s="316">
        <v>17</v>
      </c>
      <c r="G8" s="316"/>
      <c r="H8" s="348">
        <v>40</v>
      </c>
      <c r="I8" s="316"/>
      <c r="J8" s="316"/>
      <c r="K8" s="316"/>
      <c r="L8" s="316"/>
      <c r="M8" s="316"/>
      <c r="N8" s="316"/>
      <c r="O8" s="348">
        <v>15</v>
      </c>
      <c r="P8" s="316"/>
      <c r="Q8" s="348"/>
      <c r="R8" s="348">
        <v>3</v>
      </c>
      <c r="S8" s="316">
        <v>3</v>
      </c>
      <c r="T8" s="316"/>
      <c r="U8" s="316"/>
      <c r="V8" s="316"/>
      <c r="W8" s="316"/>
      <c r="X8" s="348">
        <v>1</v>
      </c>
      <c r="Y8" s="316"/>
      <c r="Z8" s="316"/>
      <c r="AA8" s="316"/>
      <c r="AB8" s="316"/>
    </row>
    <row r="9" spans="1:28" x14ac:dyDescent="0.4">
      <c r="A9" s="358" t="s">
        <v>185</v>
      </c>
      <c r="B9" s="316"/>
      <c r="C9" s="316">
        <v>1</v>
      </c>
      <c r="D9" s="348">
        <v>18</v>
      </c>
      <c r="E9" s="316">
        <v>2</v>
      </c>
      <c r="F9" s="316"/>
      <c r="G9" s="316">
        <v>9</v>
      </c>
      <c r="H9" s="348">
        <v>4</v>
      </c>
      <c r="I9" s="316">
        <v>1</v>
      </c>
      <c r="J9" s="316">
        <v>1</v>
      </c>
      <c r="K9" s="316">
        <v>5</v>
      </c>
      <c r="L9" s="316">
        <v>1</v>
      </c>
      <c r="M9" s="316"/>
      <c r="N9" s="316">
        <v>3</v>
      </c>
      <c r="O9" s="348">
        <v>9</v>
      </c>
      <c r="P9" s="316">
        <v>7</v>
      </c>
      <c r="Q9" s="348"/>
      <c r="R9" s="348">
        <v>6</v>
      </c>
      <c r="S9" s="316"/>
      <c r="T9" s="316">
        <v>1</v>
      </c>
      <c r="U9" s="316">
        <v>8</v>
      </c>
      <c r="V9" s="316"/>
      <c r="W9" s="316">
        <v>7</v>
      </c>
      <c r="X9" s="348">
        <v>6</v>
      </c>
      <c r="Y9" s="316">
        <v>1</v>
      </c>
      <c r="Z9" s="316">
        <v>7</v>
      </c>
      <c r="AA9" s="316">
        <v>3</v>
      </c>
      <c r="AB9" s="316"/>
    </row>
    <row r="10" spans="1:28" x14ac:dyDescent="0.4">
      <c r="A10" s="358" t="s">
        <v>189</v>
      </c>
      <c r="B10" s="316">
        <v>1</v>
      </c>
      <c r="C10" s="316"/>
      <c r="D10" s="348">
        <v>14</v>
      </c>
      <c r="E10" s="316"/>
      <c r="F10" s="316"/>
      <c r="G10" s="316">
        <v>6</v>
      </c>
      <c r="H10" s="348">
        <v>12</v>
      </c>
      <c r="I10" s="316"/>
      <c r="J10" s="316"/>
      <c r="K10" s="316">
        <v>9</v>
      </c>
      <c r="L10" s="316"/>
      <c r="M10" s="316">
        <v>1</v>
      </c>
      <c r="N10" s="316"/>
      <c r="O10" s="348">
        <v>21</v>
      </c>
      <c r="P10" s="316"/>
      <c r="Q10" s="348">
        <v>26</v>
      </c>
      <c r="R10" s="348">
        <v>11</v>
      </c>
      <c r="S10" s="316"/>
      <c r="T10" s="316"/>
      <c r="U10" s="316">
        <v>6</v>
      </c>
      <c r="V10" s="316">
        <v>5</v>
      </c>
      <c r="W10" s="316"/>
      <c r="X10" s="348">
        <v>18</v>
      </c>
      <c r="Y10" s="316"/>
      <c r="Z10" s="316"/>
      <c r="AA10" s="316">
        <v>5</v>
      </c>
      <c r="AB10" s="316">
        <v>3</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C1:U1075"/>
  <sheetViews>
    <sheetView zoomScale="115" zoomScaleNormal="115" workbookViewId="0">
      <pane xSplit="6" ySplit="1" topLeftCell="G14" activePane="bottomRight" state="frozen"/>
      <selection pane="topRight" activeCell="G1" sqref="G1"/>
      <selection pane="bottomLeft" activeCell="A2" sqref="A2"/>
      <selection pane="bottomRight" activeCell="E190" sqref="E190"/>
    </sheetView>
  </sheetViews>
  <sheetFormatPr defaultRowHeight="17.399999999999999" x14ac:dyDescent="0.4"/>
  <cols>
    <col min="6" max="9" width="9" style="167"/>
    <col min="10" max="10" width="11" style="168" bestFit="1" customWidth="1"/>
    <col min="11" max="11" width="9" style="168"/>
    <col min="12" max="12" width="17.09765625" bestFit="1" customWidth="1"/>
    <col min="13" max="13" width="11.8984375" customWidth="1"/>
  </cols>
  <sheetData>
    <row r="1" spans="3:21" ht="34.799999999999997" x14ac:dyDescent="0.4">
      <c r="C1">
        <f>SUBTOTAL(3,$F$2:$F$1075)</f>
        <v>62</v>
      </c>
      <c r="F1" s="171" t="s">
        <v>0</v>
      </c>
      <c r="G1" s="196" t="s">
        <v>325</v>
      </c>
      <c r="H1" s="357" t="s">
        <v>255</v>
      </c>
      <c r="I1" s="171" t="s">
        <v>98</v>
      </c>
      <c r="J1" s="357" t="s">
        <v>259</v>
      </c>
      <c r="K1" s="357" t="s">
        <v>260</v>
      </c>
      <c r="L1" s="357" t="s">
        <v>272</v>
      </c>
      <c r="M1" s="357" t="s">
        <v>410</v>
      </c>
      <c r="N1" s="381" t="s">
        <v>650</v>
      </c>
      <c r="O1" s="382"/>
      <c r="P1" s="382"/>
      <c r="Q1" s="382"/>
      <c r="R1" s="382"/>
      <c r="S1" s="382"/>
      <c r="T1" s="382"/>
      <c r="U1" s="382"/>
    </row>
    <row r="2" spans="3:21" hidden="1" x14ac:dyDescent="0.4">
      <c r="F2" s="211">
        <v>1</v>
      </c>
      <c r="G2" s="85" t="s">
        <v>161</v>
      </c>
      <c r="H2" s="85" t="s">
        <v>185</v>
      </c>
      <c r="I2" s="2" t="s">
        <v>599</v>
      </c>
      <c r="J2" s="85" t="s">
        <v>257</v>
      </c>
      <c r="K2" s="85">
        <v>589</v>
      </c>
      <c r="L2" s="59" t="s">
        <v>262</v>
      </c>
      <c r="M2" s="2"/>
    </row>
    <row r="3" spans="3:21" hidden="1" x14ac:dyDescent="0.4">
      <c r="F3" s="211">
        <v>2</v>
      </c>
      <c r="G3" s="85" t="s">
        <v>161</v>
      </c>
      <c r="H3" s="85" t="s">
        <v>185</v>
      </c>
      <c r="I3" s="2" t="s">
        <v>599</v>
      </c>
      <c r="J3" s="85" t="s">
        <v>188</v>
      </c>
      <c r="K3" s="85" t="s">
        <v>253</v>
      </c>
      <c r="L3" s="59" t="s">
        <v>263</v>
      </c>
      <c r="M3" s="2"/>
      <c r="N3" s="383" t="s">
        <v>649</v>
      </c>
      <c r="O3" s="384"/>
      <c r="P3" s="384"/>
      <c r="Q3" s="384"/>
      <c r="R3" s="384"/>
      <c r="S3" s="384"/>
      <c r="T3" s="384"/>
    </row>
    <row r="4" spans="3:21" hidden="1" x14ac:dyDescent="0.4">
      <c r="F4" s="211">
        <v>3</v>
      </c>
      <c r="G4" s="85" t="s">
        <v>161</v>
      </c>
      <c r="H4" s="85" t="s">
        <v>186</v>
      </c>
      <c r="I4" s="2" t="s">
        <v>600</v>
      </c>
      <c r="J4" s="85" t="s">
        <v>257</v>
      </c>
      <c r="K4" s="85">
        <v>632</v>
      </c>
      <c r="L4" s="59" t="s">
        <v>262</v>
      </c>
      <c r="M4" s="2"/>
      <c r="N4" s="384"/>
      <c r="O4" s="384"/>
      <c r="P4" s="384"/>
      <c r="Q4" s="384"/>
      <c r="R4" s="384"/>
      <c r="S4" s="384"/>
      <c r="T4" s="384"/>
    </row>
    <row r="5" spans="3:21" hidden="1" x14ac:dyDescent="0.4">
      <c r="F5" s="211">
        <v>4</v>
      </c>
      <c r="G5" s="85" t="s">
        <v>161</v>
      </c>
      <c r="H5" s="85" t="s">
        <v>186</v>
      </c>
      <c r="I5" s="2" t="s">
        <v>599</v>
      </c>
      <c r="J5" s="85" t="s">
        <v>257</v>
      </c>
      <c r="K5" s="85">
        <v>596</v>
      </c>
      <c r="L5" s="59" t="s">
        <v>262</v>
      </c>
      <c r="M5" s="2"/>
    </row>
    <row r="6" spans="3:21" hidden="1" x14ac:dyDescent="0.4">
      <c r="F6" s="211">
        <v>5</v>
      </c>
      <c r="G6" s="85" t="s">
        <v>161</v>
      </c>
      <c r="H6" s="85" t="s">
        <v>187</v>
      </c>
      <c r="I6" s="3" t="s">
        <v>601</v>
      </c>
      <c r="J6" s="85" t="s">
        <v>257</v>
      </c>
      <c r="K6" s="85">
        <v>602</v>
      </c>
      <c r="L6" s="59" t="s">
        <v>262</v>
      </c>
      <c r="M6" s="102"/>
    </row>
    <row r="7" spans="3:21" hidden="1" x14ac:dyDescent="0.4">
      <c r="F7" s="211">
        <v>6</v>
      </c>
      <c r="G7" s="85" t="s">
        <v>161</v>
      </c>
      <c r="H7" s="85" t="s">
        <v>187</v>
      </c>
      <c r="I7" s="3" t="s">
        <v>602</v>
      </c>
      <c r="J7" s="85" t="s">
        <v>257</v>
      </c>
      <c r="K7" s="85">
        <v>604</v>
      </c>
      <c r="L7" s="59" t="s">
        <v>262</v>
      </c>
      <c r="M7" s="2"/>
    </row>
    <row r="8" spans="3:21" hidden="1" x14ac:dyDescent="0.4">
      <c r="F8" s="211">
        <v>7</v>
      </c>
      <c r="G8" s="85" t="s">
        <v>161</v>
      </c>
      <c r="H8" s="85" t="s">
        <v>186</v>
      </c>
      <c r="I8" s="3" t="s">
        <v>602</v>
      </c>
      <c r="J8" s="85" t="s">
        <v>257</v>
      </c>
      <c r="K8" s="85">
        <v>643</v>
      </c>
      <c r="L8" s="59" t="s">
        <v>262</v>
      </c>
      <c r="M8" s="2"/>
    </row>
    <row r="9" spans="3:21" hidden="1" x14ac:dyDescent="0.4">
      <c r="F9" s="213">
        <v>8</v>
      </c>
      <c r="G9" s="85" t="s">
        <v>253</v>
      </c>
      <c r="H9" s="85" t="s">
        <v>185</v>
      </c>
      <c r="I9" s="2" t="s">
        <v>603</v>
      </c>
      <c r="J9" s="85" t="s">
        <v>257</v>
      </c>
      <c r="K9" s="85">
        <v>799</v>
      </c>
      <c r="L9" s="59" t="s">
        <v>264</v>
      </c>
      <c r="M9" s="7"/>
    </row>
    <row r="10" spans="3:21" hidden="1" x14ac:dyDescent="0.4">
      <c r="F10" s="213">
        <v>9</v>
      </c>
      <c r="G10" s="85" t="s">
        <v>161</v>
      </c>
      <c r="H10" s="85" t="s">
        <v>185</v>
      </c>
      <c r="I10" s="2" t="s">
        <v>601</v>
      </c>
      <c r="J10" s="85" t="s">
        <v>258</v>
      </c>
      <c r="K10" s="85" t="e">
        <v>#N/A</v>
      </c>
      <c r="L10" s="59" t="s">
        <v>265</v>
      </c>
      <c r="M10" s="2"/>
    </row>
    <row r="11" spans="3:21" hidden="1" x14ac:dyDescent="0.4">
      <c r="F11" s="213">
        <v>10</v>
      </c>
      <c r="G11" s="85" t="s">
        <v>161</v>
      </c>
      <c r="H11" s="85" t="s">
        <v>185</v>
      </c>
      <c r="I11" s="2" t="s">
        <v>604</v>
      </c>
      <c r="J11" s="85" t="s">
        <v>258</v>
      </c>
      <c r="K11" s="85">
        <v>1</v>
      </c>
      <c r="L11" s="59" t="s">
        <v>265</v>
      </c>
      <c r="M11" s="2"/>
    </row>
    <row r="12" spans="3:21" hidden="1" x14ac:dyDescent="0.4">
      <c r="F12" s="211">
        <v>11</v>
      </c>
      <c r="G12" s="85" t="s">
        <v>161</v>
      </c>
      <c r="H12" s="85" t="s">
        <v>188</v>
      </c>
      <c r="I12" s="2" t="s">
        <v>605</v>
      </c>
      <c r="J12" s="85" t="s">
        <v>257</v>
      </c>
      <c r="K12" s="85">
        <v>799</v>
      </c>
      <c r="L12" s="59" t="s">
        <v>264</v>
      </c>
      <c r="M12" s="2"/>
    </row>
    <row r="13" spans="3:21" hidden="1" x14ac:dyDescent="0.4">
      <c r="F13" s="213">
        <v>12</v>
      </c>
      <c r="G13" s="85" t="s">
        <v>161</v>
      </c>
      <c r="H13" s="85" t="s">
        <v>189</v>
      </c>
      <c r="I13" s="2" t="s">
        <v>606</v>
      </c>
      <c r="J13" s="85" t="s">
        <v>257</v>
      </c>
      <c r="K13" s="85">
        <v>674</v>
      </c>
      <c r="L13" s="59" t="s">
        <v>262</v>
      </c>
      <c r="M13" s="2"/>
    </row>
    <row r="14" spans="3:21" x14ac:dyDescent="0.4">
      <c r="F14" s="211">
        <v>13</v>
      </c>
      <c r="G14" s="85" t="s">
        <v>161</v>
      </c>
      <c r="H14" s="85" t="s">
        <v>186</v>
      </c>
      <c r="I14" s="2" t="s">
        <v>607</v>
      </c>
      <c r="J14" s="85" t="s">
        <v>258</v>
      </c>
      <c r="K14" s="85">
        <v>45</v>
      </c>
      <c r="L14" s="59" t="s">
        <v>265</v>
      </c>
      <c r="M14" s="2"/>
    </row>
    <row r="15" spans="3:21" hidden="1" x14ac:dyDescent="0.4">
      <c r="F15" s="211">
        <v>14</v>
      </c>
      <c r="G15" s="85" t="s">
        <v>161</v>
      </c>
      <c r="H15" s="85" t="s">
        <v>186</v>
      </c>
      <c r="I15" s="2" t="s">
        <v>599</v>
      </c>
      <c r="J15" s="85" t="s">
        <v>257</v>
      </c>
      <c r="K15" s="85">
        <v>601</v>
      </c>
      <c r="L15" s="59" t="s">
        <v>262</v>
      </c>
      <c r="M15" s="2"/>
    </row>
    <row r="16" spans="3:21" hidden="1" x14ac:dyDescent="0.4">
      <c r="F16" s="211">
        <v>15</v>
      </c>
      <c r="G16" s="85" t="s">
        <v>161</v>
      </c>
      <c r="H16" s="85" t="s">
        <v>188</v>
      </c>
      <c r="I16" s="2" t="s">
        <v>608</v>
      </c>
      <c r="J16" s="85" t="s">
        <v>258</v>
      </c>
      <c r="K16" s="85">
        <v>49</v>
      </c>
      <c r="L16" s="59" t="s">
        <v>265</v>
      </c>
      <c r="M16" s="2" t="s">
        <v>301</v>
      </c>
    </row>
    <row r="17" spans="6:13" x14ac:dyDescent="0.4">
      <c r="F17" s="213">
        <v>16</v>
      </c>
      <c r="G17" s="85" t="s">
        <v>161</v>
      </c>
      <c r="H17" s="85" t="s">
        <v>186</v>
      </c>
      <c r="I17" s="2" t="s">
        <v>607</v>
      </c>
      <c r="J17" s="85" t="s">
        <v>257</v>
      </c>
      <c r="K17" s="85">
        <v>826</v>
      </c>
      <c r="L17" s="59" t="s">
        <v>264</v>
      </c>
      <c r="M17" s="2"/>
    </row>
    <row r="18" spans="6:13" hidden="1" x14ac:dyDescent="0.4">
      <c r="F18" s="211">
        <v>17</v>
      </c>
      <c r="G18" s="85" t="s">
        <v>253</v>
      </c>
      <c r="H18" s="85" t="s">
        <v>185</v>
      </c>
      <c r="I18" s="3" t="s">
        <v>604</v>
      </c>
      <c r="J18" s="85" t="s">
        <v>257</v>
      </c>
      <c r="K18" s="85">
        <v>637</v>
      </c>
      <c r="L18" s="59" t="s">
        <v>262</v>
      </c>
      <c r="M18" s="2"/>
    </row>
    <row r="19" spans="6:13" hidden="1" x14ac:dyDescent="0.4">
      <c r="F19" s="211">
        <v>18</v>
      </c>
      <c r="G19" s="85" t="s">
        <v>161</v>
      </c>
      <c r="H19" s="85" t="s">
        <v>186</v>
      </c>
      <c r="I19" s="2" t="s">
        <v>599</v>
      </c>
      <c r="J19" s="85" t="s">
        <v>257</v>
      </c>
      <c r="K19" s="85">
        <v>649</v>
      </c>
      <c r="L19" s="59" t="s">
        <v>262</v>
      </c>
      <c r="M19" s="2"/>
    </row>
    <row r="20" spans="6:13" hidden="1" x14ac:dyDescent="0.4">
      <c r="F20" s="211">
        <v>19</v>
      </c>
      <c r="G20" s="85" t="s">
        <v>253</v>
      </c>
      <c r="H20" s="85" t="s">
        <v>188</v>
      </c>
      <c r="I20" s="2" t="s">
        <v>603</v>
      </c>
      <c r="J20" s="85" t="s">
        <v>188</v>
      </c>
      <c r="K20" s="85" t="s">
        <v>253</v>
      </c>
      <c r="L20" s="59" t="s">
        <v>263</v>
      </c>
      <c r="M20" s="2"/>
    </row>
    <row r="21" spans="6:13" hidden="1" x14ac:dyDescent="0.4">
      <c r="F21" s="211">
        <v>20</v>
      </c>
      <c r="G21" s="85" t="s">
        <v>161</v>
      </c>
      <c r="H21" s="85" t="s">
        <v>188</v>
      </c>
      <c r="I21" s="3" t="s">
        <v>607</v>
      </c>
      <c r="J21" s="85" t="s">
        <v>258</v>
      </c>
      <c r="K21" s="85">
        <v>58</v>
      </c>
      <c r="L21" s="59" t="s">
        <v>265</v>
      </c>
      <c r="M21" s="2"/>
    </row>
    <row r="22" spans="6:13" hidden="1" x14ac:dyDescent="0.4">
      <c r="F22" s="211">
        <v>21</v>
      </c>
      <c r="G22" s="85" t="s">
        <v>161</v>
      </c>
      <c r="H22" s="85" t="s">
        <v>189</v>
      </c>
      <c r="I22" s="2" t="s">
        <v>601</v>
      </c>
      <c r="J22" s="85" t="s">
        <v>257</v>
      </c>
      <c r="K22" s="85">
        <v>613</v>
      </c>
      <c r="L22" s="59" t="s">
        <v>262</v>
      </c>
      <c r="M22" s="2"/>
    </row>
    <row r="23" spans="6:13" hidden="1" x14ac:dyDescent="0.4">
      <c r="F23" s="211">
        <v>22</v>
      </c>
      <c r="G23" s="85" t="s">
        <v>161</v>
      </c>
      <c r="H23" s="85" t="s">
        <v>189</v>
      </c>
      <c r="I23" s="2" t="s">
        <v>606</v>
      </c>
      <c r="J23" s="85" t="s">
        <v>258</v>
      </c>
      <c r="K23" s="85">
        <v>60</v>
      </c>
      <c r="L23" s="59" t="s">
        <v>265</v>
      </c>
      <c r="M23" s="2"/>
    </row>
    <row r="24" spans="6:13" hidden="1" x14ac:dyDescent="0.4">
      <c r="F24" s="214">
        <v>23</v>
      </c>
      <c r="G24" s="85" t="s">
        <v>253</v>
      </c>
      <c r="H24" s="85" t="s">
        <v>248</v>
      </c>
      <c r="I24" s="70" t="s">
        <v>248</v>
      </c>
      <c r="J24" s="85" t="s">
        <v>258</v>
      </c>
      <c r="K24" s="85" t="s">
        <v>253</v>
      </c>
      <c r="L24" s="59" t="s">
        <v>265</v>
      </c>
      <c r="M24" s="70"/>
    </row>
    <row r="25" spans="6:13" hidden="1" x14ac:dyDescent="0.4">
      <c r="F25" s="214">
        <v>24</v>
      </c>
      <c r="G25" s="85" t="s">
        <v>253</v>
      </c>
      <c r="H25" s="85" t="s">
        <v>248</v>
      </c>
      <c r="I25" s="70" t="s">
        <v>248</v>
      </c>
      <c r="J25" s="85" t="s">
        <v>188</v>
      </c>
      <c r="K25" s="85" t="s">
        <v>253</v>
      </c>
      <c r="L25" s="59" t="s">
        <v>263</v>
      </c>
      <c r="M25" s="70"/>
    </row>
    <row r="26" spans="6:13" hidden="1" x14ac:dyDescent="0.4">
      <c r="F26" s="215">
        <v>25</v>
      </c>
      <c r="G26" s="85" t="s">
        <v>253</v>
      </c>
      <c r="H26" s="85" t="s">
        <v>248</v>
      </c>
      <c r="I26" s="70" t="s">
        <v>248</v>
      </c>
      <c r="J26" s="85" t="s">
        <v>258</v>
      </c>
      <c r="K26" s="85" t="s">
        <v>253</v>
      </c>
      <c r="L26" s="59" t="s">
        <v>265</v>
      </c>
      <c r="M26" s="70"/>
    </row>
    <row r="27" spans="6:13" hidden="1" x14ac:dyDescent="0.4">
      <c r="F27" s="211">
        <v>26</v>
      </c>
      <c r="G27" s="85" t="s">
        <v>253</v>
      </c>
      <c r="H27" s="85" t="s">
        <v>188</v>
      </c>
      <c r="I27" s="3" t="s">
        <v>604</v>
      </c>
      <c r="J27" s="85" t="s">
        <v>257</v>
      </c>
      <c r="K27" s="85">
        <v>686</v>
      </c>
      <c r="L27" s="59" t="s">
        <v>262</v>
      </c>
      <c r="M27" s="2"/>
    </row>
    <row r="28" spans="6:13" hidden="1" x14ac:dyDescent="0.4">
      <c r="F28" s="213">
        <v>27</v>
      </c>
      <c r="G28" s="85" t="s">
        <v>161</v>
      </c>
      <c r="H28" s="85" t="s">
        <v>186</v>
      </c>
      <c r="I28" s="2" t="s">
        <v>600</v>
      </c>
      <c r="J28" s="85" t="s">
        <v>257</v>
      </c>
      <c r="K28" s="85">
        <v>713</v>
      </c>
      <c r="L28" s="59" t="s">
        <v>262</v>
      </c>
      <c r="M28" s="2"/>
    </row>
    <row r="29" spans="6:13" hidden="1" x14ac:dyDescent="0.4">
      <c r="F29" s="211">
        <v>28</v>
      </c>
      <c r="G29" s="85" t="s">
        <v>161</v>
      </c>
      <c r="H29" s="85" t="s">
        <v>185</v>
      </c>
      <c r="I29" s="2" t="s">
        <v>602</v>
      </c>
      <c r="J29" s="85" t="s">
        <v>257</v>
      </c>
      <c r="K29" s="85">
        <v>689</v>
      </c>
      <c r="L29" s="59" t="s">
        <v>262</v>
      </c>
      <c r="M29" s="2"/>
    </row>
    <row r="30" spans="6:13" hidden="1" x14ac:dyDescent="0.4">
      <c r="F30" s="211">
        <v>29</v>
      </c>
      <c r="G30" s="85" t="s">
        <v>161</v>
      </c>
      <c r="H30" s="85" t="s">
        <v>185</v>
      </c>
      <c r="I30" s="2" t="s">
        <v>606</v>
      </c>
      <c r="J30" s="85" t="s">
        <v>258</v>
      </c>
      <c r="K30" s="85">
        <v>46</v>
      </c>
      <c r="L30" s="59" t="s">
        <v>265</v>
      </c>
      <c r="M30" s="2"/>
    </row>
    <row r="31" spans="6:13" hidden="1" x14ac:dyDescent="0.4">
      <c r="F31" s="211">
        <v>30</v>
      </c>
      <c r="G31" s="85" t="s">
        <v>161</v>
      </c>
      <c r="H31" s="85" t="s">
        <v>185</v>
      </c>
      <c r="I31" s="2" t="s">
        <v>600</v>
      </c>
      <c r="J31" s="85" t="s">
        <v>257</v>
      </c>
      <c r="K31" s="85">
        <v>681</v>
      </c>
      <c r="L31" s="59" t="s">
        <v>262</v>
      </c>
      <c r="M31" s="2"/>
    </row>
    <row r="32" spans="6:13" hidden="1" x14ac:dyDescent="0.4">
      <c r="F32" s="211">
        <v>31</v>
      </c>
      <c r="G32" s="85" t="s">
        <v>161</v>
      </c>
      <c r="H32" s="85" t="s">
        <v>189</v>
      </c>
      <c r="I32" s="2" t="s">
        <v>607</v>
      </c>
      <c r="J32" s="85" t="s">
        <v>257</v>
      </c>
      <c r="K32" s="85">
        <v>784</v>
      </c>
      <c r="L32" s="59" t="s">
        <v>266</v>
      </c>
      <c r="M32" s="2" t="s">
        <v>294</v>
      </c>
    </row>
    <row r="33" spans="6:13" hidden="1" x14ac:dyDescent="0.4">
      <c r="F33" s="211">
        <v>32</v>
      </c>
      <c r="G33" s="85" t="s">
        <v>161</v>
      </c>
      <c r="H33" s="85" t="s">
        <v>185</v>
      </c>
      <c r="I33" s="2" t="s">
        <v>603</v>
      </c>
      <c r="J33" s="85" t="s">
        <v>258</v>
      </c>
      <c r="K33" s="85">
        <v>30</v>
      </c>
      <c r="L33" s="59" t="s">
        <v>265</v>
      </c>
      <c r="M33" s="2"/>
    </row>
    <row r="34" spans="6:13" ht="21.6" hidden="1" x14ac:dyDescent="0.4">
      <c r="F34" s="213">
        <v>33</v>
      </c>
      <c r="G34" s="85" t="s">
        <v>161</v>
      </c>
      <c r="H34" s="85" t="s">
        <v>189</v>
      </c>
      <c r="I34" s="2" t="s">
        <v>602</v>
      </c>
      <c r="J34" s="85" t="s">
        <v>258</v>
      </c>
      <c r="K34" s="85">
        <v>31</v>
      </c>
      <c r="L34" s="59" t="s">
        <v>265</v>
      </c>
      <c r="M34" s="3" t="s">
        <v>315</v>
      </c>
    </row>
    <row r="35" spans="6:13" hidden="1" x14ac:dyDescent="0.4">
      <c r="F35" s="211">
        <v>34</v>
      </c>
      <c r="G35" s="85" t="s">
        <v>253</v>
      </c>
      <c r="H35" s="85" t="s">
        <v>188</v>
      </c>
      <c r="I35" s="2" t="s">
        <v>607</v>
      </c>
      <c r="J35" s="85" t="s">
        <v>257</v>
      </c>
      <c r="K35" s="85">
        <v>706</v>
      </c>
      <c r="L35" s="59" t="s">
        <v>262</v>
      </c>
      <c r="M35" s="2"/>
    </row>
    <row r="36" spans="6:13" hidden="1" x14ac:dyDescent="0.4">
      <c r="F36" s="211">
        <v>35</v>
      </c>
      <c r="G36" s="85" t="s">
        <v>161</v>
      </c>
      <c r="H36" s="85" t="s">
        <v>188</v>
      </c>
      <c r="I36" s="2" t="s">
        <v>608</v>
      </c>
      <c r="J36" s="85" t="s">
        <v>258</v>
      </c>
      <c r="K36" s="85">
        <v>93</v>
      </c>
      <c r="L36" s="59" t="s">
        <v>265</v>
      </c>
      <c r="M36" s="2" t="s">
        <v>301</v>
      </c>
    </row>
    <row r="37" spans="6:13" x14ac:dyDescent="0.4">
      <c r="F37" s="213">
        <v>36</v>
      </c>
      <c r="G37" s="85" t="s">
        <v>161</v>
      </c>
      <c r="H37" s="85" t="s">
        <v>186</v>
      </c>
      <c r="I37" s="2" t="s">
        <v>607</v>
      </c>
      <c r="J37" s="85" t="s">
        <v>257</v>
      </c>
      <c r="K37" s="85">
        <v>871</v>
      </c>
      <c r="L37" s="59" t="s">
        <v>264</v>
      </c>
      <c r="M37" s="2"/>
    </row>
    <row r="38" spans="6:13" ht="21.6" hidden="1" x14ac:dyDescent="0.4">
      <c r="F38" s="211">
        <v>37</v>
      </c>
      <c r="G38" s="85" t="s">
        <v>161</v>
      </c>
      <c r="H38" s="85" t="s">
        <v>189</v>
      </c>
      <c r="I38" s="2" t="s">
        <v>602</v>
      </c>
      <c r="J38" s="85" t="s">
        <v>258</v>
      </c>
      <c r="K38" s="85">
        <v>35</v>
      </c>
      <c r="L38" s="59" t="s">
        <v>265</v>
      </c>
      <c r="M38" s="3" t="s">
        <v>315</v>
      </c>
    </row>
    <row r="39" spans="6:13" ht="21.6" hidden="1" x14ac:dyDescent="0.4">
      <c r="F39" s="211">
        <v>38</v>
      </c>
      <c r="G39" s="85" t="s">
        <v>161</v>
      </c>
      <c r="H39" s="85" t="s">
        <v>189</v>
      </c>
      <c r="I39" s="2" t="s">
        <v>602</v>
      </c>
      <c r="J39" s="85" t="s">
        <v>258</v>
      </c>
      <c r="K39" s="85">
        <v>35</v>
      </c>
      <c r="L39" s="59" t="s">
        <v>265</v>
      </c>
      <c r="M39" s="3" t="s">
        <v>315</v>
      </c>
    </row>
    <row r="40" spans="6:13" hidden="1" x14ac:dyDescent="0.4">
      <c r="F40" s="215">
        <v>39</v>
      </c>
      <c r="G40" s="85" t="s">
        <v>253</v>
      </c>
      <c r="H40" s="85" t="s">
        <v>248</v>
      </c>
      <c r="I40" s="70" t="s">
        <v>248</v>
      </c>
      <c r="J40" s="85" t="s">
        <v>258</v>
      </c>
      <c r="K40" s="85" t="s">
        <v>253</v>
      </c>
      <c r="L40" s="59" t="s">
        <v>265</v>
      </c>
      <c r="M40" s="70"/>
    </row>
    <row r="41" spans="6:13" ht="21.6" hidden="1" x14ac:dyDescent="0.4">
      <c r="F41" s="213">
        <v>40</v>
      </c>
      <c r="G41" s="85" t="s">
        <v>161</v>
      </c>
      <c r="H41" s="85" t="s">
        <v>189</v>
      </c>
      <c r="I41" s="2" t="s">
        <v>602</v>
      </c>
      <c r="J41" s="85" t="s">
        <v>258</v>
      </c>
      <c r="K41" s="85">
        <v>41</v>
      </c>
      <c r="L41" s="59" t="s">
        <v>265</v>
      </c>
      <c r="M41" s="3" t="s">
        <v>315</v>
      </c>
    </row>
    <row r="42" spans="6:13" hidden="1" x14ac:dyDescent="0.4">
      <c r="F42" s="211">
        <v>41</v>
      </c>
      <c r="G42" s="85" t="s">
        <v>161</v>
      </c>
      <c r="H42" s="85" t="s">
        <v>185</v>
      </c>
      <c r="I42" s="2" t="s">
        <v>603</v>
      </c>
      <c r="J42" s="85" t="s">
        <v>258</v>
      </c>
      <c r="K42" s="85">
        <v>101</v>
      </c>
      <c r="L42" s="59" t="s">
        <v>265</v>
      </c>
      <c r="M42" s="2"/>
    </row>
    <row r="43" spans="6:13" hidden="1" x14ac:dyDescent="0.4">
      <c r="F43" s="211">
        <v>42</v>
      </c>
      <c r="G43" s="85" t="s">
        <v>161</v>
      </c>
      <c r="H43" s="85" t="s">
        <v>187</v>
      </c>
      <c r="I43" s="2" t="s">
        <v>604</v>
      </c>
      <c r="J43" s="85" t="s">
        <v>258</v>
      </c>
      <c r="K43" s="85">
        <v>73</v>
      </c>
      <c r="L43" s="59" t="s">
        <v>265</v>
      </c>
      <c r="M43" s="2"/>
    </row>
    <row r="44" spans="6:13" hidden="1" x14ac:dyDescent="0.4">
      <c r="F44" s="211">
        <v>43</v>
      </c>
      <c r="G44" s="85" t="s">
        <v>161</v>
      </c>
      <c r="H44" s="85" t="s">
        <v>189</v>
      </c>
      <c r="I44" s="2" t="s">
        <v>602</v>
      </c>
      <c r="J44" s="85" t="s">
        <v>188</v>
      </c>
      <c r="K44" s="85" t="s">
        <v>253</v>
      </c>
      <c r="L44" s="59" t="s">
        <v>263</v>
      </c>
      <c r="M44" s="2"/>
    </row>
    <row r="45" spans="6:13" hidden="1" x14ac:dyDescent="0.4">
      <c r="F45" s="211">
        <v>44</v>
      </c>
      <c r="G45" s="85" t="s">
        <v>161</v>
      </c>
      <c r="H45" s="85" t="s">
        <v>189</v>
      </c>
      <c r="I45" s="3" t="s">
        <v>609</v>
      </c>
      <c r="J45" s="85" t="s">
        <v>258</v>
      </c>
      <c r="K45" s="85">
        <v>109</v>
      </c>
      <c r="L45" s="59" t="s">
        <v>265</v>
      </c>
      <c r="M45" s="2" t="s">
        <v>303</v>
      </c>
    </row>
    <row r="46" spans="6:13" ht="21.6" hidden="1" x14ac:dyDescent="0.4">
      <c r="F46" s="211">
        <v>45</v>
      </c>
      <c r="G46" s="85" t="s">
        <v>161</v>
      </c>
      <c r="H46" s="85" t="s">
        <v>189</v>
      </c>
      <c r="I46" s="2" t="s">
        <v>602</v>
      </c>
      <c r="J46" s="85" t="s">
        <v>258</v>
      </c>
      <c r="K46" s="85">
        <v>83</v>
      </c>
      <c r="L46" s="59" t="s">
        <v>265</v>
      </c>
      <c r="M46" s="3" t="s">
        <v>315</v>
      </c>
    </row>
    <row r="47" spans="6:13" ht="21.6" hidden="1" x14ac:dyDescent="0.4">
      <c r="F47" s="211">
        <v>46</v>
      </c>
      <c r="G47" s="85" t="s">
        <v>161</v>
      </c>
      <c r="H47" s="85" t="s">
        <v>189</v>
      </c>
      <c r="I47" s="2" t="s">
        <v>602</v>
      </c>
      <c r="J47" s="85" t="s">
        <v>258</v>
      </c>
      <c r="K47" s="85">
        <v>57</v>
      </c>
      <c r="L47" s="59" t="s">
        <v>265</v>
      </c>
      <c r="M47" s="3" t="s">
        <v>315</v>
      </c>
    </row>
    <row r="48" spans="6:13" ht="21.6" hidden="1" x14ac:dyDescent="0.4">
      <c r="F48" s="211">
        <v>47</v>
      </c>
      <c r="G48" s="85" t="s">
        <v>161</v>
      </c>
      <c r="H48" s="85" t="s">
        <v>189</v>
      </c>
      <c r="I48" s="2" t="s">
        <v>599</v>
      </c>
      <c r="J48" s="85" t="s">
        <v>258</v>
      </c>
      <c r="K48" s="85">
        <v>116</v>
      </c>
      <c r="L48" s="59" t="s">
        <v>265</v>
      </c>
      <c r="M48" s="3" t="s">
        <v>320</v>
      </c>
    </row>
    <row r="49" spans="6:13" hidden="1" x14ac:dyDescent="0.4">
      <c r="F49" s="213">
        <v>48</v>
      </c>
      <c r="G49" s="85" t="s">
        <v>161</v>
      </c>
      <c r="H49" s="85" t="s">
        <v>185</v>
      </c>
      <c r="I49" s="2" t="s">
        <v>603</v>
      </c>
      <c r="J49" s="85" t="s">
        <v>258</v>
      </c>
      <c r="K49" s="85">
        <v>120</v>
      </c>
      <c r="L49" s="59" t="s">
        <v>265</v>
      </c>
      <c r="M49" s="2"/>
    </row>
    <row r="50" spans="6:13" ht="21.6" hidden="1" x14ac:dyDescent="0.4">
      <c r="F50" s="213">
        <v>49</v>
      </c>
      <c r="G50" s="85" t="s">
        <v>161</v>
      </c>
      <c r="H50" s="85" t="s">
        <v>189</v>
      </c>
      <c r="I50" s="2" t="s">
        <v>602</v>
      </c>
      <c r="J50" s="85" t="s">
        <v>258</v>
      </c>
      <c r="K50" s="85">
        <v>67</v>
      </c>
      <c r="L50" s="59" t="s">
        <v>265</v>
      </c>
      <c r="M50" s="3" t="s">
        <v>315</v>
      </c>
    </row>
    <row r="51" spans="6:13" hidden="1" x14ac:dyDescent="0.4">
      <c r="F51" s="213">
        <v>50</v>
      </c>
      <c r="G51" s="85" t="s">
        <v>161</v>
      </c>
      <c r="H51" s="85" t="s">
        <v>185</v>
      </c>
      <c r="I51" s="2" t="s">
        <v>601</v>
      </c>
      <c r="J51" s="85" t="s">
        <v>257</v>
      </c>
      <c r="K51" s="85">
        <v>647</v>
      </c>
      <c r="L51" s="59" t="s">
        <v>262</v>
      </c>
      <c r="M51" s="2"/>
    </row>
    <row r="52" spans="6:13" hidden="1" x14ac:dyDescent="0.4">
      <c r="F52" s="213">
        <v>51</v>
      </c>
      <c r="G52" s="85" t="s">
        <v>161</v>
      </c>
      <c r="H52" s="85" t="s">
        <v>187</v>
      </c>
      <c r="I52" s="3" t="s">
        <v>609</v>
      </c>
      <c r="J52" s="85" t="s">
        <v>188</v>
      </c>
      <c r="K52" s="85" t="s">
        <v>253</v>
      </c>
      <c r="L52" s="59" t="s">
        <v>267</v>
      </c>
      <c r="M52" s="2"/>
    </row>
    <row r="53" spans="6:13" hidden="1" x14ac:dyDescent="0.4">
      <c r="F53" s="213">
        <v>52</v>
      </c>
      <c r="G53" s="85" t="s">
        <v>161</v>
      </c>
      <c r="H53" s="85" t="s">
        <v>185</v>
      </c>
      <c r="I53" s="2" t="s">
        <v>603</v>
      </c>
      <c r="J53" s="85" t="s">
        <v>258</v>
      </c>
      <c r="K53" s="85">
        <v>141</v>
      </c>
      <c r="L53" s="59" t="s">
        <v>265</v>
      </c>
      <c r="M53" s="2"/>
    </row>
    <row r="54" spans="6:13" hidden="1" x14ac:dyDescent="0.4">
      <c r="F54" s="213">
        <v>53</v>
      </c>
      <c r="G54" s="85" t="s">
        <v>161</v>
      </c>
      <c r="H54" s="85" t="s">
        <v>189</v>
      </c>
      <c r="I54" s="2" t="s">
        <v>610</v>
      </c>
      <c r="J54" s="85" t="s">
        <v>258</v>
      </c>
      <c r="K54" s="85">
        <v>141</v>
      </c>
      <c r="L54" s="59" t="s">
        <v>265</v>
      </c>
      <c r="M54" s="2" t="s">
        <v>367</v>
      </c>
    </row>
    <row r="55" spans="6:13" hidden="1" x14ac:dyDescent="0.4">
      <c r="F55" s="213">
        <v>54</v>
      </c>
      <c r="G55" s="85" t="s">
        <v>161</v>
      </c>
      <c r="H55" s="85" t="s">
        <v>189</v>
      </c>
      <c r="I55" s="2" t="s">
        <v>610</v>
      </c>
      <c r="J55" s="85" t="s">
        <v>258</v>
      </c>
      <c r="K55" s="85">
        <v>143</v>
      </c>
      <c r="L55" s="59" t="s">
        <v>265</v>
      </c>
      <c r="M55" s="2" t="s">
        <v>367</v>
      </c>
    </row>
    <row r="56" spans="6:13" hidden="1" x14ac:dyDescent="0.4">
      <c r="F56" s="213">
        <v>55</v>
      </c>
      <c r="G56" s="85" t="s">
        <v>161</v>
      </c>
      <c r="H56" s="85" t="s">
        <v>189</v>
      </c>
      <c r="I56" s="3" t="s">
        <v>611</v>
      </c>
      <c r="J56" s="85" t="s">
        <v>258</v>
      </c>
      <c r="K56" s="85">
        <v>121</v>
      </c>
      <c r="L56" s="59" t="s">
        <v>265</v>
      </c>
      <c r="M56" s="2" t="s">
        <v>311</v>
      </c>
    </row>
    <row r="57" spans="6:13" hidden="1" x14ac:dyDescent="0.4">
      <c r="F57" s="213">
        <v>56</v>
      </c>
      <c r="G57" s="85" t="s">
        <v>161</v>
      </c>
      <c r="H57" s="85" t="s">
        <v>188</v>
      </c>
      <c r="I57" s="2" t="s">
        <v>610</v>
      </c>
      <c r="J57" s="85" t="s">
        <v>257</v>
      </c>
      <c r="K57" s="85">
        <v>918</v>
      </c>
      <c r="L57" s="59" t="s">
        <v>264</v>
      </c>
      <c r="M57" s="2"/>
    </row>
    <row r="58" spans="6:13" hidden="1" x14ac:dyDescent="0.4">
      <c r="F58" s="213">
        <v>57</v>
      </c>
      <c r="G58" s="85" t="s">
        <v>161</v>
      </c>
      <c r="H58" s="85" t="s">
        <v>189</v>
      </c>
      <c r="I58" s="2" t="s">
        <v>607</v>
      </c>
      <c r="J58" s="85" t="s">
        <v>257</v>
      </c>
      <c r="K58" s="85">
        <v>937</v>
      </c>
      <c r="L58" s="59" t="s">
        <v>264</v>
      </c>
      <c r="M58" s="2" t="s">
        <v>294</v>
      </c>
    </row>
    <row r="59" spans="6:13" hidden="1" x14ac:dyDescent="0.4">
      <c r="F59" s="215">
        <v>58</v>
      </c>
      <c r="G59" s="85" t="s">
        <v>253</v>
      </c>
      <c r="H59" s="85" t="s">
        <v>248</v>
      </c>
      <c r="I59" s="70" t="s">
        <v>248</v>
      </c>
      <c r="J59" s="85" t="s">
        <v>188</v>
      </c>
      <c r="K59" s="85" t="s">
        <v>253</v>
      </c>
      <c r="L59" s="59" t="s">
        <v>268</v>
      </c>
      <c r="M59" s="70"/>
    </row>
    <row r="60" spans="6:13" hidden="1" x14ac:dyDescent="0.4">
      <c r="F60" s="213">
        <v>59</v>
      </c>
      <c r="G60" s="85" t="s">
        <v>253</v>
      </c>
      <c r="H60" s="85" t="s">
        <v>185</v>
      </c>
      <c r="I60" s="2" t="s">
        <v>603</v>
      </c>
      <c r="J60" s="85" t="s">
        <v>258</v>
      </c>
      <c r="K60" s="85">
        <v>137</v>
      </c>
      <c r="L60" s="59" t="s">
        <v>265</v>
      </c>
      <c r="M60" s="2"/>
    </row>
    <row r="61" spans="6:13" hidden="1" x14ac:dyDescent="0.4">
      <c r="F61" s="211">
        <v>60</v>
      </c>
      <c r="G61" s="85" t="s">
        <v>161</v>
      </c>
      <c r="H61" s="85" t="s">
        <v>186</v>
      </c>
      <c r="I61" s="2" t="s">
        <v>600</v>
      </c>
      <c r="J61" s="85" t="s">
        <v>258</v>
      </c>
      <c r="K61" s="85">
        <v>140</v>
      </c>
      <c r="L61" s="59" t="s">
        <v>265</v>
      </c>
      <c r="M61" s="2"/>
    </row>
    <row r="62" spans="6:13" hidden="1" x14ac:dyDescent="0.4">
      <c r="F62" s="214">
        <v>61</v>
      </c>
      <c r="G62" s="85" t="s">
        <v>253</v>
      </c>
      <c r="H62" s="85" t="s">
        <v>248</v>
      </c>
      <c r="I62" s="70" t="s">
        <v>248</v>
      </c>
      <c r="J62" s="85" t="s">
        <v>188</v>
      </c>
      <c r="K62" s="85" t="s">
        <v>253</v>
      </c>
      <c r="L62" s="59" t="s">
        <v>267</v>
      </c>
      <c r="M62" s="70"/>
    </row>
    <row r="63" spans="6:13" x14ac:dyDescent="0.4">
      <c r="F63" s="213">
        <v>62</v>
      </c>
      <c r="G63" s="85" t="s">
        <v>161</v>
      </c>
      <c r="H63" s="85" t="s">
        <v>186</v>
      </c>
      <c r="I63" s="2" t="s">
        <v>607</v>
      </c>
      <c r="J63" s="85" t="s">
        <v>257</v>
      </c>
      <c r="K63" s="85">
        <v>950</v>
      </c>
      <c r="L63" s="59" t="s">
        <v>264</v>
      </c>
      <c r="M63" s="2"/>
    </row>
    <row r="64" spans="6:13" hidden="1" x14ac:dyDescent="0.4">
      <c r="F64" s="211">
        <v>63</v>
      </c>
      <c r="G64" s="85" t="s">
        <v>161</v>
      </c>
      <c r="H64" s="85" t="s">
        <v>185</v>
      </c>
      <c r="I64" s="2" t="s">
        <v>603</v>
      </c>
      <c r="J64" s="85" t="s">
        <v>258</v>
      </c>
      <c r="K64" s="85">
        <v>149</v>
      </c>
      <c r="L64" s="59" t="s">
        <v>265</v>
      </c>
      <c r="M64" s="2"/>
    </row>
    <row r="65" spans="6:13" ht="21.6" hidden="1" x14ac:dyDescent="0.4">
      <c r="F65" s="211">
        <v>64</v>
      </c>
      <c r="G65" s="85" t="s">
        <v>161</v>
      </c>
      <c r="H65" s="85" t="s">
        <v>189</v>
      </c>
      <c r="I65" s="2" t="s">
        <v>600</v>
      </c>
      <c r="J65" s="85" t="s">
        <v>188</v>
      </c>
      <c r="K65" s="85" t="s">
        <v>253</v>
      </c>
      <c r="L65" s="59" t="s">
        <v>267</v>
      </c>
      <c r="M65" s="3" t="s">
        <v>299</v>
      </c>
    </row>
    <row r="66" spans="6:13" hidden="1" x14ac:dyDescent="0.4">
      <c r="F66" s="211">
        <v>65</v>
      </c>
      <c r="G66" s="85" t="s">
        <v>253</v>
      </c>
      <c r="H66" s="85" t="s">
        <v>188</v>
      </c>
      <c r="I66" s="2" t="s">
        <v>610</v>
      </c>
      <c r="J66" s="85" t="s">
        <v>257</v>
      </c>
      <c r="K66" s="85">
        <v>778</v>
      </c>
      <c r="L66" s="59" t="s">
        <v>262</v>
      </c>
      <c r="M66" s="2"/>
    </row>
    <row r="67" spans="6:13" hidden="1" x14ac:dyDescent="0.4">
      <c r="F67" s="211">
        <v>66</v>
      </c>
      <c r="G67" s="85" t="s">
        <v>161</v>
      </c>
      <c r="H67" s="85" t="s">
        <v>185</v>
      </c>
      <c r="I67" s="2" t="s">
        <v>601</v>
      </c>
      <c r="J67" s="85" t="s">
        <v>257</v>
      </c>
      <c r="K67" s="85">
        <v>746</v>
      </c>
      <c r="L67" s="59" t="s">
        <v>262</v>
      </c>
      <c r="M67" s="2"/>
    </row>
    <row r="68" spans="6:13" x14ac:dyDescent="0.4">
      <c r="F68" s="213">
        <v>67</v>
      </c>
      <c r="G68" s="85" t="s">
        <v>161</v>
      </c>
      <c r="H68" s="85" t="s">
        <v>186</v>
      </c>
      <c r="I68" s="2" t="s">
        <v>607</v>
      </c>
      <c r="J68" s="85" t="s">
        <v>257</v>
      </c>
      <c r="K68" s="85">
        <v>966</v>
      </c>
      <c r="L68" s="59" t="s">
        <v>264</v>
      </c>
      <c r="M68" s="2"/>
    </row>
    <row r="69" spans="6:13" hidden="1" x14ac:dyDescent="0.4">
      <c r="F69" s="211">
        <v>68</v>
      </c>
      <c r="G69" s="85" t="s">
        <v>253</v>
      </c>
      <c r="H69" s="85" t="s">
        <v>185</v>
      </c>
      <c r="I69" s="3" t="s">
        <v>612</v>
      </c>
      <c r="J69" s="85" t="s">
        <v>188</v>
      </c>
      <c r="K69" s="85" t="s">
        <v>253</v>
      </c>
      <c r="L69" s="59" t="s">
        <v>268</v>
      </c>
      <c r="M69" s="2"/>
    </row>
    <row r="70" spans="6:13" x14ac:dyDescent="0.4">
      <c r="F70" s="211">
        <v>69</v>
      </c>
      <c r="G70" s="85" t="s">
        <v>161</v>
      </c>
      <c r="H70" s="85" t="s">
        <v>186</v>
      </c>
      <c r="I70" s="3" t="s">
        <v>607</v>
      </c>
      <c r="J70" s="85" t="s">
        <v>258</v>
      </c>
      <c r="K70" s="85">
        <v>1</v>
      </c>
      <c r="L70" s="59" t="s">
        <v>269</v>
      </c>
      <c r="M70" s="2"/>
    </row>
    <row r="71" spans="6:13" hidden="1" x14ac:dyDescent="0.4">
      <c r="F71" s="214">
        <v>70</v>
      </c>
      <c r="G71" s="85" t="s">
        <v>253</v>
      </c>
      <c r="H71" s="85" t="s">
        <v>248</v>
      </c>
      <c r="I71" s="70" t="s">
        <v>248</v>
      </c>
      <c r="J71" s="85" t="s">
        <v>188</v>
      </c>
      <c r="K71" s="85" t="s">
        <v>253</v>
      </c>
      <c r="L71" s="59" t="s">
        <v>267</v>
      </c>
      <c r="M71" s="70"/>
    </row>
    <row r="72" spans="6:13" hidden="1" x14ac:dyDescent="0.4">
      <c r="F72" s="211">
        <v>71</v>
      </c>
      <c r="G72" s="85" t="s">
        <v>161</v>
      </c>
      <c r="H72" s="85" t="s">
        <v>186</v>
      </c>
      <c r="I72" s="2" t="s">
        <v>600</v>
      </c>
      <c r="J72" s="85" t="s">
        <v>257</v>
      </c>
      <c r="K72" s="85">
        <v>795</v>
      </c>
      <c r="L72" s="59" t="s">
        <v>262</v>
      </c>
      <c r="M72" s="2"/>
    </row>
    <row r="73" spans="6:13" hidden="1" x14ac:dyDescent="0.4">
      <c r="F73" s="214">
        <v>72</v>
      </c>
      <c r="G73" s="85" t="s">
        <v>253</v>
      </c>
      <c r="H73" s="85" t="s">
        <v>248</v>
      </c>
      <c r="I73" s="70" t="s">
        <v>248</v>
      </c>
      <c r="J73" s="85" t="s">
        <v>188</v>
      </c>
      <c r="K73" s="85" t="s">
        <v>253</v>
      </c>
      <c r="L73" s="59" t="s">
        <v>268</v>
      </c>
      <c r="M73" s="70"/>
    </row>
    <row r="74" spans="6:13" hidden="1" x14ac:dyDescent="0.4">
      <c r="F74" s="211">
        <v>73</v>
      </c>
      <c r="G74" s="85" t="s">
        <v>161</v>
      </c>
      <c r="H74" s="85" t="s">
        <v>185</v>
      </c>
      <c r="I74" s="2" t="s">
        <v>613</v>
      </c>
      <c r="J74" s="85" t="s">
        <v>258</v>
      </c>
      <c r="K74" s="85">
        <v>141</v>
      </c>
      <c r="L74" s="59" t="s">
        <v>265</v>
      </c>
      <c r="M74" s="2"/>
    </row>
    <row r="75" spans="6:13" hidden="1" x14ac:dyDescent="0.4">
      <c r="F75" s="211">
        <v>74</v>
      </c>
      <c r="G75" s="85" t="s">
        <v>161</v>
      </c>
      <c r="H75" s="85" t="s">
        <v>186</v>
      </c>
      <c r="I75" s="2" t="s">
        <v>602</v>
      </c>
      <c r="J75" s="85" t="s">
        <v>258</v>
      </c>
      <c r="K75" s="85">
        <v>20</v>
      </c>
      <c r="L75" s="59" t="s">
        <v>269</v>
      </c>
      <c r="M75" s="2"/>
    </row>
    <row r="76" spans="6:13" hidden="1" x14ac:dyDescent="0.4">
      <c r="F76" s="211">
        <v>75</v>
      </c>
      <c r="G76" s="85" t="s">
        <v>161</v>
      </c>
      <c r="H76" s="85" t="s">
        <v>186</v>
      </c>
      <c r="I76" s="3" t="s">
        <v>620</v>
      </c>
      <c r="J76" s="85" t="s">
        <v>258</v>
      </c>
      <c r="K76" s="85">
        <v>144</v>
      </c>
      <c r="L76" s="59" t="s">
        <v>265</v>
      </c>
      <c r="M76" s="2"/>
    </row>
    <row r="77" spans="6:13" hidden="1" x14ac:dyDescent="0.4">
      <c r="F77" s="211">
        <v>76</v>
      </c>
      <c r="G77" s="85" t="s">
        <v>161</v>
      </c>
      <c r="H77" s="85" t="s">
        <v>189</v>
      </c>
      <c r="I77" s="3" t="s">
        <v>611</v>
      </c>
      <c r="J77" s="85" t="s">
        <v>258</v>
      </c>
      <c r="K77" s="85">
        <v>52</v>
      </c>
      <c r="L77" s="59" t="s">
        <v>269</v>
      </c>
      <c r="M77" s="2" t="s">
        <v>311</v>
      </c>
    </row>
    <row r="78" spans="6:13" ht="21.6" hidden="1" x14ac:dyDescent="0.4">
      <c r="F78" s="211">
        <v>77</v>
      </c>
      <c r="G78" s="85" t="s">
        <v>161</v>
      </c>
      <c r="H78" s="85" t="s">
        <v>189</v>
      </c>
      <c r="I78" s="2" t="s">
        <v>600</v>
      </c>
      <c r="J78" s="85" t="s">
        <v>258</v>
      </c>
      <c r="K78" s="85">
        <v>1</v>
      </c>
      <c r="L78" s="59" t="s">
        <v>269</v>
      </c>
      <c r="M78" s="3" t="s">
        <v>299</v>
      </c>
    </row>
    <row r="79" spans="6:13" ht="21.6" hidden="1" x14ac:dyDescent="0.4">
      <c r="F79" s="211">
        <v>78</v>
      </c>
      <c r="G79" s="85" t="s">
        <v>161</v>
      </c>
      <c r="H79" s="85" t="s">
        <v>189</v>
      </c>
      <c r="I79" s="2" t="s">
        <v>600</v>
      </c>
      <c r="J79" s="85" t="s">
        <v>258</v>
      </c>
      <c r="K79" s="85">
        <v>55</v>
      </c>
      <c r="L79" s="59" t="s">
        <v>269</v>
      </c>
      <c r="M79" s="3" t="s">
        <v>299</v>
      </c>
    </row>
    <row r="80" spans="6:13" x14ac:dyDescent="0.4">
      <c r="F80" s="211">
        <v>79</v>
      </c>
      <c r="G80" s="85" t="s">
        <v>161</v>
      </c>
      <c r="H80" s="85" t="s">
        <v>186</v>
      </c>
      <c r="I80" s="2" t="s">
        <v>607</v>
      </c>
      <c r="J80" s="85" t="s">
        <v>258</v>
      </c>
      <c r="K80" s="85">
        <v>58</v>
      </c>
      <c r="L80" s="59" t="s">
        <v>269</v>
      </c>
      <c r="M80" s="2"/>
    </row>
    <row r="81" spans="6:13" hidden="1" x14ac:dyDescent="0.4">
      <c r="F81" s="211">
        <v>80</v>
      </c>
      <c r="G81" s="85" t="s">
        <v>161</v>
      </c>
      <c r="H81" s="85" t="s">
        <v>186</v>
      </c>
      <c r="I81" s="2" t="s">
        <v>602</v>
      </c>
      <c r="J81" s="85" t="s">
        <v>258</v>
      </c>
      <c r="K81" s="85">
        <v>28</v>
      </c>
      <c r="L81" s="59" t="s">
        <v>269</v>
      </c>
      <c r="M81" s="2"/>
    </row>
    <row r="82" spans="6:13" ht="21.6" hidden="1" x14ac:dyDescent="0.4">
      <c r="F82" s="211">
        <v>81</v>
      </c>
      <c r="G82" s="85" t="s">
        <v>161</v>
      </c>
      <c r="H82" s="85" t="s">
        <v>189</v>
      </c>
      <c r="I82" s="2" t="s">
        <v>600</v>
      </c>
      <c r="J82" s="85" t="s">
        <v>258</v>
      </c>
      <c r="K82" s="85">
        <v>90</v>
      </c>
      <c r="L82" s="59" t="s">
        <v>269</v>
      </c>
      <c r="M82" s="3" t="s">
        <v>298</v>
      </c>
    </row>
    <row r="83" spans="6:13" hidden="1" x14ac:dyDescent="0.4">
      <c r="F83" s="211">
        <v>82</v>
      </c>
      <c r="G83" s="85" t="s">
        <v>161</v>
      </c>
      <c r="H83" s="85" t="s">
        <v>185</v>
      </c>
      <c r="I83" s="2" t="s">
        <v>600</v>
      </c>
      <c r="J83" s="85" t="s">
        <v>257</v>
      </c>
      <c r="K83" s="85">
        <v>764</v>
      </c>
      <c r="L83" s="59" t="s">
        <v>262</v>
      </c>
      <c r="M83" s="2"/>
    </row>
    <row r="84" spans="6:13" x14ac:dyDescent="0.4">
      <c r="F84" s="211">
        <v>83</v>
      </c>
      <c r="G84" s="85" t="s">
        <v>161</v>
      </c>
      <c r="H84" s="85" t="s">
        <v>186</v>
      </c>
      <c r="I84" s="2" t="s">
        <v>607</v>
      </c>
      <c r="J84" s="85" t="s">
        <v>258</v>
      </c>
      <c r="K84" s="85">
        <v>61</v>
      </c>
      <c r="L84" s="59" t="s">
        <v>269</v>
      </c>
      <c r="M84" s="2"/>
    </row>
    <row r="85" spans="6:13" hidden="1" x14ac:dyDescent="0.4">
      <c r="F85" s="211">
        <v>84</v>
      </c>
      <c r="G85" s="85" t="s">
        <v>161</v>
      </c>
      <c r="H85" s="85" t="s">
        <v>186</v>
      </c>
      <c r="I85" s="2" t="s">
        <v>600</v>
      </c>
      <c r="J85" s="85" t="s">
        <v>257</v>
      </c>
      <c r="K85" s="85">
        <v>811</v>
      </c>
      <c r="L85" s="59" t="s">
        <v>262</v>
      </c>
      <c r="M85" s="2"/>
    </row>
    <row r="86" spans="6:13" x14ac:dyDescent="0.4">
      <c r="F86" s="211">
        <v>85</v>
      </c>
      <c r="G86" s="85" t="s">
        <v>161</v>
      </c>
      <c r="H86" s="85" t="s">
        <v>186</v>
      </c>
      <c r="I86" s="2" t="s">
        <v>607</v>
      </c>
      <c r="J86" s="85" t="s">
        <v>257</v>
      </c>
      <c r="K86" s="85">
        <v>728</v>
      </c>
      <c r="L86" s="59" t="s">
        <v>262</v>
      </c>
      <c r="M86" s="2"/>
    </row>
    <row r="87" spans="6:13" hidden="1" x14ac:dyDescent="0.4">
      <c r="F87" s="211">
        <v>86</v>
      </c>
      <c r="G87" s="85" t="s">
        <v>161</v>
      </c>
      <c r="H87" s="85" t="s">
        <v>187</v>
      </c>
      <c r="I87" s="3" t="s">
        <v>614</v>
      </c>
      <c r="J87" s="85" t="s">
        <v>258</v>
      </c>
      <c r="K87" s="85">
        <v>1</v>
      </c>
      <c r="L87" s="59" t="s">
        <v>269</v>
      </c>
      <c r="M87" s="2"/>
    </row>
    <row r="88" spans="6:13" hidden="1" x14ac:dyDescent="0.4">
      <c r="F88" s="211">
        <v>87</v>
      </c>
      <c r="G88" s="85" t="s">
        <v>161</v>
      </c>
      <c r="H88" s="85" t="s">
        <v>185</v>
      </c>
      <c r="I88" s="82" t="s">
        <v>615</v>
      </c>
      <c r="J88" s="85" t="s">
        <v>258</v>
      </c>
      <c r="K88" s="85">
        <v>63</v>
      </c>
      <c r="L88" s="59" t="s">
        <v>269</v>
      </c>
      <c r="M88" s="2"/>
    </row>
    <row r="89" spans="6:13" hidden="1" x14ac:dyDescent="0.4">
      <c r="F89" s="211">
        <v>88</v>
      </c>
      <c r="G89" s="85" t="s">
        <v>161</v>
      </c>
      <c r="H89" s="85" t="s">
        <v>185</v>
      </c>
      <c r="I89" s="2" t="s">
        <v>600</v>
      </c>
      <c r="J89" s="85" t="s">
        <v>258</v>
      </c>
      <c r="K89" s="85">
        <v>34</v>
      </c>
      <c r="L89" s="59" t="s">
        <v>269</v>
      </c>
      <c r="M89" s="2"/>
    </row>
    <row r="90" spans="6:13" hidden="1" x14ac:dyDescent="0.4">
      <c r="F90" s="213">
        <v>89</v>
      </c>
      <c r="G90" s="85" t="s">
        <v>253</v>
      </c>
      <c r="H90" s="85" t="s">
        <v>185</v>
      </c>
      <c r="I90" s="2" t="s">
        <v>601</v>
      </c>
      <c r="J90" s="85" t="s">
        <v>257</v>
      </c>
      <c r="K90" s="85">
        <v>982</v>
      </c>
      <c r="L90" s="59" t="s">
        <v>264</v>
      </c>
      <c r="M90" s="2"/>
    </row>
    <row r="91" spans="6:13" hidden="1" x14ac:dyDescent="0.4">
      <c r="F91" s="211">
        <v>90</v>
      </c>
      <c r="G91" s="85" t="s">
        <v>161</v>
      </c>
      <c r="H91" s="85" t="s">
        <v>187</v>
      </c>
      <c r="I91" s="2" t="s">
        <v>616</v>
      </c>
      <c r="J91" s="85" t="s">
        <v>258</v>
      </c>
      <c r="K91" s="85">
        <v>1</v>
      </c>
      <c r="L91" s="59" t="s">
        <v>269</v>
      </c>
      <c r="M91" s="2"/>
    </row>
    <row r="92" spans="6:13" hidden="1" x14ac:dyDescent="0.4">
      <c r="F92" s="211">
        <v>91</v>
      </c>
      <c r="G92" s="85" t="s">
        <v>161</v>
      </c>
      <c r="H92" s="85" t="s">
        <v>187</v>
      </c>
      <c r="I92" s="3" t="s">
        <v>614</v>
      </c>
      <c r="J92" s="85" t="s">
        <v>258</v>
      </c>
      <c r="K92" s="85">
        <v>1</v>
      </c>
      <c r="L92" s="59" t="s">
        <v>269</v>
      </c>
      <c r="M92" s="2"/>
    </row>
    <row r="93" spans="6:13" ht="21.6" hidden="1" x14ac:dyDescent="0.4">
      <c r="F93" s="211">
        <v>92</v>
      </c>
      <c r="G93" s="85" t="s">
        <v>161</v>
      </c>
      <c r="H93" s="85" t="s">
        <v>189</v>
      </c>
      <c r="I93" s="2" t="s">
        <v>600</v>
      </c>
      <c r="J93" s="85" t="s">
        <v>258</v>
      </c>
      <c r="K93" s="85">
        <v>1</v>
      </c>
      <c r="L93" s="59" t="s">
        <v>269</v>
      </c>
      <c r="M93" s="3" t="s">
        <v>298</v>
      </c>
    </row>
    <row r="94" spans="6:13" hidden="1" x14ac:dyDescent="0.4">
      <c r="F94" s="214">
        <v>93</v>
      </c>
      <c r="G94" s="85" t="s">
        <v>253</v>
      </c>
      <c r="H94" s="85" t="s">
        <v>248</v>
      </c>
      <c r="I94" s="70" t="s">
        <v>248</v>
      </c>
      <c r="J94" s="85" t="s">
        <v>258</v>
      </c>
      <c r="K94" s="85" t="s">
        <v>253</v>
      </c>
      <c r="L94" s="59" t="s">
        <v>269</v>
      </c>
      <c r="M94" s="70"/>
    </row>
    <row r="95" spans="6:13" hidden="1" x14ac:dyDescent="0.4">
      <c r="F95" s="211">
        <v>94</v>
      </c>
      <c r="G95" s="85" t="s">
        <v>161</v>
      </c>
      <c r="H95" s="85" t="s">
        <v>188</v>
      </c>
      <c r="I95" s="3" t="s">
        <v>617</v>
      </c>
      <c r="J95" s="85" t="s">
        <v>258</v>
      </c>
      <c r="K95" s="85">
        <v>1</v>
      </c>
      <c r="L95" s="59" t="s">
        <v>269</v>
      </c>
      <c r="M95" s="2"/>
    </row>
    <row r="96" spans="6:13" hidden="1" x14ac:dyDescent="0.4">
      <c r="F96" s="213">
        <v>95</v>
      </c>
      <c r="G96" s="85" t="s">
        <v>161</v>
      </c>
      <c r="H96" s="85" t="s">
        <v>186</v>
      </c>
      <c r="I96" s="3" t="s">
        <v>611</v>
      </c>
      <c r="J96" s="85" t="s">
        <v>258</v>
      </c>
      <c r="K96" s="85">
        <v>192</v>
      </c>
      <c r="L96" s="59" t="s">
        <v>265</v>
      </c>
      <c r="M96" s="2" t="s">
        <v>311</v>
      </c>
    </row>
    <row r="97" spans="6:13" hidden="1" x14ac:dyDescent="0.4">
      <c r="F97" s="211">
        <v>96</v>
      </c>
      <c r="G97" s="85" t="s">
        <v>161</v>
      </c>
      <c r="H97" s="85" t="s">
        <v>187</v>
      </c>
      <c r="I97" s="2" t="s">
        <v>618</v>
      </c>
      <c r="J97" s="85" t="s">
        <v>258</v>
      </c>
      <c r="K97" s="85">
        <v>223</v>
      </c>
      <c r="L97" s="59" t="s">
        <v>265</v>
      </c>
      <c r="M97" s="2"/>
    </row>
    <row r="98" spans="6:13" hidden="1" x14ac:dyDescent="0.4">
      <c r="F98" s="211">
        <v>97</v>
      </c>
      <c r="G98" s="85" t="s">
        <v>161</v>
      </c>
      <c r="H98" s="85" t="s">
        <v>188</v>
      </c>
      <c r="I98" s="3" t="s">
        <v>607</v>
      </c>
      <c r="J98" s="85" t="s">
        <v>258</v>
      </c>
      <c r="K98" s="85">
        <v>104</v>
      </c>
      <c r="L98" s="59" t="s">
        <v>269</v>
      </c>
      <c r="M98" s="2"/>
    </row>
    <row r="99" spans="6:13" hidden="1" x14ac:dyDescent="0.4">
      <c r="F99" s="211">
        <v>98</v>
      </c>
      <c r="G99" s="85" t="s">
        <v>161</v>
      </c>
      <c r="H99" s="85" t="s">
        <v>185</v>
      </c>
      <c r="I99" s="3" t="s">
        <v>619</v>
      </c>
      <c r="J99" s="85" t="s">
        <v>258</v>
      </c>
      <c r="K99" s="85">
        <v>105</v>
      </c>
      <c r="L99" s="59" t="s">
        <v>269</v>
      </c>
      <c r="M99" s="2"/>
    </row>
    <row r="100" spans="6:13" x14ac:dyDescent="0.4">
      <c r="F100" s="211">
        <v>99</v>
      </c>
      <c r="G100" s="85" t="s">
        <v>161</v>
      </c>
      <c r="H100" s="85" t="s">
        <v>186</v>
      </c>
      <c r="I100" s="2" t="s">
        <v>607</v>
      </c>
      <c r="J100" s="85" t="s">
        <v>258</v>
      </c>
      <c r="K100" s="85">
        <v>77</v>
      </c>
      <c r="L100" s="59" t="s">
        <v>269</v>
      </c>
      <c r="M100" s="2"/>
    </row>
    <row r="101" spans="6:13" hidden="1" x14ac:dyDescent="0.4">
      <c r="F101" s="211">
        <v>100</v>
      </c>
      <c r="G101" s="85" t="s">
        <v>161</v>
      </c>
      <c r="H101" s="85" t="s">
        <v>188</v>
      </c>
      <c r="I101" s="2" t="s">
        <v>604</v>
      </c>
      <c r="J101" s="85" t="s">
        <v>257</v>
      </c>
      <c r="K101" s="85">
        <v>874</v>
      </c>
      <c r="L101" s="59" t="s">
        <v>262</v>
      </c>
      <c r="M101" s="2"/>
    </row>
    <row r="102" spans="6:13" ht="21.6" hidden="1" x14ac:dyDescent="0.4">
      <c r="F102" s="211">
        <v>101</v>
      </c>
      <c r="G102" s="85" t="s">
        <v>161</v>
      </c>
      <c r="H102" s="85" t="s">
        <v>189</v>
      </c>
      <c r="I102" s="2" t="s">
        <v>602</v>
      </c>
      <c r="J102" s="85" t="s">
        <v>258</v>
      </c>
      <c r="K102" s="85">
        <v>90</v>
      </c>
      <c r="L102" s="59" t="s">
        <v>269</v>
      </c>
      <c r="M102" s="3" t="s">
        <v>315</v>
      </c>
    </row>
    <row r="103" spans="6:13" hidden="1" x14ac:dyDescent="0.4">
      <c r="F103" s="211">
        <v>102</v>
      </c>
      <c r="G103" s="85" t="s">
        <v>161</v>
      </c>
      <c r="H103" s="85" t="s">
        <v>189</v>
      </c>
      <c r="I103" s="2" t="s">
        <v>600</v>
      </c>
      <c r="J103" s="85" t="s">
        <v>258</v>
      </c>
      <c r="K103" s="85">
        <v>242</v>
      </c>
      <c r="L103" s="59" t="s">
        <v>265</v>
      </c>
      <c r="M103" s="2"/>
    </row>
    <row r="104" spans="6:13" hidden="1" x14ac:dyDescent="0.4">
      <c r="F104" s="211">
        <v>103</v>
      </c>
      <c r="G104" s="85" t="s">
        <v>161</v>
      </c>
      <c r="H104" s="85" t="s">
        <v>185</v>
      </c>
      <c r="I104" s="2" t="s">
        <v>603</v>
      </c>
      <c r="J104" s="85" t="s">
        <v>257</v>
      </c>
      <c r="K104" s="85">
        <v>866</v>
      </c>
      <c r="L104" s="59" t="s">
        <v>262</v>
      </c>
      <c r="M104" s="2"/>
    </row>
    <row r="105" spans="6:13" hidden="1" x14ac:dyDescent="0.4">
      <c r="F105" s="211">
        <v>104</v>
      </c>
      <c r="G105" s="85" t="s">
        <v>161</v>
      </c>
      <c r="H105" s="85" t="s">
        <v>189</v>
      </c>
      <c r="I105" s="3" t="s">
        <v>611</v>
      </c>
      <c r="J105" s="85" t="s">
        <v>258</v>
      </c>
      <c r="K105" s="85">
        <v>244</v>
      </c>
      <c r="L105" s="59" t="s">
        <v>265</v>
      </c>
      <c r="M105" s="2" t="s">
        <v>311</v>
      </c>
    </row>
    <row r="106" spans="6:13" hidden="1" x14ac:dyDescent="0.4">
      <c r="F106" s="211">
        <v>105</v>
      </c>
      <c r="G106" s="85" t="s">
        <v>161</v>
      </c>
      <c r="H106" s="85" t="s">
        <v>185</v>
      </c>
      <c r="I106" s="2" t="s">
        <v>610</v>
      </c>
      <c r="J106" s="85" t="s">
        <v>258</v>
      </c>
      <c r="K106" s="85" t="e">
        <v>#N/A</v>
      </c>
      <c r="L106" s="59" t="s">
        <v>265</v>
      </c>
      <c r="M106" s="2"/>
    </row>
    <row r="107" spans="6:13" ht="21.6" hidden="1" x14ac:dyDescent="0.4">
      <c r="F107" s="211">
        <v>106</v>
      </c>
      <c r="G107" s="85" t="s">
        <v>161</v>
      </c>
      <c r="H107" s="85" t="s">
        <v>189</v>
      </c>
      <c r="I107" s="2" t="s">
        <v>600</v>
      </c>
      <c r="J107" s="85" t="s">
        <v>258</v>
      </c>
      <c r="K107" s="85">
        <v>78</v>
      </c>
      <c r="L107" s="59" t="s">
        <v>269</v>
      </c>
      <c r="M107" s="3" t="s">
        <v>299</v>
      </c>
    </row>
    <row r="108" spans="6:13" x14ac:dyDescent="0.4">
      <c r="F108" s="211">
        <v>107</v>
      </c>
      <c r="G108" s="85" t="s">
        <v>161</v>
      </c>
      <c r="H108" s="85" t="s">
        <v>186</v>
      </c>
      <c r="I108" s="3" t="s">
        <v>607</v>
      </c>
      <c r="J108" s="85" t="s">
        <v>258</v>
      </c>
      <c r="K108" s="85">
        <v>79</v>
      </c>
      <c r="L108" s="59" t="s">
        <v>269</v>
      </c>
      <c r="M108" s="2"/>
    </row>
    <row r="109" spans="6:13" hidden="1" x14ac:dyDescent="0.4">
      <c r="F109" s="211">
        <v>108</v>
      </c>
      <c r="G109" s="85" t="s">
        <v>161</v>
      </c>
      <c r="H109" s="85" t="s">
        <v>187</v>
      </c>
      <c r="I109" s="3" t="s">
        <v>614</v>
      </c>
      <c r="J109" s="85" t="s">
        <v>258</v>
      </c>
      <c r="K109" s="85">
        <v>81</v>
      </c>
      <c r="L109" s="59" t="s">
        <v>269</v>
      </c>
      <c r="M109" s="2"/>
    </row>
    <row r="110" spans="6:13" hidden="1" x14ac:dyDescent="0.4">
      <c r="F110" s="211">
        <v>109</v>
      </c>
      <c r="G110" s="85" t="s">
        <v>161</v>
      </c>
      <c r="H110" s="85" t="s">
        <v>189</v>
      </c>
      <c r="I110" s="2" t="s">
        <v>607</v>
      </c>
      <c r="J110" s="85" t="s">
        <v>258</v>
      </c>
      <c r="K110" s="85">
        <v>83</v>
      </c>
      <c r="L110" s="59" t="s">
        <v>269</v>
      </c>
      <c r="M110" s="2" t="s">
        <v>294</v>
      </c>
    </row>
    <row r="111" spans="6:13" x14ac:dyDescent="0.4">
      <c r="F111" s="211">
        <v>110</v>
      </c>
      <c r="G111" s="85" t="s">
        <v>161</v>
      </c>
      <c r="H111" s="85" t="s">
        <v>186</v>
      </c>
      <c r="I111" s="3" t="s">
        <v>607</v>
      </c>
      <c r="J111" s="85" t="s">
        <v>258</v>
      </c>
      <c r="K111" s="85">
        <v>55</v>
      </c>
      <c r="L111" s="59" t="s">
        <v>269</v>
      </c>
      <c r="M111" s="2"/>
    </row>
    <row r="112" spans="6:13" hidden="1" x14ac:dyDescent="0.4">
      <c r="F112" s="211">
        <v>111</v>
      </c>
      <c r="G112" s="85" t="s">
        <v>161</v>
      </c>
      <c r="H112" s="85" t="s">
        <v>187</v>
      </c>
      <c r="I112" s="3" t="s">
        <v>604</v>
      </c>
      <c r="J112" s="85" t="s">
        <v>258</v>
      </c>
      <c r="K112" s="85">
        <v>195</v>
      </c>
      <c r="L112" s="59" t="s">
        <v>265</v>
      </c>
      <c r="M112" s="2"/>
    </row>
    <row r="113" spans="6:13" hidden="1" x14ac:dyDescent="0.4">
      <c r="F113" s="211">
        <v>112</v>
      </c>
      <c r="G113" s="85" t="s">
        <v>161</v>
      </c>
      <c r="H113" s="85" t="s">
        <v>186</v>
      </c>
      <c r="I113" s="3" t="s">
        <v>620</v>
      </c>
      <c r="J113" s="85" t="s">
        <v>258</v>
      </c>
      <c r="K113" s="85">
        <v>105</v>
      </c>
      <c r="L113" s="59" t="s">
        <v>269</v>
      </c>
      <c r="M113" s="2"/>
    </row>
    <row r="114" spans="6:13" hidden="1" x14ac:dyDescent="0.4">
      <c r="F114" s="211">
        <v>113</v>
      </c>
      <c r="G114" s="85" t="s">
        <v>161</v>
      </c>
      <c r="H114" s="85" t="s">
        <v>189</v>
      </c>
      <c r="I114" s="2" t="s">
        <v>599</v>
      </c>
      <c r="J114" s="85" t="s">
        <v>257</v>
      </c>
      <c r="K114" s="85">
        <v>886</v>
      </c>
      <c r="L114" s="59" t="s">
        <v>262</v>
      </c>
      <c r="M114" s="2" t="s">
        <v>296</v>
      </c>
    </row>
    <row r="115" spans="6:13" ht="21.6" hidden="1" x14ac:dyDescent="0.4">
      <c r="F115" s="213">
        <v>114</v>
      </c>
      <c r="G115" s="85" t="s">
        <v>161</v>
      </c>
      <c r="H115" s="85" t="s">
        <v>189</v>
      </c>
      <c r="I115" s="2" t="s">
        <v>602</v>
      </c>
      <c r="J115" s="85" t="s">
        <v>258</v>
      </c>
      <c r="K115" s="85">
        <v>263</v>
      </c>
      <c r="L115" s="59" t="s">
        <v>265</v>
      </c>
      <c r="M115" s="3" t="s">
        <v>315</v>
      </c>
    </row>
    <row r="116" spans="6:13" hidden="1" x14ac:dyDescent="0.4">
      <c r="F116" s="211">
        <v>115</v>
      </c>
      <c r="G116" s="85" t="s">
        <v>161</v>
      </c>
      <c r="H116" s="85" t="s">
        <v>185</v>
      </c>
      <c r="I116" s="82" t="s">
        <v>615</v>
      </c>
      <c r="J116" s="85" t="s">
        <v>257</v>
      </c>
      <c r="K116" s="85">
        <v>851</v>
      </c>
      <c r="L116" s="59" t="s">
        <v>262</v>
      </c>
      <c r="M116" s="2"/>
    </row>
    <row r="117" spans="6:13" hidden="1" x14ac:dyDescent="0.4">
      <c r="F117" s="211">
        <v>116</v>
      </c>
      <c r="G117" s="85" t="s">
        <v>161</v>
      </c>
      <c r="H117" s="85" t="s">
        <v>189</v>
      </c>
      <c r="I117" s="3" t="s">
        <v>612</v>
      </c>
      <c r="J117" s="85" t="s">
        <v>257</v>
      </c>
      <c r="K117" s="85">
        <v>1033</v>
      </c>
      <c r="L117" s="59" t="s">
        <v>264</v>
      </c>
      <c r="M117" s="2"/>
    </row>
    <row r="118" spans="6:13" hidden="1" x14ac:dyDescent="0.4">
      <c r="F118" s="211">
        <v>117</v>
      </c>
      <c r="G118" s="85" t="s">
        <v>161</v>
      </c>
      <c r="H118" s="85" t="s">
        <v>189</v>
      </c>
      <c r="I118" s="3" t="s">
        <v>605</v>
      </c>
      <c r="J118" s="85" t="s">
        <v>258</v>
      </c>
      <c r="K118" s="85">
        <v>210</v>
      </c>
      <c r="L118" s="59" t="s">
        <v>265</v>
      </c>
      <c r="M118" s="2"/>
    </row>
    <row r="119" spans="6:13" hidden="1" x14ac:dyDescent="0.4">
      <c r="F119" s="211">
        <v>118</v>
      </c>
      <c r="G119" s="85" t="s">
        <v>161</v>
      </c>
      <c r="H119" s="85" t="s">
        <v>185</v>
      </c>
      <c r="I119" s="3" t="s">
        <v>611</v>
      </c>
      <c r="J119" s="85" t="s">
        <v>258</v>
      </c>
      <c r="K119" s="85">
        <v>210</v>
      </c>
      <c r="L119" s="59" t="s">
        <v>265</v>
      </c>
      <c r="M119" s="2"/>
    </row>
    <row r="120" spans="6:13" hidden="1" x14ac:dyDescent="0.4">
      <c r="F120" s="211">
        <v>119</v>
      </c>
      <c r="G120" s="85" t="s">
        <v>161</v>
      </c>
      <c r="H120" s="85" t="s">
        <v>186</v>
      </c>
      <c r="I120" s="2" t="s">
        <v>600</v>
      </c>
      <c r="J120" s="85" t="s">
        <v>258</v>
      </c>
      <c r="K120" s="85">
        <v>270</v>
      </c>
      <c r="L120" s="59" t="s">
        <v>265</v>
      </c>
      <c r="M120" s="2"/>
    </row>
    <row r="121" spans="6:13" hidden="1" x14ac:dyDescent="0.4">
      <c r="F121" s="211">
        <v>120</v>
      </c>
      <c r="G121" s="85" t="s">
        <v>161</v>
      </c>
      <c r="H121" s="85" t="s">
        <v>185</v>
      </c>
      <c r="I121" s="2" t="s">
        <v>604</v>
      </c>
      <c r="J121" s="85" t="s">
        <v>257</v>
      </c>
      <c r="K121" s="85">
        <v>907</v>
      </c>
      <c r="L121" s="59" t="s">
        <v>262</v>
      </c>
      <c r="M121" s="2"/>
    </row>
    <row r="122" spans="6:13" hidden="1" x14ac:dyDescent="0.4">
      <c r="F122" s="211">
        <v>121</v>
      </c>
      <c r="G122" s="85" t="s">
        <v>161</v>
      </c>
      <c r="H122" s="85" t="s">
        <v>189</v>
      </c>
      <c r="I122" s="3" t="s">
        <v>612</v>
      </c>
      <c r="J122" s="85" t="s">
        <v>257</v>
      </c>
      <c r="K122" s="85">
        <v>1035</v>
      </c>
      <c r="L122" s="59" t="s">
        <v>264</v>
      </c>
      <c r="M122" s="2"/>
    </row>
    <row r="123" spans="6:13" hidden="1" x14ac:dyDescent="0.4">
      <c r="F123" s="214">
        <v>122</v>
      </c>
      <c r="G123" s="85" t="s">
        <v>253</v>
      </c>
      <c r="H123" s="85" t="s">
        <v>248</v>
      </c>
      <c r="I123" s="70" t="s">
        <v>248</v>
      </c>
      <c r="J123" s="85" t="s">
        <v>188</v>
      </c>
      <c r="K123" s="85" t="s">
        <v>253</v>
      </c>
      <c r="L123" s="59" t="s">
        <v>268</v>
      </c>
      <c r="M123" s="70"/>
    </row>
    <row r="124" spans="6:13" hidden="1" x14ac:dyDescent="0.4">
      <c r="F124" s="215">
        <v>123</v>
      </c>
      <c r="G124" s="85" t="s">
        <v>253</v>
      </c>
      <c r="H124" s="85" t="s">
        <v>248</v>
      </c>
      <c r="I124" s="70" t="s">
        <v>248</v>
      </c>
      <c r="J124" s="85" t="s">
        <v>257</v>
      </c>
      <c r="K124" s="85" t="s">
        <v>253</v>
      </c>
      <c r="L124" s="59" t="s">
        <v>262</v>
      </c>
      <c r="M124" s="70"/>
    </row>
    <row r="125" spans="6:13" hidden="1" x14ac:dyDescent="0.4">
      <c r="F125" s="211">
        <v>124</v>
      </c>
      <c r="G125" s="85" t="s">
        <v>161</v>
      </c>
      <c r="H125" s="85" t="s">
        <v>187</v>
      </c>
      <c r="I125" s="2" t="s">
        <v>614</v>
      </c>
      <c r="J125" s="85" t="s">
        <v>258</v>
      </c>
      <c r="K125" s="85">
        <v>97</v>
      </c>
      <c r="L125" s="59" t="s">
        <v>269</v>
      </c>
      <c r="M125" s="2"/>
    </row>
    <row r="126" spans="6:13" hidden="1" x14ac:dyDescent="0.4">
      <c r="F126" s="211">
        <v>125</v>
      </c>
      <c r="G126" s="85" t="s">
        <v>161</v>
      </c>
      <c r="H126" s="85" t="s">
        <v>188</v>
      </c>
      <c r="I126" s="82" t="s">
        <v>615</v>
      </c>
      <c r="J126" s="85" t="s">
        <v>258</v>
      </c>
      <c r="K126" s="85">
        <v>124</v>
      </c>
      <c r="L126" s="59" t="s">
        <v>269</v>
      </c>
      <c r="M126" s="2"/>
    </row>
    <row r="127" spans="6:13" ht="21.6" hidden="1" x14ac:dyDescent="0.4">
      <c r="F127" s="211">
        <v>126</v>
      </c>
      <c r="G127" s="85" t="s">
        <v>161</v>
      </c>
      <c r="H127" s="85" t="s">
        <v>189</v>
      </c>
      <c r="I127" s="2" t="s">
        <v>600</v>
      </c>
      <c r="J127" s="85" t="s">
        <v>258</v>
      </c>
      <c r="K127" s="85">
        <v>125</v>
      </c>
      <c r="L127" s="59" t="s">
        <v>269</v>
      </c>
      <c r="M127" s="3" t="s">
        <v>298</v>
      </c>
    </row>
    <row r="128" spans="6:13" hidden="1" x14ac:dyDescent="0.4">
      <c r="F128" s="211">
        <v>127</v>
      </c>
      <c r="G128" s="85" t="s">
        <v>161</v>
      </c>
      <c r="H128" s="85" t="s">
        <v>189</v>
      </c>
      <c r="I128" s="2" t="s">
        <v>607</v>
      </c>
      <c r="J128" s="85" t="s">
        <v>258</v>
      </c>
      <c r="K128" s="85">
        <v>94</v>
      </c>
      <c r="L128" s="59" t="s">
        <v>269</v>
      </c>
      <c r="M128" s="2" t="s">
        <v>294</v>
      </c>
    </row>
    <row r="129" spans="6:13" hidden="1" x14ac:dyDescent="0.4">
      <c r="F129" s="214">
        <v>128</v>
      </c>
      <c r="G129" s="85" t="s">
        <v>253</v>
      </c>
      <c r="H129" s="85" t="s">
        <v>248</v>
      </c>
      <c r="I129" s="70" t="s">
        <v>248</v>
      </c>
      <c r="J129" s="85" t="s">
        <v>258</v>
      </c>
      <c r="K129" s="85" t="s">
        <v>253</v>
      </c>
      <c r="L129" s="59" t="s">
        <v>269</v>
      </c>
      <c r="M129" s="70"/>
    </row>
    <row r="130" spans="6:13" x14ac:dyDescent="0.4">
      <c r="F130" s="211">
        <v>129</v>
      </c>
      <c r="G130" s="85" t="s">
        <v>161</v>
      </c>
      <c r="H130" s="85" t="s">
        <v>186</v>
      </c>
      <c r="I130" s="3" t="s">
        <v>607</v>
      </c>
      <c r="J130" s="85" t="s">
        <v>258</v>
      </c>
      <c r="K130" s="85">
        <v>99</v>
      </c>
      <c r="L130" s="59" t="s">
        <v>269</v>
      </c>
      <c r="M130" s="2"/>
    </row>
    <row r="131" spans="6:13" x14ac:dyDescent="0.4">
      <c r="F131" s="211">
        <v>130</v>
      </c>
      <c r="G131" s="85" t="s">
        <v>161</v>
      </c>
      <c r="H131" s="85" t="s">
        <v>186</v>
      </c>
      <c r="I131" s="3" t="s">
        <v>607</v>
      </c>
      <c r="J131" s="85" t="s">
        <v>258</v>
      </c>
      <c r="K131" s="85">
        <v>13</v>
      </c>
      <c r="L131" s="59" t="s">
        <v>269</v>
      </c>
      <c r="M131" s="2"/>
    </row>
    <row r="132" spans="6:13" hidden="1" x14ac:dyDescent="0.4">
      <c r="F132" s="211">
        <v>131</v>
      </c>
      <c r="G132" s="85" t="s">
        <v>161</v>
      </c>
      <c r="H132" s="85" t="s">
        <v>186</v>
      </c>
      <c r="I132" s="3" t="s">
        <v>620</v>
      </c>
      <c r="J132" s="85" t="s">
        <v>258</v>
      </c>
      <c r="K132" s="85">
        <v>105</v>
      </c>
      <c r="L132" s="59" t="s">
        <v>269</v>
      </c>
      <c r="M132" s="2"/>
    </row>
    <row r="133" spans="6:13" hidden="1" x14ac:dyDescent="0.4">
      <c r="F133" s="211">
        <v>132</v>
      </c>
      <c r="G133" s="85" t="s">
        <v>161</v>
      </c>
      <c r="H133" s="85" t="s">
        <v>188</v>
      </c>
      <c r="I133" s="68" t="s">
        <v>621</v>
      </c>
      <c r="J133" s="85" t="s">
        <v>258</v>
      </c>
      <c r="K133" s="85">
        <v>44</v>
      </c>
      <c r="L133" s="59" t="s">
        <v>269</v>
      </c>
      <c r="M133" s="2"/>
    </row>
    <row r="134" spans="6:13" hidden="1" x14ac:dyDescent="0.4">
      <c r="F134" s="211">
        <v>133</v>
      </c>
      <c r="G134" s="85" t="s">
        <v>161</v>
      </c>
      <c r="H134" s="85" t="s">
        <v>188</v>
      </c>
      <c r="I134" s="3" t="s">
        <v>619</v>
      </c>
      <c r="J134" s="85" t="s">
        <v>258</v>
      </c>
      <c r="K134" s="85">
        <v>105</v>
      </c>
      <c r="L134" s="59" t="s">
        <v>269</v>
      </c>
      <c r="M134" s="2"/>
    </row>
    <row r="135" spans="6:13" hidden="1" x14ac:dyDescent="0.4">
      <c r="F135" s="211">
        <v>134</v>
      </c>
      <c r="G135" s="85" t="s">
        <v>253</v>
      </c>
      <c r="H135" s="85" t="s">
        <v>188</v>
      </c>
      <c r="I135" s="3" t="s">
        <v>604</v>
      </c>
      <c r="J135" s="85" t="s">
        <v>258</v>
      </c>
      <c r="K135" s="85">
        <v>106</v>
      </c>
      <c r="L135" s="59" t="s">
        <v>269</v>
      </c>
      <c r="M135" s="2"/>
    </row>
    <row r="136" spans="6:13" hidden="1" x14ac:dyDescent="0.4">
      <c r="F136" s="211">
        <v>135</v>
      </c>
      <c r="G136" s="85" t="s">
        <v>161</v>
      </c>
      <c r="H136" s="85" t="s">
        <v>189</v>
      </c>
      <c r="I136" s="3" t="s">
        <v>611</v>
      </c>
      <c r="J136" s="85" t="s">
        <v>258</v>
      </c>
      <c r="K136" s="85">
        <v>107</v>
      </c>
      <c r="L136" s="59" t="s">
        <v>269</v>
      </c>
      <c r="M136" s="2" t="s">
        <v>311</v>
      </c>
    </row>
    <row r="137" spans="6:13" hidden="1" x14ac:dyDescent="0.4">
      <c r="F137" s="211">
        <v>136</v>
      </c>
      <c r="G137" s="85" t="s">
        <v>161</v>
      </c>
      <c r="H137" s="85" t="s">
        <v>189</v>
      </c>
      <c r="I137" s="2" t="s">
        <v>610</v>
      </c>
      <c r="J137" s="85" t="s">
        <v>258</v>
      </c>
      <c r="K137" s="85">
        <v>141</v>
      </c>
      <c r="L137" s="59" t="s">
        <v>269</v>
      </c>
      <c r="M137" s="2" t="s">
        <v>367</v>
      </c>
    </row>
    <row r="138" spans="6:13" hidden="1" x14ac:dyDescent="0.4">
      <c r="F138" s="211">
        <v>137</v>
      </c>
      <c r="G138" s="85" t="s">
        <v>161</v>
      </c>
      <c r="H138" s="85" t="s">
        <v>187</v>
      </c>
      <c r="I138" s="3" t="s">
        <v>604</v>
      </c>
      <c r="J138" s="85" t="s">
        <v>258</v>
      </c>
      <c r="K138" s="85">
        <v>52</v>
      </c>
      <c r="L138" s="59" t="s">
        <v>269</v>
      </c>
      <c r="M138" s="2"/>
    </row>
    <row r="139" spans="6:13" hidden="1" x14ac:dyDescent="0.4">
      <c r="F139" s="211">
        <v>138</v>
      </c>
      <c r="G139" s="85" t="s">
        <v>161</v>
      </c>
      <c r="H139" s="85" t="s">
        <v>189</v>
      </c>
      <c r="I139" s="3" t="s">
        <v>611</v>
      </c>
      <c r="J139" s="85" t="s">
        <v>258</v>
      </c>
      <c r="K139" s="85">
        <v>115</v>
      </c>
      <c r="L139" s="59" t="s">
        <v>269</v>
      </c>
      <c r="M139" s="2" t="s">
        <v>311</v>
      </c>
    </row>
    <row r="140" spans="6:13" hidden="1" x14ac:dyDescent="0.4">
      <c r="F140" s="211">
        <v>139</v>
      </c>
      <c r="G140" s="85" t="s">
        <v>161</v>
      </c>
      <c r="H140" s="85" t="s">
        <v>186</v>
      </c>
      <c r="I140" s="2" t="s">
        <v>602</v>
      </c>
      <c r="J140" s="85" t="s">
        <v>258</v>
      </c>
      <c r="K140" s="85">
        <v>146</v>
      </c>
      <c r="L140" s="59" t="s">
        <v>269</v>
      </c>
      <c r="M140" s="2"/>
    </row>
    <row r="141" spans="6:13" hidden="1" x14ac:dyDescent="0.4">
      <c r="F141" s="211">
        <v>140</v>
      </c>
      <c r="G141" s="85" t="s">
        <v>161</v>
      </c>
      <c r="H141" s="85" t="s">
        <v>185</v>
      </c>
      <c r="I141" s="3" t="s">
        <v>607</v>
      </c>
      <c r="J141" s="85" t="s">
        <v>258</v>
      </c>
      <c r="K141" s="85">
        <v>118</v>
      </c>
      <c r="L141" s="59" t="s">
        <v>269</v>
      </c>
      <c r="M141" s="2"/>
    </row>
    <row r="142" spans="6:13" hidden="1" x14ac:dyDescent="0.4">
      <c r="F142" s="211">
        <v>141</v>
      </c>
      <c r="G142" s="85" t="s">
        <v>161</v>
      </c>
      <c r="H142" s="85" t="s">
        <v>185</v>
      </c>
      <c r="I142" s="3" t="s">
        <v>607</v>
      </c>
      <c r="J142" s="85" t="s">
        <v>258</v>
      </c>
      <c r="K142" s="85">
        <v>118</v>
      </c>
      <c r="L142" s="59" t="s">
        <v>269</v>
      </c>
      <c r="M142" s="2"/>
    </row>
    <row r="143" spans="6:13" x14ac:dyDescent="0.4">
      <c r="F143" s="211">
        <v>142</v>
      </c>
      <c r="G143" s="85" t="s">
        <v>161</v>
      </c>
      <c r="H143" s="85" t="s">
        <v>186</v>
      </c>
      <c r="I143" s="3" t="s">
        <v>607</v>
      </c>
      <c r="J143" s="85" t="s">
        <v>258</v>
      </c>
      <c r="K143" s="85">
        <v>150</v>
      </c>
      <c r="L143" s="59" t="s">
        <v>269</v>
      </c>
      <c r="M143" s="2"/>
    </row>
    <row r="144" spans="6:13" hidden="1" x14ac:dyDescent="0.4">
      <c r="F144" s="214">
        <v>143</v>
      </c>
      <c r="G144" s="85" t="s">
        <v>253</v>
      </c>
      <c r="H144" s="85" t="s">
        <v>248</v>
      </c>
      <c r="I144" s="70" t="s">
        <v>248</v>
      </c>
      <c r="J144" s="85" t="s">
        <v>258</v>
      </c>
      <c r="K144" s="85" t="s">
        <v>253</v>
      </c>
      <c r="L144" s="59" t="s">
        <v>269</v>
      </c>
      <c r="M144" s="70"/>
    </row>
    <row r="145" spans="6:13" hidden="1" x14ac:dyDescent="0.4">
      <c r="F145" s="211">
        <v>144</v>
      </c>
      <c r="G145" s="85" t="s">
        <v>161</v>
      </c>
      <c r="H145" s="85" t="s">
        <v>185</v>
      </c>
      <c r="I145" s="2" t="s">
        <v>602</v>
      </c>
      <c r="J145" s="85" t="s">
        <v>258</v>
      </c>
      <c r="K145" s="85">
        <v>280</v>
      </c>
      <c r="L145" s="59" t="s">
        <v>265</v>
      </c>
      <c r="M145" s="2"/>
    </row>
    <row r="146" spans="6:13" hidden="1" x14ac:dyDescent="0.4">
      <c r="F146" s="211">
        <v>145</v>
      </c>
      <c r="G146" s="85" t="s">
        <v>161</v>
      </c>
      <c r="H146" s="85" t="s">
        <v>189</v>
      </c>
      <c r="I146" s="3" t="s">
        <v>611</v>
      </c>
      <c r="J146" s="85" t="s">
        <v>258</v>
      </c>
      <c r="K146" s="85">
        <v>292</v>
      </c>
      <c r="L146" s="59" t="s">
        <v>265</v>
      </c>
      <c r="M146" s="2" t="s">
        <v>311</v>
      </c>
    </row>
    <row r="147" spans="6:13" ht="21.6" hidden="1" x14ac:dyDescent="0.4">
      <c r="F147" s="211">
        <v>146</v>
      </c>
      <c r="G147" s="85" t="s">
        <v>161</v>
      </c>
      <c r="H147" s="85" t="s">
        <v>189</v>
      </c>
      <c r="I147" s="2" t="s">
        <v>599</v>
      </c>
      <c r="J147" s="85" t="s">
        <v>258</v>
      </c>
      <c r="K147" s="85">
        <v>205</v>
      </c>
      <c r="L147" s="59" t="s">
        <v>270</v>
      </c>
      <c r="M147" s="3" t="s">
        <v>297</v>
      </c>
    </row>
    <row r="148" spans="6:13" hidden="1" x14ac:dyDescent="0.4">
      <c r="F148" s="211">
        <v>147</v>
      </c>
      <c r="G148" s="85" t="s">
        <v>161</v>
      </c>
      <c r="H148" s="85" t="s">
        <v>185</v>
      </c>
      <c r="I148" s="3" t="s">
        <v>611</v>
      </c>
      <c r="J148" s="85" t="s">
        <v>258</v>
      </c>
      <c r="K148" s="85">
        <v>241</v>
      </c>
      <c r="L148" s="59" t="s">
        <v>265</v>
      </c>
      <c r="M148" s="2"/>
    </row>
    <row r="149" spans="6:13" hidden="1" x14ac:dyDescent="0.4">
      <c r="F149" s="211">
        <v>148</v>
      </c>
      <c r="G149" s="85" t="s">
        <v>161</v>
      </c>
      <c r="H149" s="85" t="s">
        <v>187</v>
      </c>
      <c r="I149" s="2" t="s">
        <v>604</v>
      </c>
      <c r="J149" s="85" t="s">
        <v>258</v>
      </c>
      <c r="K149" s="85">
        <v>122</v>
      </c>
      <c r="L149" s="59" t="s">
        <v>270</v>
      </c>
      <c r="M149" s="2"/>
    </row>
    <row r="150" spans="6:13" hidden="1" x14ac:dyDescent="0.4">
      <c r="F150" s="211">
        <v>149</v>
      </c>
      <c r="G150" s="85" t="s">
        <v>161</v>
      </c>
      <c r="H150" s="85" t="s">
        <v>189</v>
      </c>
      <c r="I150" s="2" t="s">
        <v>599</v>
      </c>
      <c r="J150" s="85" t="s">
        <v>258</v>
      </c>
      <c r="K150" s="85">
        <v>64</v>
      </c>
      <c r="L150" s="59" t="s">
        <v>269</v>
      </c>
      <c r="M150" s="2" t="s">
        <v>296</v>
      </c>
    </row>
    <row r="151" spans="6:13" x14ac:dyDescent="0.4">
      <c r="F151" s="211">
        <v>150</v>
      </c>
      <c r="G151" s="85" t="s">
        <v>161</v>
      </c>
      <c r="H151" s="85" t="s">
        <v>186</v>
      </c>
      <c r="I151" s="2" t="s">
        <v>607</v>
      </c>
      <c r="J151" s="85" t="s">
        <v>258</v>
      </c>
      <c r="K151" s="85">
        <v>64</v>
      </c>
      <c r="L151" s="59" t="s">
        <v>269</v>
      </c>
      <c r="M151" s="2"/>
    </row>
    <row r="152" spans="6:13" hidden="1" x14ac:dyDescent="0.4">
      <c r="F152" s="211">
        <v>151</v>
      </c>
      <c r="G152" s="85" t="s">
        <v>161</v>
      </c>
      <c r="H152" s="85" t="s">
        <v>185</v>
      </c>
      <c r="I152" s="2" t="s">
        <v>604</v>
      </c>
      <c r="J152" s="85" t="s">
        <v>257</v>
      </c>
      <c r="K152" s="85">
        <v>962</v>
      </c>
      <c r="L152" s="59" t="s">
        <v>262</v>
      </c>
      <c r="M152" s="2"/>
    </row>
    <row r="153" spans="6:13" hidden="1" x14ac:dyDescent="0.4">
      <c r="F153" s="211">
        <v>152</v>
      </c>
      <c r="G153" s="85" t="s">
        <v>161</v>
      </c>
      <c r="H153" s="85" t="s">
        <v>185</v>
      </c>
      <c r="I153" s="2" t="s">
        <v>602</v>
      </c>
      <c r="J153" s="85" t="s">
        <v>258</v>
      </c>
      <c r="K153" s="85">
        <v>82</v>
      </c>
      <c r="L153" s="59" t="s">
        <v>269</v>
      </c>
      <c r="M153" s="2"/>
    </row>
    <row r="154" spans="6:13" hidden="1" x14ac:dyDescent="0.4">
      <c r="F154" s="211">
        <v>153</v>
      </c>
      <c r="G154" s="85" t="s">
        <v>161</v>
      </c>
      <c r="H154" s="85" t="s">
        <v>189</v>
      </c>
      <c r="I154" s="2" t="s">
        <v>612</v>
      </c>
      <c r="J154" s="85" t="s">
        <v>257</v>
      </c>
      <c r="K154" s="85">
        <v>967</v>
      </c>
      <c r="L154" s="59" t="s">
        <v>262</v>
      </c>
      <c r="M154" s="2" t="s">
        <v>295</v>
      </c>
    </row>
    <row r="155" spans="6:13" hidden="1" x14ac:dyDescent="0.4">
      <c r="F155" s="211">
        <v>154</v>
      </c>
      <c r="G155" s="85" t="s">
        <v>161</v>
      </c>
      <c r="H155" s="85" t="s">
        <v>189</v>
      </c>
      <c r="I155" s="3" t="s">
        <v>611</v>
      </c>
      <c r="J155" s="85" t="s">
        <v>258</v>
      </c>
      <c r="K155" s="85">
        <v>182</v>
      </c>
      <c r="L155" s="59" t="s">
        <v>270</v>
      </c>
      <c r="M155" s="2" t="s">
        <v>311</v>
      </c>
    </row>
    <row r="156" spans="6:13" hidden="1" x14ac:dyDescent="0.4">
      <c r="F156" s="211">
        <v>155</v>
      </c>
      <c r="G156" s="85" t="s">
        <v>161</v>
      </c>
      <c r="H156" s="85" t="s">
        <v>189</v>
      </c>
      <c r="I156" s="3" t="s">
        <v>611</v>
      </c>
      <c r="J156" s="85" t="s">
        <v>258</v>
      </c>
      <c r="K156" s="85">
        <v>302</v>
      </c>
      <c r="L156" s="59" t="s">
        <v>265</v>
      </c>
      <c r="M156" s="2" t="s">
        <v>311</v>
      </c>
    </row>
    <row r="157" spans="6:13" hidden="1" x14ac:dyDescent="0.4">
      <c r="F157" s="211">
        <v>156</v>
      </c>
      <c r="G157" s="85" t="s">
        <v>161</v>
      </c>
      <c r="H157" s="85" t="s">
        <v>187</v>
      </c>
      <c r="I157" s="2" t="s">
        <v>604</v>
      </c>
      <c r="J157" s="85" t="s">
        <v>258</v>
      </c>
      <c r="K157" s="85">
        <v>303</v>
      </c>
      <c r="L157" s="59" t="s">
        <v>265</v>
      </c>
      <c r="M157" s="2"/>
    </row>
    <row r="158" spans="6:13" hidden="1" x14ac:dyDescent="0.4">
      <c r="F158" s="211">
        <v>157</v>
      </c>
      <c r="G158" s="85" t="s">
        <v>161</v>
      </c>
      <c r="H158" s="85" t="s">
        <v>189</v>
      </c>
      <c r="I158" s="2" t="s">
        <v>612</v>
      </c>
      <c r="J158" s="85" t="s">
        <v>257</v>
      </c>
      <c r="K158" s="85">
        <v>971</v>
      </c>
      <c r="L158" s="59" t="s">
        <v>262</v>
      </c>
      <c r="M158" s="2" t="s">
        <v>295</v>
      </c>
    </row>
    <row r="159" spans="6:13" hidden="1" x14ac:dyDescent="0.4">
      <c r="F159" s="213">
        <v>158</v>
      </c>
      <c r="G159" s="85" t="s">
        <v>161</v>
      </c>
      <c r="H159" s="85" t="s">
        <v>189</v>
      </c>
      <c r="I159" s="3" t="s">
        <v>611</v>
      </c>
      <c r="J159" s="85" t="s">
        <v>258</v>
      </c>
      <c r="K159" s="85">
        <v>244</v>
      </c>
      <c r="L159" s="59" t="s">
        <v>270</v>
      </c>
      <c r="M159" s="2" t="s">
        <v>311</v>
      </c>
    </row>
    <row r="160" spans="6:13" hidden="1" x14ac:dyDescent="0.4">
      <c r="F160" s="213">
        <v>159</v>
      </c>
      <c r="G160" s="85" t="s">
        <v>161</v>
      </c>
      <c r="H160" s="85" t="s">
        <v>189</v>
      </c>
      <c r="I160" s="2" t="s">
        <v>622</v>
      </c>
      <c r="J160" s="85" t="s">
        <v>257</v>
      </c>
      <c r="K160" s="85">
        <v>850</v>
      </c>
      <c r="L160" s="59" t="s">
        <v>262</v>
      </c>
      <c r="M160" s="2"/>
    </row>
    <row r="161" spans="6:13" hidden="1" x14ac:dyDescent="0.4">
      <c r="F161" s="213">
        <v>160</v>
      </c>
      <c r="G161" s="85" t="s">
        <v>161</v>
      </c>
      <c r="H161" s="85" t="s">
        <v>187</v>
      </c>
      <c r="I161" s="2" t="s">
        <v>602</v>
      </c>
      <c r="J161" s="85" t="s">
        <v>258</v>
      </c>
      <c r="K161" s="85">
        <v>126</v>
      </c>
      <c r="L161" s="59" t="s">
        <v>270</v>
      </c>
      <c r="M161" s="2"/>
    </row>
    <row r="162" spans="6:13" hidden="1" x14ac:dyDescent="0.4">
      <c r="F162" s="213">
        <v>161</v>
      </c>
      <c r="G162" s="85" t="s">
        <v>161</v>
      </c>
      <c r="H162" s="85" t="s">
        <v>188</v>
      </c>
      <c r="I162" s="2" t="s">
        <v>605</v>
      </c>
      <c r="J162" s="85" t="s">
        <v>257</v>
      </c>
      <c r="K162" s="85">
        <v>965</v>
      </c>
      <c r="L162" s="59" t="s">
        <v>262</v>
      </c>
      <c r="M162" s="2"/>
    </row>
    <row r="163" spans="6:13" hidden="1" x14ac:dyDescent="0.4">
      <c r="F163" s="213">
        <v>162</v>
      </c>
      <c r="G163" s="85" t="s">
        <v>161</v>
      </c>
      <c r="H163" s="85" t="s">
        <v>189</v>
      </c>
      <c r="I163" s="2" t="s">
        <v>601</v>
      </c>
      <c r="J163" s="85" t="s">
        <v>258</v>
      </c>
      <c r="K163" s="85">
        <v>256</v>
      </c>
      <c r="L163" s="59" t="s">
        <v>270</v>
      </c>
      <c r="M163" s="2"/>
    </row>
    <row r="164" spans="6:13" hidden="1" x14ac:dyDescent="0.4">
      <c r="F164" s="215">
        <v>163</v>
      </c>
      <c r="G164" s="85" t="s">
        <v>253</v>
      </c>
      <c r="H164" s="85" t="s">
        <v>248</v>
      </c>
      <c r="I164" s="70" t="s">
        <v>248</v>
      </c>
      <c r="J164" s="85" t="s">
        <v>258</v>
      </c>
      <c r="K164" s="85" t="s">
        <v>253</v>
      </c>
      <c r="L164" s="59" t="s">
        <v>270</v>
      </c>
      <c r="M164" s="70"/>
    </row>
    <row r="165" spans="6:13" hidden="1" x14ac:dyDescent="0.4">
      <c r="F165" s="213">
        <v>164</v>
      </c>
      <c r="G165" s="85" t="s">
        <v>161</v>
      </c>
      <c r="H165" s="85" t="s">
        <v>186</v>
      </c>
      <c r="I165" s="68" t="s">
        <v>602</v>
      </c>
      <c r="J165" s="85" t="s">
        <v>258</v>
      </c>
      <c r="K165" s="85">
        <v>346</v>
      </c>
      <c r="L165" s="59" t="s">
        <v>265</v>
      </c>
      <c r="M165" s="2" t="s">
        <v>302</v>
      </c>
    </row>
    <row r="166" spans="6:13" hidden="1" x14ac:dyDescent="0.4">
      <c r="F166" s="213">
        <v>165</v>
      </c>
      <c r="G166" s="85" t="s">
        <v>161</v>
      </c>
      <c r="H166" s="85" t="s">
        <v>188</v>
      </c>
      <c r="I166" s="2" t="s">
        <v>603</v>
      </c>
      <c r="J166" s="85" t="s">
        <v>258</v>
      </c>
      <c r="K166" s="85">
        <v>104</v>
      </c>
      <c r="L166" s="59" t="s">
        <v>269</v>
      </c>
      <c r="M166" s="2" t="s">
        <v>304</v>
      </c>
    </row>
    <row r="167" spans="6:13" hidden="1" x14ac:dyDescent="0.4">
      <c r="F167" s="213">
        <v>166</v>
      </c>
      <c r="G167" s="85" t="s">
        <v>161</v>
      </c>
      <c r="H167" s="85" t="s">
        <v>188</v>
      </c>
      <c r="I167" s="2" t="s">
        <v>603</v>
      </c>
      <c r="J167" s="85" t="s">
        <v>258</v>
      </c>
      <c r="K167" s="85">
        <v>348</v>
      </c>
      <c r="L167" s="59" t="s">
        <v>265</v>
      </c>
      <c r="M167" s="2"/>
    </row>
    <row r="168" spans="6:13" hidden="1" x14ac:dyDescent="0.4">
      <c r="F168" s="213">
        <v>167</v>
      </c>
      <c r="G168" s="85" t="s">
        <v>161</v>
      </c>
      <c r="H168" s="85" t="s">
        <v>185</v>
      </c>
      <c r="I168" s="2" t="s">
        <v>602</v>
      </c>
      <c r="J168" s="85" t="s">
        <v>257</v>
      </c>
      <c r="K168" s="85">
        <v>972</v>
      </c>
      <c r="L168" s="59" t="s">
        <v>262</v>
      </c>
      <c r="M168" s="2"/>
    </row>
    <row r="169" spans="6:13" hidden="1" x14ac:dyDescent="0.4">
      <c r="F169" s="213">
        <v>168</v>
      </c>
      <c r="G169" s="85" t="s">
        <v>161</v>
      </c>
      <c r="H169" s="85" t="s">
        <v>188</v>
      </c>
      <c r="I169" s="2" t="s">
        <v>603</v>
      </c>
      <c r="J169" s="85" t="s">
        <v>258</v>
      </c>
      <c r="K169" s="85">
        <v>106</v>
      </c>
      <c r="L169" s="59" t="s">
        <v>270</v>
      </c>
      <c r="M169" s="2" t="s">
        <v>304</v>
      </c>
    </row>
    <row r="170" spans="6:13" hidden="1" x14ac:dyDescent="0.4">
      <c r="F170" s="213">
        <v>169</v>
      </c>
      <c r="G170" s="85" t="s">
        <v>161</v>
      </c>
      <c r="H170" s="85" t="s">
        <v>185</v>
      </c>
      <c r="I170" s="2" t="s">
        <v>602</v>
      </c>
      <c r="J170" s="85" t="s">
        <v>257</v>
      </c>
      <c r="K170" s="85">
        <v>937</v>
      </c>
      <c r="L170" s="59" t="s">
        <v>262</v>
      </c>
      <c r="M170" s="2"/>
    </row>
    <row r="171" spans="6:13" hidden="1" x14ac:dyDescent="0.4">
      <c r="F171" s="213">
        <v>170</v>
      </c>
      <c r="G171" s="85" t="s">
        <v>161</v>
      </c>
      <c r="H171" s="85" t="s">
        <v>185</v>
      </c>
      <c r="I171" s="2" t="s">
        <v>604</v>
      </c>
      <c r="J171" s="85" t="s">
        <v>257</v>
      </c>
      <c r="K171" s="85">
        <v>904</v>
      </c>
      <c r="L171" s="59" t="s">
        <v>262</v>
      </c>
      <c r="M171" s="2"/>
    </row>
    <row r="172" spans="6:13" ht="21.6" hidden="1" x14ac:dyDescent="0.4">
      <c r="F172" s="213">
        <v>171</v>
      </c>
      <c r="G172" s="85" t="s">
        <v>161</v>
      </c>
      <c r="H172" s="85" t="s">
        <v>189</v>
      </c>
      <c r="I172" s="2" t="s">
        <v>602</v>
      </c>
      <c r="J172" s="85" t="s">
        <v>258</v>
      </c>
      <c r="K172" s="85">
        <v>321</v>
      </c>
      <c r="L172" s="59" t="s">
        <v>265</v>
      </c>
      <c r="M172" s="3" t="s">
        <v>315</v>
      </c>
    </row>
    <row r="173" spans="6:13" hidden="1" x14ac:dyDescent="0.4">
      <c r="F173" s="213">
        <v>172</v>
      </c>
      <c r="G173" s="85" t="s">
        <v>161</v>
      </c>
      <c r="H173" s="85" t="s">
        <v>189</v>
      </c>
      <c r="I173" s="3" t="s">
        <v>611</v>
      </c>
      <c r="J173" s="85" t="s">
        <v>258</v>
      </c>
      <c r="K173" s="85">
        <v>171</v>
      </c>
      <c r="L173" s="59" t="s">
        <v>270</v>
      </c>
      <c r="M173" s="2" t="s">
        <v>311</v>
      </c>
    </row>
    <row r="174" spans="6:13" hidden="1" x14ac:dyDescent="0.4">
      <c r="F174" s="213">
        <v>173</v>
      </c>
      <c r="G174" s="85" t="s">
        <v>161</v>
      </c>
      <c r="H174" s="85" t="s">
        <v>185</v>
      </c>
      <c r="I174" s="2" t="s">
        <v>602</v>
      </c>
      <c r="J174" s="85" t="s">
        <v>258</v>
      </c>
      <c r="K174" s="85">
        <v>263</v>
      </c>
      <c r="L174" s="59" t="s">
        <v>270</v>
      </c>
      <c r="M174" s="2"/>
    </row>
    <row r="175" spans="6:13" hidden="1" x14ac:dyDescent="0.4">
      <c r="F175" s="213">
        <v>174</v>
      </c>
      <c r="G175" s="85" t="s">
        <v>161</v>
      </c>
      <c r="H175" s="85" t="s">
        <v>188</v>
      </c>
      <c r="I175" s="2" t="s">
        <v>603</v>
      </c>
      <c r="J175" s="85" t="s">
        <v>258</v>
      </c>
      <c r="K175" s="85">
        <v>174</v>
      </c>
      <c r="L175" s="59" t="s">
        <v>270</v>
      </c>
      <c r="M175" s="2" t="s">
        <v>304</v>
      </c>
    </row>
    <row r="176" spans="6:13" hidden="1" x14ac:dyDescent="0.4">
      <c r="F176" s="213">
        <v>175</v>
      </c>
      <c r="G176" s="85" t="s">
        <v>161</v>
      </c>
      <c r="H176" s="85" t="s">
        <v>185</v>
      </c>
      <c r="I176" s="2" t="s">
        <v>604</v>
      </c>
      <c r="J176" s="85" t="s">
        <v>257</v>
      </c>
      <c r="K176" s="85">
        <v>956</v>
      </c>
      <c r="L176" s="59" t="s">
        <v>262</v>
      </c>
      <c r="M176" s="2"/>
    </row>
    <row r="177" spans="6:13" hidden="1" x14ac:dyDescent="0.4">
      <c r="F177" s="213">
        <v>176</v>
      </c>
      <c r="G177" s="85" t="s">
        <v>161</v>
      </c>
      <c r="H177" s="85" t="s">
        <v>186</v>
      </c>
      <c r="I177" s="68" t="s">
        <v>602</v>
      </c>
      <c r="J177" s="85" t="s">
        <v>258</v>
      </c>
      <c r="K177" s="85">
        <v>333</v>
      </c>
      <c r="L177" s="59" t="s">
        <v>265</v>
      </c>
      <c r="M177" s="2" t="s">
        <v>302</v>
      </c>
    </row>
    <row r="178" spans="6:13" hidden="1" x14ac:dyDescent="0.4">
      <c r="F178" s="213">
        <v>177</v>
      </c>
      <c r="G178" s="85" t="s">
        <v>161</v>
      </c>
      <c r="H178" s="85" t="s">
        <v>189</v>
      </c>
      <c r="I178" s="2" t="s">
        <v>601</v>
      </c>
      <c r="J178" s="85" t="s">
        <v>258</v>
      </c>
      <c r="K178" s="85">
        <v>213</v>
      </c>
      <c r="L178" s="59" t="s">
        <v>270</v>
      </c>
      <c r="M178" s="2"/>
    </row>
    <row r="179" spans="6:13" hidden="1" x14ac:dyDescent="0.4">
      <c r="F179" s="213">
        <v>178</v>
      </c>
      <c r="G179" s="85" t="s">
        <v>161</v>
      </c>
      <c r="H179" s="85" t="s">
        <v>189</v>
      </c>
      <c r="I179" s="3" t="s">
        <v>611</v>
      </c>
      <c r="J179" s="85" t="s">
        <v>258</v>
      </c>
      <c r="K179" s="85">
        <v>215</v>
      </c>
      <c r="L179" s="59" t="s">
        <v>270</v>
      </c>
      <c r="M179" s="2" t="s">
        <v>311</v>
      </c>
    </row>
    <row r="180" spans="6:13" hidden="1" x14ac:dyDescent="0.4">
      <c r="F180" s="213">
        <v>179</v>
      </c>
      <c r="G180" s="85" t="s">
        <v>161</v>
      </c>
      <c r="H180" s="85" t="s">
        <v>189</v>
      </c>
      <c r="I180" s="3" t="s">
        <v>611</v>
      </c>
      <c r="J180" s="85" t="s">
        <v>258</v>
      </c>
      <c r="K180" s="85">
        <v>217</v>
      </c>
      <c r="L180" s="59" t="s">
        <v>270</v>
      </c>
      <c r="M180" s="2" t="s">
        <v>311</v>
      </c>
    </row>
    <row r="181" spans="6:13" hidden="1" x14ac:dyDescent="0.4">
      <c r="F181" s="216">
        <v>180</v>
      </c>
      <c r="G181" s="85" t="s">
        <v>253</v>
      </c>
      <c r="H181" s="85" t="s">
        <v>248</v>
      </c>
      <c r="I181" s="70" t="s">
        <v>248</v>
      </c>
      <c r="J181" s="85" t="s">
        <v>188</v>
      </c>
      <c r="K181" s="85" t="s">
        <v>253</v>
      </c>
      <c r="L181" s="59" t="s">
        <v>271</v>
      </c>
      <c r="M181" s="70"/>
    </row>
    <row r="182" spans="6:13" hidden="1" x14ac:dyDescent="0.4">
      <c r="F182" s="212">
        <v>181</v>
      </c>
      <c r="G182" s="85" t="s">
        <v>161</v>
      </c>
      <c r="H182" s="85" t="s">
        <v>189</v>
      </c>
      <c r="I182" s="2" t="s">
        <v>612</v>
      </c>
      <c r="J182" s="85" t="s">
        <v>258</v>
      </c>
      <c r="K182" s="85">
        <v>370</v>
      </c>
      <c r="L182" s="59" t="s">
        <v>265</v>
      </c>
      <c r="M182" s="2"/>
    </row>
    <row r="183" spans="6:13" hidden="1" x14ac:dyDescent="0.4">
      <c r="F183" s="212">
        <v>182</v>
      </c>
      <c r="G183" s="85" t="s">
        <v>161</v>
      </c>
      <c r="H183" s="85" t="s">
        <v>189</v>
      </c>
      <c r="I183" s="2" t="s">
        <v>607</v>
      </c>
      <c r="J183" s="85" t="s">
        <v>257</v>
      </c>
      <c r="K183" s="85">
        <v>993</v>
      </c>
      <c r="L183" s="59" t="s">
        <v>262</v>
      </c>
      <c r="M183" s="2" t="s">
        <v>294</v>
      </c>
    </row>
    <row r="184" spans="6:13" x14ac:dyDescent="0.4">
      <c r="F184" s="212">
        <v>183</v>
      </c>
      <c r="G184" s="85" t="s">
        <v>161</v>
      </c>
      <c r="H184" s="85" t="s">
        <v>186</v>
      </c>
      <c r="I184" s="2" t="s">
        <v>607</v>
      </c>
      <c r="J184" s="85" t="s">
        <v>258</v>
      </c>
      <c r="K184" s="85">
        <v>371</v>
      </c>
      <c r="L184" s="59" t="s">
        <v>265</v>
      </c>
      <c r="M184" s="2"/>
    </row>
    <row r="185" spans="6:13" hidden="1" x14ac:dyDescent="0.4">
      <c r="F185" s="212">
        <v>184</v>
      </c>
      <c r="G185" s="85" t="s">
        <v>161</v>
      </c>
      <c r="H185" s="85" t="s">
        <v>188</v>
      </c>
      <c r="I185" s="2" t="s">
        <v>605</v>
      </c>
      <c r="J185" s="85" t="s">
        <v>258</v>
      </c>
      <c r="K185" s="85">
        <v>341</v>
      </c>
      <c r="L185" s="59" t="s">
        <v>265</v>
      </c>
      <c r="M185" s="2"/>
    </row>
    <row r="186" spans="6:13" hidden="1" x14ac:dyDescent="0.4">
      <c r="F186" s="212">
        <v>185</v>
      </c>
      <c r="G186" s="85" t="s">
        <v>161</v>
      </c>
      <c r="H186" s="85" t="s">
        <v>189</v>
      </c>
      <c r="I186" s="2" t="s">
        <v>610</v>
      </c>
      <c r="J186" s="85" t="s">
        <v>258</v>
      </c>
      <c r="K186" s="85">
        <v>340</v>
      </c>
      <c r="L186" s="59" t="s">
        <v>265</v>
      </c>
      <c r="M186" s="2" t="s">
        <v>367</v>
      </c>
    </row>
    <row r="187" spans="6:13" hidden="1" x14ac:dyDescent="0.4">
      <c r="F187" s="212">
        <v>186</v>
      </c>
      <c r="G187" s="85" t="s">
        <v>161</v>
      </c>
      <c r="H187" s="85" t="s">
        <v>188</v>
      </c>
      <c r="I187" s="2" t="s">
        <v>605</v>
      </c>
      <c r="J187" s="85" t="s">
        <v>257</v>
      </c>
      <c r="K187" s="85">
        <v>1142</v>
      </c>
      <c r="L187" s="59" t="s">
        <v>264</v>
      </c>
      <c r="M187" s="2"/>
    </row>
    <row r="188" spans="6:13" hidden="1" x14ac:dyDescent="0.4">
      <c r="F188" s="212">
        <v>187</v>
      </c>
      <c r="G188" s="85" t="s">
        <v>161</v>
      </c>
      <c r="H188" s="85" t="s">
        <v>186</v>
      </c>
      <c r="I188" s="2" t="s">
        <v>623</v>
      </c>
      <c r="J188" s="85" t="s">
        <v>258</v>
      </c>
      <c r="K188" s="85">
        <v>249</v>
      </c>
      <c r="L188" s="59" t="s">
        <v>269</v>
      </c>
      <c r="M188" s="2"/>
    </row>
    <row r="189" spans="6:13" hidden="1" x14ac:dyDescent="0.4">
      <c r="F189" s="212">
        <v>188</v>
      </c>
      <c r="G189" s="85" t="s">
        <v>161</v>
      </c>
      <c r="H189" s="85" t="s">
        <v>188</v>
      </c>
      <c r="I189" s="2" t="s">
        <v>603</v>
      </c>
      <c r="J189" s="85" t="s">
        <v>258</v>
      </c>
      <c r="K189" s="85">
        <v>96</v>
      </c>
      <c r="L189" s="59" t="s">
        <v>269</v>
      </c>
      <c r="M189" s="2" t="s">
        <v>304</v>
      </c>
    </row>
    <row r="190" spans="6:13" x14ac:dyDescent="0.4">
      <c r="F190" s="212">
        <v>189</v>
      </c>
      <c r="G190" s="85" t="s">
        <v>161</v>
      </c>
      <c r="H190" s="85" t="s">
        <v>186</v>
      </c>
      <c r="I190" s="2" t="s">
        <v>607</v>
      </c>
      <c r="J190" s="85" t="s">
        <v>257</v>
      </c>
      <c r="K190" s="85">
        <v>955</v>
      </c>
      <c r="L190" s="59" t="s">
        <v>262</v>
      </c>
      <c r="M190" s="2"/>
    </row>
    <row r="191" spans="6:13" hidden="1" x14ac:dyDescent="0.4">
      <c r="F191" s="212">
        <v>190</v>
      </c>
      <c r="G191" s="85" t="s">
        <v>161</v>
      </c>
      <c r="H191" s="85" t="s">
        <v>189</v>
      </c>
      <c r="I191" s="2" t="s">
        <v>624</v>
      </c>
      <c r="J191" s="85" t="s">
        <v>258</v>
      </c>
      <c r="K191" s="85">
        <v>187</v>
      </c>
      <c r="L191" s="59" t="s">
        <v>270</v>
      </c>
      <c r="M191" s="2" t="s">
        <v>300</v>
      </c>
    </row>
    <row r="192" spans="6:13" hidden="1" x14ac:dyDescent="0.4">
      <c r="F192" s="211">
        <v>191</v>
      </c>
      <c r="G192" s="85" t="s">
        <v>161</v>
      </c>
      <c r="H192" s="85" t="s">
        <v>189</v>
      </c>
      <c r="I192" s="3" t="s">
        <v>611</v>
      </c>
      <c r="J192" s="85" t="s">
        <v>258</v>
      </c>
      <c r="K192" s="85">
        <v>372</v>
      </c>
      <c r="L192" s="59" t="s">
        <v>265</v>
      </c>
      <c r="M192" s="2" t="s">
        <v>311</v>
      </c>
    </row>
    <row r="193" spans="6:13" hidden="1" x14ac:dyDescent="0.4">
      <c r="F193" s="211">
        <v>192</v>
      </c>
      <c r="G193" s="85" t="s">
        <v>161</v>
      </c>
      <c r="H193" s="85" t="s">
        <v>189</v>
      </c>
      <c r="I193" s="3" t="s">
        <v>611</v>
      </c>
      <c r="J193" s="85" t="s">
        <v>258</v>
      </c>
      <c r="K193" s="85">
        <v>341</v>
      </c>
      <c r="L193" s="59" t="s">
        <v>265</v>
      </c>
      <c r="M193" s="2" t="s">
        <v>311</v>
      </c>
    </row>
    <row r="194" spans="6:13" hidden="1" x14ac:dyDescent="0.4">
      <c r="F194" s="211">
        <v>193</v>
      </c>
      <c r="G194" s="85" t="s">
        <v>161</v>
      </c>
      <c r="H194" s="85" t="s">
        <v>189</v>
      </c>
      <c r="I194" s="2" t="s">
        <v>607</v>
      </c>
      <c r="J194" s="85" t="s">
        <v>258</v>
      </c>
      <c r="K194" s="85">
        <v>161</v>
      </c>
      <c r="L194" s="59" t="s">
        <v>270</v>
      </c>
      <c r="M194" s="2"/>
    </row>
    <row r="195" spans="6:13" x14ac:dyDescent="0.4">
      <c r="F195" s="211">
        <v>194</v>
      </c>
      <c r="G195" s="85" t="s">
        <v>161</v>
      </c>
      <c r="H195" s="85" t="s">
        <v>186</v>
      </c>
      <c r="I195" s="2" t="s">
        <v>607</v>
      </c>
      <c r="J195" s="85" t="s">
        <v>257</v>
      </c>
      <c r="K195" s="85">
        <v>888</v>
      </c>
      <c r="L195" s="59" t="s">
        <v>262</v>
      </c>
      <c r="M195" s="2"/>
    </row>
    <row r="196" spans="6:13" x14ac:dyDescent="0.4">
      <c r="F196" s="212">
        <v>195</v>
      </c>
      <c r="G196" s="85" t="s">
        <v>161</v>
      </c>
      <c r="H196" s="85" t="s">
        <v>186</v>
      </c>
      <c r="I196" s="2" t="s">
        <v>607</v>
      </c>
      <c r="J196" s="85" t="s">
        <v>257</v>
      </c>
      <c r="K196" s="85">
        <v>1147</v>
      </c>
      <c r="L196" s="59" t="s">
        <v>264</v>
      </c>
      <c r="M196" s="2"/>
    </row>
    <row r="197" spans="6:13" hidden="1" x14ac:dyDescent="0.4">
      <c r="F197" s="212">
        <v>196</v>
      </c>
      <c r="G197" s="85" t="s">
        <v>161</v>
      </c>
      <c r="H197" s="85" t="s">
        <v>185</v>
      </c>
      <c r="I197" s="82" t="s">
        <v>614</v>
      </c>
      <c r="J197" s="85" t="s">
        <v>258</v>
      </c>
      <c r="K197" s="85">
        <v>343</v>
      </c>
      <c r="L197" s="59" t="s">
        <v>265</v>
      </c>
      <c r="M197" s="2"/>
    </row>
    <row r="198" spans="6:13" hidden="1" x14ac:dyDescent="0.4">
      <c r="F198" s="212">
        <v>197</v>
      </c>
      <c r="G198" s="85" t="s">
        <v>161</v>
      </c>
      <c r="H198" s="85" t="s">
        <v>185</v>
      </c>
      <c r="I198" s="2" t="s">
        <v>600</v>
      </c>
      <c r="J198" s="85" t="s">
        <v>257</v>
      </c>
      <c r="K198" s="85">
        <v>1011</v>
      </c>
      <c r="L198" s="59" t="s">
        <v>262</v>
      </c>
      <c r="M198" s="2"/>
    </row>
    <row r="199" spans="6:13" ht="21.6" hidden="1" x14ac:dyDescent="0.4">
      <c r="F199" s="212">
        <v>198</v>
      </c>
      <c r="G199" s="85" t="s">
        <v>161</v>
      </c>
      <c r="H199" s="85" t="s">
        <v>189</v>
      </c>
      <c r="I199" s="2" t="s">
        <v>624</v>
      </c>
      <c r="J199" s="85" t="s">
        <v>257</v>
      </c>
      <c r="K199" s="85">
        <v>928</v>
      </c>
      <c r="L199" s="59" t="s">
        <v>262</v>
      </c>
      <c r="M199" s="3" t="s">
        <v>305</v>
      </c>
    </row>
    <row r="200" spans="6:13" hidden="1" x14ac:dyDescent="0.4">
      <c r="F200" s="211">
        <v>199</v>
      </c>
      <c r="G200" s="85" t="s">
        <v>161</v>
      </c>
      <c r="H200" s="85" t="s">
        <v>189</v>
      </c>
      <c r="I200" s="2" t="s">
        <v>599</v>
      </c>
      <c r="J200" s="85" t="s">
        <v>257</v>
      </c>
      <c r="K200" s="85">
        <v>1070</v>
      </c>
      <c r="L200" s="59" t="s">
        <v>266</v>
      </c>
      <c r="M200" s="2"/>
    </row>
    <row r="201" spans="6:13" hidden="1" x14ac:dyDescent="0.4">
      <c r="F201" s="211">
        <v>200</v>
      </c>
      <c r="G201" s="85" t="s">
        <v>161</v>
      </c>
      <c r="H201" s="85" t="s">
        <v>188</v>
      </c>
      <c r="I201" s="68" t="s">
        <v>621</v>
      </c>
      <c r="J201" s="85" t="s">
        <v>258</v>
      </c>
      <c r="K201" s="85">
        <v>345</v>
      </c>
      <c r="L201" s="59" t="s">
        <v>265</v>
      </c>
      <c r="M201" s="2"/>
    </row>
    <row r="202" spans="6:13" hidden="1" x14ac:dyDescent="0.4">
      <c r="F202" s="211">
        <v>201</v>
      </c>
      <c r="G202" s="85" t="s">
        <v>161</v>
      </c>
      <c r="H202" s="85" t="s">
        <v>185</v>
      </c>
      <c r="I202" s="2" t="s">
        <v>624</v>
      </c>
      <c r="J202" s="85" t="s">
        <v>257</v>
      </c>
      <c r="K202" s="85">
        <v>1000</v>
      </c>
      <c r="L202" s="59" t="s">
        <v>262</v>
      </c>
      <c r="M202" s="2"/>
    </row>
    <row r="203" spans="6:13" hidden="1" x14ac:dyDescent="0.4">
      <c r="F203" s="211">
        <v>202</v>
      </c>
      <c r="G203" s="85" t="s">
        <v>161</v>
      </c>
      <c r="H203" s="85" t="s">
        <v>187</v>
      </c>
      <c r="I203" s="2" t="s">
        <v>624</v>
      </c>
      <c r="J203" s="85" t="s">
        <v>257</v>
      </c>
      <c r="K203" s="85">
        <v>1076</v>
      </c>
      <c r="L203" s="59" t="s">
        <v>266</v>
      </c>
      <c r="M203" s="2"/>
    </row>
    <row r="204" spans="6:13" hidden="1" x14ac:dyDescent="0.4">
      <c r="F204" s="211">
        <v>203</v>
      </c>
      <c r="G204" s="85" t="s">
        <v>161</v>
      </c>
      <c r="H204" s="85" t="s">
        <v>185</v>
      </c>
      <c r="I204" s="2" t="s">
        <v>600</v>
      </c>
      <c r="J204" s="85" t="s">
        <v>258</v>
      </c>
      <c r="K204" s="85">
        <v>196</v>
      </c>
      <c r="L204" s="59" t="s">
        <v>269</v>
      </c>
      <c r="M204" s="2"/>
    </row>
    <row r="205" spans="6:13" hidden="1" x14ac:dyDescent="0.4">
      <c r="F205" s="211">
        <v>204</v>
      </c>
      <c r="G205" s="85" t="s">
        <v>254</v>
      </c>
      <c r="H205" s="85" t="s">
        <v>188</v>
      </c>
      <c r="I205" s="68" t="s">
        <v>602</v>
      </c>
      <c r="J205" s="85" t="s">
        <v>257</v>
      </c>
      <c r="K205" s="85">
        <v>1151</v>
      </c>
      <c r="L205" s="59" t="s">
        <v>264</v>
      </c>
      <c r="M205" s="7"/>
    </row>
    <row r="206" spans="6:13" hidden="1" x14ac:dyDescent="0.4">
      <c r="F206" s="211">
        <v>205</v>
      </c>
      <c r="G206" s="85" t="s">
        <v>161</v>
      </c>
      <c r="H206" s="85" t="s">
        <v>189</v>
      </c>
      <c r="I206" s="68" t="s">
        <v>624</v>
      </c>
      <c r="J206" s="85" t="s">
        <v>258</v>
      </c>
      <c r="K206" s="85">
        <v>164</v>
      </c>
      <c r="L206" s="59" t="s">
        <v>270</v>
      </c>
      <c r="M206" s="7"/>
    </row>
    <row r="207" spans="6:13" hidden="1" x14ac:dyDescent="0.4">
      <c r="F207" s="211">
        <v>206</v>
      </c>
      <c r="G207" s="85" t="s">
        <v>161</v>
      </c>
      <c r="H207" s="85" t="s">
        <v>188</v>
      </c>
      <c r="I207" s="82" t="s">
        <v>625</v>
      </c>
      <c r="J207" s="85" t="s">
        <v>257</v>
      </c>
      <c r="K207" s="85">
        <v>1140</v>
      </c>
      <c r="L207" s="59" t="s">
        <v>264</v>
      </c>
      <c r="M207" s="7"/>
    </row>
    <row r="208" spans="6:13" ht="21.6" hidden="1" x14ac:dyDescent="0.4">
      <c r="F208" s="211">
        <v>207</v>
      </c>
      <c r="G208" s="85" t="s">
        <v>161</v>
      </c>
      <c r="H208" s="85" t="s">
        <v>189</v>
      </c>
      <c r="I208" s="2" t="s">
        <v>600</v>
      </c>
      <c r="J208" s="85" t="s">
        <v>258</v>
      </c>
      <c r="K208" s="85">
        <v>197</v>
      </c>
      <c r="L208" s="59" t="s">
        <v>270</v>
      </c>
      <c r="M208" s="3" t="s">
        <v>299</v>
      </c>
    </row>
    <row r="209" spans="6:13" x14ac:dyDescent="0.4">
      <c r="F209" s="211">
        <v>208</v>
      </c>
      <c r="G209" s="85" t="s">
        <v>161</v>
      </c>
      <c r="H209" s="85" t="s">
        <v>186</v>
      </c>
      <c r="I209" s="2" t="s">
        <v>607</v>
      </c>
      <c r="J209" s="85" t="s">
        <v>257</v>
      </c>
      <c r="K209" s="85">
        <v>1003</v>
      </c>
      <c r="L209" s="59" t="s">
        <v>262</v>
      </c>
      <c r="M209" s="7"/>
    </row>
    <row r="210" spans="6:13" hidden="1" x14ac:dyDescent="0.4">
      <c r="F210" s="211">
        <v>209</v>
      </c>
      <c r="G210" s="85" t="s">
        <v>161</v>
      </c>
      <c r="H210" s="85" t="s">
        <v>188</v>
      </c>
      <c r="I210" s="68" t="s">
        <v>621</v>
      </c>
      <c r="J210" s="85" t="s">
        <v>258</v>
      </c>
      <c r="K210" s="85">
        <v>320</v>
      </c>
      <c r="L210" s="59" t="s">
        <v>265</v>
      </c>
      <c r="M210" s="7"/>
    </row>
    <row r="211" spans="6:13" x14ac:dyDescent="0.4">
      <c r="F211" s="211">
        <v>210</v>
      </c>
      <c r="G211" s="85" t="s">
        <v>161</v>
      </c>
      <c r="H211" s="85" t="s">
        <v>186</v>
      </c>
      <c r="I211" s="2" t="s">
        <v>607</v>
      </c>
      <c r="J211" s="85" t="s">
        <v>257</v>
      </c>
      <c r="K211" s="85">
        <v>967</v>
      </c>
      <c r="L211" s="59" t="s">
        <v>262</v>
      </c>
      <c r="M211" s="7"/>
    </row>
    <row r="212" spans="6:13" hidden="1" x14ac:dyDescent="0.4">
      <c r="F212" s="211">
        <v>211</v>
      </c>
      <c r="G212" s="85" t="s">
        <v>161</v>
      </c>
      <c r="H212" s="85" t="s">
        <v>186</v>
      </c>
      <c r="I212" s="68" t="s">
        <v>602</v>
      </c>
      <c r="J212" s="85" t="s">
        <v>258</v>
      </c>
      <c r="K212" s="85">
        <v>167</v>
      </c>
      <c r="L212" s="59" t="s">
        <v>269</v>
      </c>
      <c r="M212" s="7" t="s">
        <v>302</v>
      </c>
    </row>
    <row r="213" spans="6:13" hidden="1" x14ac:dyDescent="0.4">
      <c r="F213" s="211">
        <v>212</v>
      </c>
      <c r="G213" s="85" t="s">
        <v>161</v>
      </c>
      <c r="H213" s="85" t="s">
        <v>185</v>
      </c>
      <c r="I213" s="68" t="s">
        <v>626</v>
      </c>
      <c r="J213" s="85" t="s">
        <v>258</v>
      </c>
      <c r="K213" s="85">
        <v>348</v>
      </c>
      <c r="L213" s="59" t="s">
        <v>265</v>
      </c>
      <c r="M213" s="7"/>
    </row>
    <row r="214" spans="6:13" ht="21.6" hidden="1" x14ac:dyDescent="0.4">
      <c r="F214" s="211">
        <v>213</v>
      </c>
      <c r="G214" s="85" t="s">
        <v>161</v>
      </c>
      <c r="H214" s="85" t="s">
        <v>189</v>
      </c>
      <c r="I214" s="2" t="s">
        <v>600</v>
      </c>
      <c r="J214" s="85" t="s">
        <v>258</v>
      </c>
      <c r="K214" s="85">
        <v>199</v>
      </c>
      <c r="L214" s="59" t="s">
        <v>270</v>
      </c>
      <c r="M214" s="3" t="s">
        <v>299</v>
      </c>
    </row>
    <row r="215" spans="6:13" hidden="1" x14ac:dyDescent="0.4">
      <c r="F215" s="211">
        <v>214</v>
      </c>
      <c r="G215" s="85" t="s">
        <v>161</v>
      </c>
      <c r="H215" s="85" t="s">
        <v>189</v>
      </c>
      <c r="I215" s="2" t="s">
        <v>624</v>
      </c>
      <c r="J215" s="85" t="s">
        <v>258</v>
      </c>
      <c r="K215" s="85">
        <v>169</v>
      </c>
      <c r="L215" s="59" t="s">
        <v>270</v>
      </c>
      <c r="M215" s="7" t="s">
        <v>300</v>
      </c>
    </row>
    <row r="216" spans="6:13" x14ac:dyDescent="0.4">
      <c r="F216" s="211">
        <v>215</v>
      </c>
      <c r="G216" s="85" t="s">
        <v>161</v>
      </c>
      <c r="H216" s="85" t="s">
        <v>186</v>
      </c>
      <c r="I216" s="2" t="s">
        <v>607</v>
      </c>
      <c r="J216" s="85" t="s">
        <v>258</v>
      </c>
      <c r="K216" s="85">
        <v>166</v>
      </c>
      <c r="L216" s="59" t="s">
        <v>270</v>
      </c>
      <c r="M216" s="7"/>
    </row>
    <row r="217" spans="6:13" hidden="1" x14ac:dyDescent="0.4">
      <c r="F217" s="211">
        <v>216</v>
      </c>
      <c r="G217" s="85" t="s">
        <v>161</v>
      </c>
      <c r="H217" s="85" t="s">
        <v>187</v>
      </c>
      <c r="I217" s="2" t="s">
        <v>624</v>
      </c>
      <c r="J217" s="85" t="s">
        <v>258</v>
      </c>
      <c r="K217" s="85">
        <v>349</v>
      </c>
      <c r="L217" s="59" t="s">
        <v>265</v>
      </c>
      <c r="M217" s="7"/>
    </row>
    <row r="218" spans="6:13" hidden="1" x14ac:dyDescent="0.4">
      <c r="F218" s="211">
        <v>217</v>
      </c>
      <c r="G218" s="85" t="s">
        <v>253</v>
      </c>
      <c r="H218" s="85" t="s">
        <v>188</v>
      </c>
      <c r="I218" s="3" t="s">
        <v>604</v>
      </c>
      <c r="J218" s="85" t="s">
        <v>257</v>
      </c>
      <c r="K218" s="85">
        <v>1153</v>
      </c>
      <c r="L218" s="59" t="s">
        <v>264</v>
      </c>
      <c r="M218" s="7"/>
    </row>
    <row r="219" spans="6:13" hidden="1" x14ac:dyDescent="0.4">
      <c r="F219" s="211">
        <v>218</v>
      </c>
      <c r="G219" s="85" t="s">
        <v>253</v>
      </c>
      <c r="H219" s="85" t="s">
        <v>188</v>
      </c>
      <c r="I219" s="3" t="s">
        <v>604</v>
      </c>
      <c r="J219" s="85" t="s">
        <v>257</v>
      </c>
      <c r="K219" s="85">
        <v>1157</v>
      </c>
      <c r="L219" s="59" t="s">
        <v>264</v>
      </c>
      <c r="M219" s="7"/>
    </row>
    <row r="220" spans="6:13" hidden="1" x14ac:dyDescent="0.4">
      <c r="F220" s="211">
        <v>219</v>
      </c>
      <c r="G220" s="85" t="s">
        <v>161</v>
      </c>
      <c r="H220" s="85" t="s">
        <v>188</v>
      </c>
      <c r="I220" s="68" t="s">
        <v>621</v>
      </c>
      <c r="J220" s="85" t="s">
        <v>258</v>
      </c>
      <c r="K220" s="85">
        <v>350</v>
      </c>
      <c r="L220" s="59" t="s">
        <v>265</v>
      </c>
      <c r="M220" s="2"/>
    </row>
    <row r="221" spans="6:13" hidden="1" x14ac:dyDescent="0.4">
      <c r="F221" s="211">
        <v>220</v>
      </c>
      <c r="G221" s="85" t="s">
        <v>161</v>
      </c>
      <c r="H221" s="85" t="s">
        <v>188</v>
      </c>
      <c r="I221" s="2" t="s">
        <v>608</v>
      </c>
      <c r="J221" s="85" t="s">
        <v>258</v>
      </c>
      <c r="K221" s="85">
        <v>231</v>
      </c>
      <c r="L221" s="59" t="s">
        <v>270</v>
      </c>
      <c r="M221" s="2" t="s">
        <v>301</v>
      </c>
    </row>
    <row r="222" spans="6:13" hidden="1" x14ac:dyDescent="0.4">
      <c r="F222" s="211">
        <v>221</v>
      </c>
      <c r="G222" s="85" t="s">
        <v>161</v>
      </c>
      <c r="H222" s="85" t="s">
        <v>188</v>
      </c>
      <c r="I222" s="82" t="s">
        <v>625</v>
      </c>
      <c r="J222" s="85" t="s">
        <v>258</v>
      </c>
      <c r="K222" s="85">
        <v>202</v>
      </c>
      <c r="L222" s="59" t="s">
        <v>270</v>
      </c>
      <c r="M222" s="2"/>
    </row>
    <row r="223" spans="6:13" hidden="1" x14ac:dyDescent="0.4">
      <c r="F223" s="211">
        <v>222</v>
      </c>
      <c r="G223" s="85" t="s">
        <v>161</v>
      </c>
      <c r="H223" s="85" t="s">
        <v>185</v>
      </c>
      <c r="I223" s="2" t="s">
        <v>624</v>
      </c>
      <c r="J223" s="85" t="s">
        <v>258</v>
      </c>
      <c r="K223" s="85">
        <v>202</v>
      </c>
      <c r="L223" s="59" t="s">
        <v>269</v>
      </c>
      <c r="M223" s="2"/>
    </row>
    <row r="224" spans="6:13" hidden="1" x14ac:dyDescent="0.4">
      <c r="F224" s="211">
        <v>223</v>
      </c>
      <c r="G224" s="85" t="s">
        <v>161</v>
      </c>
      <c r="H224" s="85" t="s">
        <v>189</v>
      </c>
      <c r="I224" s="82" t="s">
        <v>625</v>
      </c>
      <c r="J224" s="85" t="s">
        <v>257</v>
      </c>
      <c r="K224" s="85">
        <v>898</v>
      </c>
      <c r="L224" s="59" t="s">
        <v>262</v>
      </c>
      <c r="M224" s="2"/>
    </row>
    <row r="225" spans="6:13" hidden="1" x14ac:dyDescent="0.4">
      <c r="F225" s="211">
        <v>224</v>
      </c>
      <c r="G225" s="85" t="s">
        <v>161</v>
      </c>
      <c r="H225" s="85" t="s">
        <v>186</v>
      </c>
      <c r="I225" s="2" t="s">
        <v>623</v>
      </c>
      <c r="J225" s="85" t="s">
        <v>258</v>
      </c>
      <c r="K225" s="85">
        <v>293</v>
      </c>
      <c r="L225" s="59" t="s">
        <v>270</v>
      </c>
      <c r="M225" s="2"/>
    </row>
    <row r="226" spans="6:13" hidden="1" x14ac:dyDescent="0.4">
      <c r="F226" s="214">
        <v>225</v>
      </c>
      <c r="G226" s="85" t="s">
        <v>253</v>
      </c>
      <c r="H226" s="85" t="s">
        <v>248</v>
      </c>
      <c r="I226" s="70" t="s">
        <v>248</v>
      </c>
      <c r="J226" s="85" t="s">
        <v>257</v>
      </c>
      <c r="K226" s="85" t="s">
        <v>253</v>
      </c>
      <c r="L226" s="59" t="s">
        <v>266</v>
      </c>
      <c r="M226" s="2"/>
    </row>
    <row r="227" spans="6:13" hidden="1" x14ac:dyDescent="0.4">
      <c r="F227" s="214">
        <v>226</v>
      </c>
      <c r="G227" s="85" t="s">
        <v>253</v>
      </c>
      <c r="H227" s="85" t="s">
        <v>248</v>
      </c>
      <c r="I227" s="70" t="s">
        <v>248</v>
      </c>
      <c r="J227" s="85" t="s">
        <v>257</v>
      </c>
      <c r="K227" s="85" t="s">
        <v>253</v>
      </c>
      <c r="L227" s="59" t="s">
        <v>264</v>
      </c>
      <c r="M227" s="70"/>
    </row>
    <row r="228" spans="6:13" hidden="1" x14ac:dyDescent="0.4">
      <c r="F228" s="214">
        <v>227</v>
      </c>
      <c r="G228" s="85" t="s">
        <v>253</v>
      </c>
      <c r="H228" s="85" t="s">
        <v>248</v>
      </c>
      <c r="I228" s="70" t="s">
        <v>248</v>
      </c>
      <c r="J228" s="85" t="s">
        <v>258</v>
      </c>
      <c r="K228" s="85" t="s">
        <v>253</v>
      </c>
      <c r="L228" s="59" t="s">
        <v>265</v>
      </c>
      <c r="M228" s="70"/>
    </row>
    <row r="229" spans="6:13" hidden="1" x14ac:dyDescent="0.4">
      <c r="F229" s="213">
        <v>228</v>
      </c>
      <c r="G229" s="85" t="s">
        <v>161</v>
      </c>
      <c r="H229" s="85" t="s">
        <v>185</v>
      </c>
      <c r="I229" s="2" t="s">
        <v>606</v>
      </c>
      <c r="J229" s="85" t="s">
        <v>258</v>
      </c>
      <c r="K229" s="85">
        <v>354</v>
      </c>
      <c r="L229" s="59" t="s">
        <v>265</v>
      </c>
      <c r="M229" s="2"/>
    </row>
    <row r="230" spans="6:13" hidden="1" x14ac:dyDescent="0.4">
      <c r="F230" s="211">
        <v>229</v>
      </c>
      <c r="G230" s="85" t="s">
        <v>161</v>
      </c>
      <c r="H230" s="85" t="s">
        <v>188</v>
      </c>
      <c r="I230" s="2" t="s">
        <v>605</v>
      </c>
      <c r="J230" s="85" t="s">
        <v>258</v>
      </c>
      <c r="K230" s="85">
        <v>354</v>
      </c>
      <c r="L230" s="59" t="s">
        <v>265</v>
      </c>
      <c r="M230" s="2"/>
    </row>
    <row r="231" spans="6:13" x14ac:dyDescent="0.4">
      <c r="F231" s="211">
        <v>230</v>
      </c>
      <c r="G231" s="85" t="s">
        <v>161</v>
      </c>
      <c r="H231" s="85" t="s">
        <v>186</v>
      </c>
      <c r="I231" s="2" t="s">
        <v>607</v>
      </c>
      <c r="J231" s="85" t="s">
        <v>258</v>
      </c>
      <c r="K231" s="85">
        <v>385</v>
      </c>
      <c r="L231" s="59" t="s">
        <v>265</v>
      </c>
      <c r="M231" s="2"/>
    </row>
    <row r="232" spans="6:13" hidden="1" x14ac:dyDescent="0.4">
      <c r="F232" s="211">
        <v>231</v>
      </c>
      <c r="G232" s="85" t="s">
        <v>254</v>
      </c>
      <c r="H232" s="85" t="s">
        <v>188</v>
      </c>
      <c r="I232" s="2" t="s">
        <v>602</v>
      </c>
      <c r="J232" s="85" t="s">
        <v>258</v>
      </c>
      <c r="K232" s="85">
        <v>385</v>
      </c>
      <c r="L232" s="59" t="s">
        <v>265</v>
      </c>
      <c r="M232" s="2"/>
    </row>
    <row r="233" spans="6:13" hidden="1" x14ac:dyDescent="0.4">
      <c r="F233" s="213">
        <v>232</v>
      </c>
      <c r="G233" s="85" t="s">
        <v>161</v>
      </c>
      <c r="H233" s="85" t="s">
        <v>189</v>
      </c>
      <c r="I233" s="2" t="s">
        <v>607</v>
      </c>
      <c r="J233" s="85" t="s">
        <v>257</v>
      </c>
      <c r="K233" s="85">
        <v>983</v>
      </c>
      <c r="L233" s="59" t="s">
        <v>262</v>
      </c>
      <c r="M233" s="3" t="s">
        <v>294</v>
      </c>
    </row>
    <row r="234" spans="6:13" ht="21.6" hidden="1" x14ac:dyDescent="0.4">
      <c r="F234" s="218">
        <v>233</v>
      </c>
      <c r="G234" s="85" t="s">
        <v>161</v>
      </c>
      <c r="H234" s="85" t="s">
        <v>187</v>
      </c>
      <c r="I234" s="2" t="s">
        <v>603</v>
      </c>
      <c r="J234" s="85" t="s">
        <v>258</v>
      </c>
      <c r="K234" s="85">
        <v>234</v>
      </c>
      <c r="L234" s="59" t="s">
        <v>270</v>
      </c>
      <c r="M234" s="79" t="s">
        <v>321</v>
      </c>
    </row>
    <row r="235" spans="6:13" hidden="1" x14ac:dyDescent="0.4">
      <c r="F235" s="219">
        <v>234</v>
      </c>
      <c r="G235" s="85" t="s">
        <v>253</v>
      </c>
      <c r="H235" s="85" t="s">
        <v>248</v>
      </c>
      <c r="I235" s="70" t="s">
        <v>248</v>
      </c>
      <c r="J235" s="85" t="s">
        <v>258</v>
      </c>
      <c r="K235" s="85" t="s">
        <v>253</v>
      </c>
      <c r="L235" s="59" t="s">
        <v>265</v>
      </c>
      <c r="M235" s="70"/>
    </row>
    <row r="236" spans="6:13" hidden="1" x14ac:dyDescent="0.4">
      <c r="F236" s="219">
        <v>235</v>
      </c>
      <c r="G236" s="85" t="s">
        <v>253</v>
      </c>
      <c r="H236" s="85" t="s">
        <v>248</v>
      </c>
      <c r="I236" s="70" t="s">
        <v>248</v>
      </c>
      <c r="J236" s="85" t="s">
        <v>258</v>
      </c>
      <c r="K236" s="85" t="s">
        <v>253</v>
      </c>
      <c r="L236" s="59" t="s">
        <v>270</v>
      </c>
      <c r="M236" s="70"/>
    </row>
    <row r="237" spans="6:13" x14ac:dyDescent="0.4">
      <c r="F237" s="212">
        <v>236</v>
      </c>
      <c r="G237" s="85" t="s">
        <v>161</v>
      </c>
      <c r="H237" s="85" t="s">
        <v>186</v>
      </c>
      <c r="I237" s="82" t="s">
        <v>607</v>
      </c>
      <c r="J237" s="85" t="s">
        <v>258</v>
      </c>
      <c r="K237" s="85">
        <v>355</v>
      </c>
      <c r="L237" s="59" t="s">
        <v>265</v>
      </c>
      <c r="M237" s="82"/>
    </row>
    <row r="238" spans="6:13" hidden="1" x14ac:dyDescent="0.4">
      <c r="F238" s="219">
        <v>237</v>
      </c>
      <c r="G238" s="85" t="s">
        <v>253</v>
      </c>
      <c r="H238" s="85" t="s">
        <v>248</v>
      </c>
      <c r="I238" s="70" t="s">
        <v>248</v>
      </c>
      <c r="J238" s="85" t="s">
        <v>257</v>
      </c>
      <c r="K238" s="85" t="s">
        <v>253</v>
      </c>
      <c r="L238" s="59" t="s">
        <v>262</v>
      </c>
      <c r="M238" s="70"/>
    </row>
    <row r="239" spans="6:13" hidden="1" x14ac:dyDescent="0.4">
      <c r="F239" s="212">
        <v>238</v>
      </c>
      <c r="G239" s="85" t="s">
        <v>161</v>
      </c>
      <c r="H239" s="85" t="s">
        <v>188</v>
      </c>
      <c r="I239" s="2" t="s">
        <v>610</v>
      </c>
      <c r="J239" s="85" t="s">
        <v>257</v>
      </c>
      <c r="K239" s="85">
        <v>998</v>
      </c>
      <c r="L239" s="59" t="s">
        <v>262</v>
      </c>
      <c r="M239" s="82"/>
    </row>
    <row r="240" spans="6:13" x14ac:dyDescent="0.4">
      <c r="F240" s="212">
        <v>239</v>
      </c>
      <c r="G240" s="85" t="s">
        <v>161</v>
      </c>
      <c r="H240" s="85" t="s">
        <v>186</v>
      </c>
      <c r="I240" s="2" t="s">
        <v>607</v>
      </c>
      <c r="J240" s="85" t="s">
        <v>257</v>
      </c>
      <c r="K240" s="85">
        <v>998</v>
      </c>
      <c r="L240" s="59" t="s">
        <v>262</v>
      </c>
      <c r="M240" s="82"/>
    </row>
    <row r="241" spans="6:13" hidden="1" x14ac:dyDescent="0.4">
      <c r="F241" s="212">
        <v>240</v>
      </c>
      <c r="G241" s="85" t="s">
        <v>161</v>
      </c>
      <c r="H241" s="85" t="s">
        <v>188</v>
      </c>
      <c r="I241" s="68" t="s">
        <v>621</v>
      </c>
      <c r="J241" s="85" t="s">
        <v>258</v>
      </c>
      <c r="K241" s="85">
        <v>327</v>
      </c>
      <c r="L241" s="59" t="s">
        <v>265</v>
      </c>
      <c r="M241" s="82"/>
    </row>
    <row r="242" spans="6:13" hidden="1" x14ac:dyDescent="0.4">
      <c r="F242" s="212">
        <v>241</v>
      </c>
      <c r="G242" s="85" t="s">
        <v>161</v>
      </c>
      <c r="H242" s="85" t="s">
        <v>189</v>
      </c>
      <c r="I242" s="2" t="s">
        <v>624</v>
      </c>
      <c r="J242" s="85" t="s">
        <v>258</v>
      </c>
      <c r="K242" s="85">
        <v>358</v>
      </c>
      <c r="L242" s="59" t="s">
        <v>265</v>
      </c>
      <c r="M242" s="2" t="s">
        <v>300</v>
      </c>
    </row>
    <row r="243" spans="6:13" x14ac:dyDescent="0.4">
      <c r="F243" s="212">
        <v>242</v>
      </c>
      <c r="G243" s="85" t="s">
        <v>161</v>
      </c>
      <c r="H243" s="85" t="s">
        <v>186</v>
      </c>
      <c r="I243" s="2" t="s">
        <v>607</v>
      </c>
      <c r="J243" s="85" t="s">
        <v>257</v>
      </c>
      <c r="K243" s="85">
        <v>987</v>
      </c>
      <c r="L243" s="59" t="s">
        <v>262</v>
      </c>
      <c r="M243" s="82"/>
    </row>
    <row r="244" spans="6:13" ht="21.6" hidden="1" x14ac:dyDescent="0.4">
      <c r="F244" s="212">
        <v>243</v>
      </c>
      <c r="G244" s="85" t="s">
        <v>161</v>
      </c>
      <c r="H244" s="85" t="s">
        <v>189</v>
      </c>
      <c r="I244" s="2" t="s">
        <v>624</v>
      </c>
      <c r="J244" s="85" t="s">
        <v>257</v>
      </c>
      <c r="K244" s="85">
        <v>1009</v>
      </c>
      <c r="L244" s="59" t="s">
        <v>262</v>
      </c>
      <c r="M244" s="3" t="s">
        <v>305</v>
      </c>
    </row>
    <row r="245" spans="6:13" hidden="1" x14ac:dyDescent="0.4">
      <c r="F245" s="212">
        <v>244</v>
      </c>
      <c r="G245" s="85" t="s">
        <v>253</v>
      </c>
      <c r="H245" s="85" t="s">
        <v>185</v>
      </c>
      <c r="I245" s="2" t="s">
        <v>601</v>
      </c>
      <c r="J245" s="85" t="s">
        <v>257</v>
      </c>
      <c r="K245" s="85">
        <v>988</v>
      </c>
      <c r="L245" s="59" t="s">
        <v>262</v>
      </c>
      <c r="M245" s="82"/>
    </row>
    <row r="246" spans="6:13" hidden="1" x14ac:dyDescent="0.4">
      <c r="F246" s="212">
        <v>245</v>
      </c>
      <c r="G246" s="85" t="s">
        <v>253</v>
      </c>
      <c r="H246" s="85" t="s">
        <v>185</v>
      </c>
      <c r="I246" s="2" t="s">
        <v>601</v>
      </c>
      <c r="J246" s="85" t="s">
        <v>257</v>
      </c>
      <c r="K246" s="85">
        <v>988</v>
      </c>
      <c r="L246" s="59" t="s">
        <v>262</v>
      </c>
      <c r="M246" s="82"/>
    </row>
    <row r="247" spans="6:13" hidden="1" x14ac:dyDescent="0.4">
      <c r="F247" s="212">
        <v>246</v>
      </c>
      <c r="G247" s="85" t="s">
        <v>161</v>
      </c>
      <c r="H247" s="85" t="s">
        <v>188</v>
      </c>
      <c r="I247" s="2" t="s">
        <v>608</v>
      </c>
      <c r="J247" s="85" t="s">
        <v>258</v>
      </c>
      <c r="K247" s="85">
        <v>239</v>
      </c>
      <c r="L247" s="59" t="s">
        <v>270</v>
      </c>
      <c r="M247" s="2" t="s">
        <v>301</v>
      </c>
    </row>
    <row r="248" spans="6:13" hidden="1" x14ac:dyDescent="0.4">
      <c r="F248" s="212">
        <v>247</v>
      </c>
      <c r="G248" s="85" t="s">
        <v>161</v>
      </c>
      <c r="H248" s="85" t="s">
        <v>188</v>
      </c>
      <c r="I248" s="2" t="s">
        <v>603</v>
      </c>
      <c r="J248" s="85" t="s">
        <v>258</v>
      </c>
      <c r="K248" s="85">
        <v>239</v>
      </c>
      <c r="L248" s="59" t="s">
        <v>270</v>
      </c>
      <c r="M248" s="82"/>
    </row>
    <row r="249" spans="6:13" hidden="1" x14ac:dyDescent="0.4">
      <c r="F249" s="212">
        <v>248</v>
      </c>
      <c r="G249" s="85" t="s">
        <v>161</v>
      </c>
      <c r="H249" s="85" t="s">
        <v>188</v>
      </c>
      <c r="I249" s="2" t="s">
        <v>607</v>
      </c>
      <c r="J249" s="85" t="s">
        <v>258</v>
      </c>
      <c r="K249" s="85">
        <v>300</v>
      </c>
      <c r="L249" s="59" t="s">
        <v>270</v>
      </c>
      <c r="M249" s="2"/>
    </row>
    <row r="250" spans="6:13" hidden="1" x14ac:dyDescent="0.4">
      <c r="F250" s="212">
        <v>249</v>
      </c>
      <c r="G250" s="85" t="s">
        <v>254</v>
      </c>
      <c r="H250" s="85" t="s">
        <v>185</v>
      </c>
      <c r="I250" s="2" t="s">
        <v>622</v>
      </c>
      <c r="J250" s="85" t="s">
        <v>258</v>
      </c>
      <c r="K250" s="85">
        <v>391</v>
      </c>
      <c r="L250" s="59" t="s">
        <v>265</v>
      </c>
      <c r="M250" s="82"/>
    </row>
    <row r="251" spans="6:13" hidden="1" x14ac:dyDescent="0.4">
      <c r="F251" s="212">
        <v>250</v>
      </c>
      <c r="G251" s="85" t="s">
        <v>253</v>
      </c>
      <c r="H251" s="85" t="s">
        <v>188</v>
      </c>
      <c r="I251" s="2" t="s">
        <v>627</v>
      </c>
      <c r="J251" s="85" t="s">
        <v>258</v>
      </c>
      <c r="K251" s="85">
        <v>179</v>
      </c>
      <c r="L251" s="59" t="s">
        <v>270</v>
      </c>
      <c r="M251" s="82"/>
    </row>
    <row r="252" spans="6:13" ht="21.6" hidden="1" x14ac:dyDescent="0.4">
      <c r="F252" s="212">
        <v>251</v>
      </c>
      <c r="G252" s="85" t="s">
        <v>161</v>
      </c>
      <c r="H252" s="85" t="s">
        <v>189</v>
      </c>
      <c r="I252" s="2" t="s">
        <v>600</v>
      </c>
      <c r="J252" s="85" t="s">
        <v>258</v>
      </c>
      <c r="K252" s="85">
        <v>210</v>
      </c>
      <c r="L252" s="59" t="s">
        <v>270</v>
      </c>
      <c r="M252" s="3" t="s">
        <v>299</v>
      </c>
    </row>
    <row r="253" spans="6:13" hidden="1" x14ac:dyDescent="0.4">
      <c r="F253" s="212">
        <v>252</v>
      </c>
      <c r="G253" s="85" t="s">
        <v>161</v>
      </c>
      <c r="H253" s="85" t="s">
        <v>188</v>
      </c>
      <c r="I253" s="2" t="s">
        <v>603</v>
      </c>
      <c r="J253" s="85" t="s">
        <v>258</v>
      </c>
      <c r="K253" s="85">
        <v>239</v>
      </c>
      <c r="L253" s="59" t="s">
        <v>270</v>
      </c>
      <c r="M253" s="2" t="s">
        <v>304</v>
      </c>
    </row>
    <row r="254" spans="6:13" hidden="1" x14ac:dyDescent="0.4">
      <c r="F254" s="216">
        <v>253</v>
      </c>
      <c r="G254" s="85" t="s">
        <v>253</v>
      </c>
      <c r="H254" s="85" t="s">
        <v>248</v>
      </c>
      <c r="I254" s="70" t="s">
        <v>248</v>
      </c>
      <c r="J254" s="85" t="s">
        <v>257</v>
      </c>
      <c r="K254" s="85" t="s">
        <v>253</v>
      </c>
      <c r="L254" s="59" t="s">
        <v>262</v>
      </c>
      <c r="M254" s="70"/>
    </row>
    <row r="255" spans="6:13" hidden="1" x14ac:dyDescent="0.4">
      <c r="F255" s="212">
        <v>254</v>
      </c>
      <c r="G255" s="85" t="s">
        <v>253</v>
      </c>
      <c r="H255" s="85" t="s">
        <v>188</v>
      </c>
      <c r="I255" s="2" t="s">
        <v>601</v>
      </c>
      <c r="J255" s="85" t="s">
        <v>257</v>
      </c>
      <c r="K255" s="85">
        <v>989</v>
      </c>
      <c r="L255" s="59" t="s">
        <v>262</v>
      </c>
      <c r="M255" s="82"/>
    </row>
    <row r="256" spans="6:13" hidden="1" x14ac:dyDescent="0.4">
      <c r="F256" s="212">
        <v>255</v>
      </c>
      <c r="G256" s="85" t="s">
        <v>161</v>
      </c>
      <c r="H256" s="85" t="s">
        <v>189</v>
      </c>
      <c r="I256" s="3" t="s">
        <v>609</v>
      </c>
      <c r="J256" s="85" t="s">
        <v>257</v>
      </c>
      <c r="K256" s="85">
        <v>1168</v>
      </c>
      <c r="L256" s="59" t="s">
        <v>264</v>
      </c>
      <c r="M256" s="82" t="s">
        <v>303</v>
      </c>
    </row>
    <row r="257" spans="6:13" hidden="1" x14ac:dyDescent="0.4">
      <c r="F257" s="212">
        <v>256</v>
      </c>
      <c r="G257" s="85" t="s">
        <v>161</v>
      </c>
      <c r="H257" s="85" t="s">
        <v>189</v>
      </c>
      <c r="I257" s="2" t="s">
        <v>607</v>
      </c>
      <c r="J257" s="85" t="s">
        <v>258</v>
      </c>
      <c r="K257" s="85">
        <v>392</v>
      </c>
      <c r="L257" s="59" t="s">
        <v>265</v>
      </c>
      <c r="M257" s="3" t="s">
        <v>294</v>
      </c>
    </row>
    <row r="258" spans="6:13" x14ac:dyDescent="0.4">
      <c r="F258" s="212">
        <v>257</v>
      </c>
      <c r="G258" s="85" t="s">
        <v>161</v>
      </c>
      <c r="H258" s="85" t="s">
        <v>186</v>
      </c>
      <c r="I258" s="82" t="s">
        <v>607</v>
      </c>
      <c r="J258" s="85" t="s">
        <v>257</v>
      </c>
      <c r="K258" s="85">
        <v>980</v>
      </c>
      <c r="L258" s="59" t="s">
        <v>262</v>
      </c>
      <c r="M258" s="82"/>
    </row>
    <row r="259" spans="6:13" hidden="1" x14ac:dyDescent="0.4">
      <c r="F259" s="216">
        <v>258</v>
      </c>
      <c r="G259" s="85" t="s">
        <v>253</v>
      </c>
      <c r="H259" s="85" t="s">
        <v>248</v>
      </c>
      <c r="I259" s="70" t="s">
        <v>248</v>
      </c>
      <c r="J259" s="85" t="s">
        <v>258</v>
      </c>
      <c r="K259" s="85" t="s">
        <v>253</v>
      </c>
      <c r="L259" s="59" t="s">
        <v>269</v>
      </c>
      <c r="M259" s="70"/>
    </row>
    <row r="260" spans="6:13" x14ac:dyDescent="0.4">
      <c r="F260" s="218">
        <v>259</v>
      </c>
      <c r="G260" s="85" t="s">
        <v>161</v>
      </c>
      <c r="H260" s="85" t="s">
        <v>186</v>
      </c>
      <c r="I260" s="2" t="s">
        <v>607</v>
      </c>
      <c r="J260" s="85" t="s">
        <v>257</v>
      </c>
      <c r="K260" s="85">
        <v>1086</v>
      </c>
      <c r="L260" s="59" t="s">
        <v>266</v>
      </c>
      <c r="M260" s="82"/>
    </row>
    <row r="261" spans="6:13" hidden="1" x14ac:dyDescent="0.4">
      <c r="F261" s="212">
        <v>260</v>
      </c>
      <c r="G261" s="85" t="s">
        <v>253</v>
      </c>
      <c r="H261" s="85" t="s">
        <v>188</v>
      </c>
      <c r="I261" s="2" t="s">
        <v>601</v>
      </c>
      <c r="J261" s="85" t="s">
        <v>258</v>
      </c>
      <c r="K261" s="85">
        <v>302</v>
      </c>
      <c r="L261" s="59" t="s">
        <v>270</v>
      </c>
      <c r="M261" s="2"/>
    </row>
    <row r="262" spans="6:13" ht="21.6" hidden="1" x14ac:dyDescent="0.4">
      <c r="F262" s="212">
        <v>261</v>
      </c>
      <c r="G262" s="85" t="s">
        <v>161</v>
      </c>
      <c r="H262" s="85" t="s">
        <v>187</v>
      </c>
      <c r="I262" s="82" t="s">
        <v>603</v>
      </c>
      <c r="J262" s="85" t="s">
        <v>258</v>
      </c>
      <c r="K262" s="85">
        <v>241</v>
      </c>
      <c r="L262" s="59" t="s">
        <v>270</v>
      </c>
      <c r="M262" s="79" t="s">
        <v>321</v>
      </c>
    </row>
    <row r="263" spans="6:13" hidden="1" x14ac:dyDescent="0.4">
      <c r="F263" s="212">
        <v>262</v>
      </c>
      <c r="G263" s="85" t="s">
        <v>161</v>
      </c>
      <c r="H263" s="85" t="s">
        <v>188</v>
      </c>
      <c r="I263" s="2" t="s">
        <v>624</v>
      </c>
      <c r="J263" s="85" t="s">
        <v>258</v>
      </c>
      <c r="K263" s="85">
        <v>333</v>
      </c>
      <c r="L263" s="59" t="s">
        <v>265</v>
      </c>
      <c r="M263" s="82"/>
    </row>
    <row r="264" spans="6:13" hidden="1" x14ac:dyDescent="0.4">
      <c r="F264" s="218">
        <v>263</v>
      </c>
      <c r="G264" s="85" t="s">
        <v>161</v>
      </c>
      <c r="H264" s="85" t="s">
        <v>189</v>
      </c>
      <c r="I264" s="2" t="s">
        <v>601</v>
      </c>
      <c r="J264" s="85" t="s">
        <v>258</v>
      </c>
      <c r="K264" s="85">
        <v>334</v>
      </c>
      <c r="L264" s="59" t="s">
        <v>265</v>
      </c>
      <c r="M264" s="82"/>
    </row>
    <row r="265" spans="6:13" hidden="1" x14ac:dyDescent="0.4">
      <c r="F265" s="212">
        <v>264</v>
      </c>
      <c r="G265" s="85" t="s">
        <v>253</v>
      </c>
      <c r="H265" s="85" t="s">
        <v>188</v>
      </c>
      <c r="I265" s="2" t="s">
        <v>627</v>
      </c>
      <c r="J265" s="85" t="s">
        <v>258</v>
      </c>
      <c r="K265" s="85">
        <v>242</v>
      </c>
      <c r="L265" s="59" t="s">
        <v>270</v>
      </c>
      <c r="M265" s="82"/>
    </row>
    <row r="266" spans="6:13" hidden="1" x14ac:dyDescent="0.4">
      <c r="F266" s="219">
        <v>265</v>
      </c>
      <c r="G266" s="85" t="s">
        <v>253</v>
      </c>
      <c r="H266" s="85" t="s">
        <v>248</v>
      </c>
      <c r="I266" s="70" t="s">
        <v>248</v>
      </c>
      <c r="J266" s="85" t="s">
        <v>258</v>
      </c>
      <c r="K266" s="85" t="s">
        <v>253</v>
      </c>
      <c r="L266" s="59" t="s">
        <v>265</v>
      </c>
      <c r="M266" s="70"/>
    </row>
    <row r="267" spans="6:13" hidden="1" x14ac:dyDescent="0.4">
      <c r="F267" s="216">
        <v>266</v>
      </c>
      <c r="G267" s="85" t="s">
        <v>253</v>
      </c>
      <c r="H267" s="85" t="s">
        <v>248</v>
      </c>
      <c r="I267" s="70" t="s">
        <v>248</v>
      </c>
      <c r="J267" s="85" t="s">
        <v>257</v>
      </c>
      <c r="K267" s="85" t="s">
        <v>253</v>
      </c>
      <c r="L267" s="59" t="s">
        <v>264</v>
      </c>
      <c r="M267" s="82"/>
    </row>
    <row r="268" spans="6:13" hidden="1" x14ac:dyDescent="0.4">
      <c r="F268" s="216">
        <v>267</v>
      </c>
      <c r="G268" s="85" t="s">
        <v>253</v>
      </c>
      <c r="H268" s="85" t="s">
        <v>248</v>
      </c>
      <c r="I268" s="70" t="s">
        <v>248</v>
      </c>
      <c r="J268" s="85" t="s">
        <v>258</v>
      </c>
      <c r="K268" s="85" t="s">
        <v>253</v>
      </c>
      <c r="L268" s="59" t="s">
        <v>269</v>
      </c>
      <c r="M268" s="70"/>
    </row>
    <row r="269" spans="6:13" x14ac:dyDescent="0.4">
      <c r="F269" s="218">
        <v>268</v>
      </c>
      <c r="G269" s="85" t="s">
        <v>161</v>
      </c>
      <c r="H269" s="85" t="s">
        <v>186</v>
      </c>
      <c r="I269" s="2" t="s">
        <v>607</v>
      </c>
      <c r="J269" s="85" t="s">
        <v>257</v>
      </c>
      <c r="K269" s="85">
        <v>1089</v>
      </c>
      <c r="L269" s="59" t="s">
        <v>266</v>
      </c>
      <c r="M269" s="82"/>
    </row>
    <row r="270" spans="6:13" hidden="1" x14ac:dyDescent="0.4">
      <c r="F270" s="212">
        <v>269</v>
      </c>
      <c r="G270" s="85" t="s">
        <v>161</v>
      </c>
      <c r="H270" s="85" t="s">
        <v>186</v>
      </c>
      <c r="I270" s="2" t="s">
        <v>623</v>
      </c>
      <c r="J270" s="85" t="s">
        <v>258</v>
      </c>
      <c r="K270" s="85">
        <v>275</v>
      </c>
      <c r="L270" s="59" t="s">
        <v>269</v>
      </c>
      <c r="M270" s="2"/>
    </row>
    <row r="271" spans="6:13" hidden="1" x14ac:dyDescent="0.4">
      <c r="F271" s="212">
        <v>270</v>
      </c>
      <c r="G271" s="85" t="s">
        <v>161</v>
      </c>
      <c r="H271" s="85" t="s">
        <v>189</v>
      </c>
      <c r="I271" s="82" t="s">
        <v>625</v>
      </c>
      <c r="J271" s="85" t="s">
        <v>257</v>
      </c>
      <c r="K271" s="85">
        <v>1168</v>
      </c>
      <c r="L271" s="59" t="s">
        <v>264</v>
      </c>
      <c r="M271" s="2"/>
    </row>
    <row r="272" spans="6:13" hidden="1" x14ac:dyDescent="0.4">
      <c r="F272" s="212">
        <v>271</v>
      </c>
      <c r="G272" s="85" t="s">
        <v>161</v>
      </c>
      <c r="H272" s="85" t="s">
        <v>188</v>
      </c>
      <c r="I272" s="2" t="s">
        <v>607</v>
      </c>
      <c r="J272" s="85" t="s">
        <v>257</v>
      </c>
      <c r="K272" s="85">
        <v>1168</v>
      </c>
      <c r="L272" s="59" t="s">
        <v>264</v>
      </c>
      <c r="M272" s="2"/>
    </row>
    <row r="273" spans="6:13" hidden="1" x14ac:dyDescent="0.4">
      <c r="F273" s="212">
        <v>272</v>
      </c>
      <c r="G273" s="85" t="s">
        <v>161</v>
      </c>
      <c r="H273" s="85" t="s">
        <v>189</v>
      </c>
      <c r="I273" s="82" t="s">
        <v>625</v>
      </c>
      <c r="J273" s="85" t="s">
        <v>258</v>
      </c>
      <c r="K273" s="85">
        <v>364</v>
      </c>
      <c r="L273" s="59" t="s">
        <v>265</v>
      </c>
      <c r="M273" s="2"/>
    </row>
    <row r="274" spans="6:13" hidden="1" x14ac:dyDescent="0.4">
      <c r="F274" s="212">
        <v>273</v>
      </c>
      <c r="G274" s="85" t="s">
        <v>161</v>
      </c>
      <c r="H274" s="85" t="s">
        <v>189</v>
      </c>
      <c r="I274" s="2" t="s">
        <v>624</v>
      </c>
      <c r="J274" s="85" t="s">
        <v>258</v>
      </c>
      <c r="K274" s="85">
        <v>365</v>
      </c>
      <c r="L274" s="59" t="s">
        <v>265</v>
      </c>
      <c r="M274" s="2" t="s">
        <v>300</v>
      </c>
    </row>
    <row r="275" spans="6:13" hidden="1" x14ac:dyDescent="0.4">
      <c r="F275" s="216">
        <v>274</v>
      </c>
      <c r="G275" s="85" t="s">
        <v>253</v>
      </c>
      <c r="H275" s="85" t="s">
        <v>248</v>
      </c>
      <c r="I275" s="70" t="s">
        <v>248</v>
      </c>
      <c r="J275" s="85" t="s">
        <v>188</v>
      </c>
      <c r="K275" s="85" t="s">
        <v>253</v>
      </c>
      <c r="L275" s="59" t="s">
        <v>268</v>
      </c>
      <c r="M275" s="70"/>
    </row>
    <row r="276" spans="6:13" hidden="1" x14ac:dyDescent="0.4">
      <c r="F276" s="212">
        <v>275</v>
      </c>
      <c r="G276" s="85" t="s">
        <v>161</v>
      </c>
      <c r="H276" s="85" t="s">
        <v>189</v>
      </c>
      <c r="I276" s="2" t="s">
        <v>624</v>
      </c>
      <c r="J276" s="85" t="s">
        <v>258</v>
      </c>
      <c r="K276" s="85">
        <v>365</v>
      </c>
      <c r="L276" s="59" t="s">
        <v>265</v>
      </c>
      <c r="M276" s="2" t="s">
        <v>300</v>
      </c>
    </row>
    <row r="277" spans="6:13" hidden="1" x14ac:dyDescent="0.4">
      <c r="F277" s="212">
        <v>276</v>
      </c>
      <c r="G277" s="85" t="s">
        <v>161</v>
      </c>
      <c r="H277" s="85" t="s">
        <v>188</v>
      </c>
      <c r="I277" s="82" t="s">
        <v>605</v>
      </c>
      <c r="J277" s="85" t="s">
        <v>257</v>
      </c>
      <c r="K277" s="85">
        <v>1021</v>
      </c>
      <c r="L277" s="59" t="s">
        <v>262</v>
      </c>
      <c r="M277" s="82"/>
    </row>
    <row r="278" spans="6:13" x14ac:dyDescent="0.4">
      <c r="F278" s="212">
        <v>277</v>
      </c>
      <c r="G278" s="85" t="s">
        <v>161</v>
      </c>
      <c r="H278" s="85" t="s">
        <v>186</v>
      </c>
      <c r="I278" s="2" t="s">
        <v>607</v>
      </c>
      <c r="J278" s="85" t="s">
        <v>257</v>
      </c>
      <c r="K278" s="85">
        <v>912</v>
      </c>
      <c r="L278" s="59" t="s">
        <v>262</v>
      </c>
      <c r="M278" s="82"/>
    </row>
    <row r="279" spans="6:13" hidden="1" x14ac:dyDescent="0.4">
      <c r="F279" s="212">
        <v>278</v>
      </c>
      <c r="G279" s="85" t="s">
        <v>161</v>
      </c>
      <c r="H279" s="85" t="s">
        <v>188</v>
      </c>
      <c r="I279" s="82" t="s">
        <v>607</v>
      </c>
      <c r="J279" s="85" t="s">
        <v>258</v>
      </c>
      <c r="K279" s="85">
        <v>216</v>
      </c>
      <c r="L279" s="59" t="s">
        <v>270</v>
      </c>
      <c r="M279" s="82"/>
    </row>
    <row r="280" spans="6:13" hidden="1" x14ac:dyDescent="0.4">
      <c r="F280" s="212">
        <v>279</v>
      </c>
      <c r="G280" s="85" t="s">
        <v>161</v>
      </c>
      <c r="H280" s="85" t="s">
        <v>189</v>
      </c>
      <c r="I280" s="2" t="s">
        <v>624</v>
      </c>
      <c r="J280" s="85" t="s">
        <v>258</v>
      </c>
      <c r="K280" s="85">
        <v>185</v>
      </c>
      <c r="L280" s="59" t="s">
        <v>270</v>
      </c>
      <c r="M280" s="2" t="s">
        <v>300</v>
      </c>
    </row>
    <row r="281" spans="6:13" hidden="1" x14ac:dyDescent="0.4">
      <c r="F281" s="212">
        <v>280</v>
      </c>
      <c r="G281" s="85" t="s">
        <v>161</v>
      </c>
      <c r="H281" s="85" t="s">
        <v>185</v>
      </c>
      <c r="I281" s="2" t="s">
        <v>599</v>
      </c>
      <c r="J281" s="85" t="s">
        <v>258</v>
      </c>
      <c r="K281" s="85">
        <v>338</v>
      </c>
      <c r="L281" s="59" t="s">
        <v>265</v>
      </c>
      <c r="M281" s="82"/>
    </row>
    <row r="282" spans="6:13" hidden="1" x14ac:dyDescent="0.4">
      <c r="F282" s="212">
        <v>281</v>
      </c>
      <c r="G282" s="85" t="s">
        <v>161</v>
      </c>
      <c r="H282" s="85" t="s">
        <v>188</v>
      </c>
      <c r="I282" s="2" t="s">
        <v>624</v>
      </c>
      <c r="J282" s="85" t="s">
        <v>258</v>
      </c>
      <c r="K282" s="85">
        <v>366</v>
      </c>
      <c r="L282" s="59" t="s">
        <v>265</v>
      </c>
      <c r="M282" s="82"/>
    </row>
    <row r="283" spans="6:13" hidden="1" x14ac:dyDescent="0.4">
      <c r="F283" s="212">
        <v>282</v>
      </c>
      <c r="G283" s="85" t="s">
        <v>161</v>
      </c>
      <c r="H283" s="85" t="s">
        <v>188</v>
      </c>
      <c r="I283" s="82" t="s">
        <v>603</v>
      </c>
      <c r="J283" s="85" t="s">
        <v>188</v>
      </c>
      <c r="K283" s="85" t="s">
        <v>253</v>
      </c>
      <c r="L283" s="59" t="s">
        <v>263</v>
      </c>
      <c r="M283" s="82"/>
    </row>
    <row r="284" spans="6:13" x14ac:dyDescent="0.4">
      <c r="F284" s="212">
        <v>283</v>
      </c>
      <c r="G284" s="85" t="s">
        <v>161</v>
      </c>
      <c r="H284" s="85" t="s">
        <v>186</v>
      </c>
      <c r="I284" s="82" t="s">
        <v>607</v>
      </c>
      <c r="J284" s="85" t="s">
        <v>258</v>
      </c>
      <c r="K284" s="85">
        <v>398</v>
      </c>
      <c r="L284" s="59" t="s">
        <v>265</v>
      </c>
      <c r="M284" s="82"/>
    </row>
    <row r="285" spans="6:13" hidden="1" x14ac:dyDescent="0.4">
      <c r="F285" s="218">
        <v>284</v>
      </c>
      <c r="G285" s="85" t="s">
        <v>253</v>
      </c>
      <c r="H285" s="85" t="s">
        <v>188</v>
      </c>
      <c r="I285" s="82" t="s">
        <v>615</v>
      </c>
      <c r="J285" s="85" t="s">
        <v>257</v>
      </c>
      <c r="K285" s="85">
        <v>1172</v>
      </c>
      <c r="L285" s="59" t="s">
        <v>264</v>
      </c>
      <c r="M285" s="82"/>
    </row>
    <row r="286" spans="6:13" hidden="1" x14ac:dyDescent="0.4">
      <c r="F286" s="218">
        <v>285</v>
      </c>
      <c r="G286" s="85" t="s">
        <v>161</v>
      </c>
      <c r="H286" s="85" t="s">
        <v>189</v>
      </c>
      <c r="I286" s="2" t="s">
        <v>607</v>
      </c>
      <c r="J286" s="85" t="s">
        <v>257</v>
      </c>
      <c r="K286" s="85">
        <v>997</v>
      </c>
      <c r="L286" s="59" t="s">
        <v>262</v>
      </c>
      <c r="M286" s="3" t="s">
        <v>294</v>
      </c>
    </row>
    <row r="287" spans="6:13" hidden="1" x14ac:dyDescent="0.4">
      <c r="F287" s="218">
        <v>286</v>
      </c>
      <c r="G287" s="85" t="s">
        <v>161</v>
      </c>
      <c r="H287" s="85" t="s">
        <v>188</v>
      </c>
      <c r="I287" s="82" t="s">
        <v>611</v>
      </c>
      <c r="J287" s="85" t="s">
        <v>258</v>
      </c>
      <c r="K287" s="85">
        <v>340</v>
      </c>
      <c r="L287" s="59" t="s">
        <v>265</v>
      </c>
      <c r="M287" s="82"/>
    </row>
    <row r="288" spans="6:13" hidden="1" x14ac:dyDescent="0.4">
      <c r="F288" s="218">
        <v>287</v>
      </c>
      <c r="G288" s="85" t="s">
        <v>254</v>
      </c>
      <c r="H288" s="85" t="s">
        <v>188</v>
      </c>
      <c r="I288" s="2" t="s">
        <v>602</v>
      </c>
      <c r="J288" s="85" t="s">
        <v>258</v>
      </c>
      <c r="K288" s="85">
        <v>340</v>
      </c>
      <c r="L288" s="59" t="s">
        <v>265</v>
      </c>
      <c r="M288" s="82"/>
    </row>
    <row r="289" spans="6:13" hidden="1" x14ac:dyDescent="0.4">
      <c r="F289" s="218">
        <v>288</v>
      </c>
      <c r="G289" s="85" t="s">
        <v>161</v>
      </c>
      <c r="H289" s="85" t="s">
        <v>188</v>
      </c>
      <c r="I289" s="82" t="s">
        <v>605</v>
      </c>
      <c r="J289" s="85" t="s">
        <v>258</v>
      </c>
      <c r="K289" s="85">
        <v>401</v>
      </c>
      <c r="L289" s="59" t="s">
        <v>265</v>
      </c>
      <c r="M289" s="82"/>
    </row>
    <row r="290" spans="6:13" hidden="1" x14ac:dyDescent="0.4">
      <c r="F290" s="219">
        <v>289</v>
      </c>
      <c r="G290" s="85" t="s">
        <v>253</v>
      </c>
      <c r="H290" s="85" t="s">
        <v>248</v>
      </c>
      <c r="I290" s="70" t="s">
        <v>248</v>
      </c>
      <c r="J290" s="85" t="s">
        <v>258</v>
      </c>
      <c r="K290" s="85" t="s">
        <v>253</v>
      </c>
      <c r="L290" s="59" t="s">
        <v>265</v>
      </c>
      <c r="M290" s="69"/>
    </row>
    <row r="291" spans="6:13" hidden="1" x14ac:dyDescent="0.4">
      <c r="F291" s="218">
        <v>290</v>
      </c>
      <c r="G291" s="85" t="s">
        <v>161</v>
      </c>
      <c r="H291" s="85" t="s">
        <v>189</v>
      </c>
      <c r="I291" s="2" t="s">
        <v>599</v>
      </c>
      <c r="J291" s="85" t="s">
        <v>257</v>
      </c>
      <c r="K291" s="85">
        <v>1022</v>
      </c>
      <c r="L291" s="59" t="s">
        <v>262</v>
      </c>
      <c r="M291" s="2" t="s">
        <v>296</v>
      </c>
    </row>
    <row r="292" spans="6:13" hidden="1" x14ac:dyDescent="0.4">
      <c r="F292" s="218">
        <v>291</v>
      </c>
      <c r="G292" s="85" t="s">
        <v>161</v>
      </c>
      <c r="H292" s="85" t="s">
        <v>189</v>
      </c>
      <c r="I292" s="2" t="s">
        <v>606</v>
      </c>
      <c r="J292" s="85" t="s">
        <v>257</v>
      </c>
      <c r="K292" s="85">
        <v>1093</v>
      </c>
      <c r="L292" s="59" t="s">
        <v>266</v>
      </c>
      <c r="M292" s="82"/>
    </row>
    <row r="293" spans="6:13" hidden="1" x14ac:dyDescent="0.4">
      <c r="F293" s="219">
        <v>292</v>
      </c>
      <c r="G293" s="85" t="s">
        <v>253</v>
      </c>
      <c r="H293" s="85" t="s">
        <v>248</v>
      </c>
      <c r="I293" s="70" t="s">
        <v>248</v>
      </c>
      <c r="J293" s="85" t="s">
        <v>258</v>
      </c>
      <c r="K293" s="85" t="s">
        <v>253</v>
      </c>
      <c r="L293" s="59" t="s">
        <v>265</v>
      </c>
      <c r="M293" s="69"/>
    </row>
    <row r="294" spans="6:13" hidden="1" x14ac:dyDescent="0.4">
      <c r="F294" s="218">
        <v>293</v>
      </c>
      <c r="G294" s="85" t="s">
        <v>161</v>
      </c>
      <c r="H294" s="85" t="s">
        <v>186</v>
      </c>
      <c r="I294" s="2" t="s">
        <v>628</v>
      </c>
      <c r="J294" s="85" t="s">
        <v>258</v>
      </c>
      <c r="K294" s="85">
        <v>129</v>
      </c>
      <c r="L294" s="59" t="s">
        <v>269</v>
      </c>
      <c r="M294" s="2"/>
    </row>
    <row r="295" spans="6:13" x14ac:dyDescent="0.4">
      <c r="F295" s="218">
        <v>294</v>
      </c>
      <c r="G295" s="85" t="s">
        <v>161</v>
      </c>
      <c r="H295" s="85" t="s">
        <v>186</v>
      </c>
      <c r="I295" s="2" t="s">
        <v>607</v>
      </c>
      <c r="J295" s="85" t="s">
        <v>257</v>
      </c>
      <c r="K295" s="85">
        <v>1166</v>
      </c>
      <c r="L295" s="59" t="s">
        <v>264</v>
      </c>
      <c r="M295" s="2"/>
    </row>
    <row r="296" spans="6:13" hidden="1" x14ac:dyDescent="0.4">
      <c r="F296" s="218">
        <v>295</v>
      </c>
      <c r="G296" s="85" t="s">
        <v>161</v>
      </c>
      <c r="H296" s="85" t="s">
        <v>185</v>
      </c>
      <c r="I296" s="2" t="s">
        <v>601</v>
      </c>
      <c r="J296" s="85" t="s">
        <v>257</v>
      </c>
      <c r="K296" s="85">
        <v>1027</v>
      </c>
      <c r="L296" s="59" t="s">
        <v>262</v>
      </c>
      <c r="M296" s="2"/>
    </row>
    <row r="297" spans="6:13" hidden="1" x14ac:dyDescent="0.4">
      <c r="F297" s="218">
        <v>296</v>
      </c>
      <c r="G297" s="85" t="s">
        <v>161</v>
      </c>
      <c r="H297" s="85" t="s">
        <v>188</v>
      </c>
      <c r="I297" s="2" t="s">
        <v>607</v>
      </c>
      <c r="J297" s="85" t="s">
        <v>257</v>
      </c>
      <c r="K297" s="85">
        <v>991</v>
      </c>
      <c r="L297" s="59" t="s">
        <v>262</v>
      </c>
      <c r="M297" s="2"/>
    </row>
    <row r="298" spans="6:13" hidden="1" x14ac:dyDescent="0.4">
      <c r="F298" s="218">
        <v>297</v>
      </c>
      <c r="G298" s="85" t="s">
        <v>161</v>
      </c>
      <c r="H298" s="85" t="s">
        <v>188</v>
      </c>
      <c r="I298" s="2" t="s">
        <v>608</v>
      </c>
      <c r="J298" s="85" t="s">
        <v>258</v>
      </c>
      <c r="K298" s="85">
        <v>252</v>
      </c>
      <c r="L298" s="59" t="s">
        <v>270</v>
      </c>
      <c r="M298" s="2" t="s">
        <v>301</v>
      </c>
    </row>
    <row r="299" spans="6:13" hidden="1" x14ac:dyDescent="0.4">
      <c r="F299" s="218">
        <v>298</v>
      </c>
      <c r="G299" s="85" t="s">
        <v>253</v>
      </c>
      <c r="H299" s="85" t="s">
        <v>188</v>
      </c>
      <c r="I299" s="2" t="s">
        <v>601</v>
      </c>
      <c r="J299" s="85" t="s">
        <v>258</v>
      </c>
      <c r="K299" s="85">
        <v>191</v>
      </c>
      <c r="L299" s="59" t="s">
        <v>269</v>
      </c>
      <c r="M299" s="2"/>
    </row>
    <row r="300" spans="6:13" hidden="1" x14ac:dyDescent="0.4">
      <c r="F300" s="219">
        <v>299</v>
      </c>
      <c r="G300" s="85" t="s">
        <v>253</v>
      </c>
      <c r="H300" s="85" t="s">
        <v>248</v>
      </c>
      <c r="I300" s="70" t="s">
        <v>248</v>
      </c>
      <c r="J300" s="85" t="s">
        <v>188</v>
      </c>
      <c r="K300" s="85" t="s">
        <v>253</v>
      </c>
      <c r="L300" s="59" t="s">
        <v>268</v>
      </c>
      <c r="M300" s="70"/>
    </row>
    <row r="301" spans="6:13" hidden="1" x14ac:dyDescent="0.4">
      <c r="F301" s="218">
        <v>300</v>
      </c>
      <c r="G301" s="85" t="s">
        <v>161</v>
      </c>
      <c r="H301" s="85" t="s">
        <v>189</v>
      </c>
      <c r="I301" s="2" t="s">
        <v>624</v>
      </c>
      <c r="J301" s="85" t="s">
        <v>258</v>
      </c>
      <c r="K301" s="85">
        <v>373</v>
      </c>
      <c r="L301" s="59" t="s">
        <v>265</v>
      </c>
      <c r="M301" s="2" t="s">
        <v>300</v>
      </c>
    </row>
    <row r="302" spans="6:13" hidden="1" x14ac:dyDescent="0.4">
      <c r="F302" s="218">
        <v>301</v>
      </c>
      <c r="G302" s="85" t="s">
        <v>253</v>
      </c>
      <c r="H302" s="85" t="s">
        <v>188</v>
      </c>
      <c r="I302" s="2" t="s">
        <v>627</v>
      </c>
      <c r="J302" s="85" t="s">
        <v>257</v>
      </c>
      <c r="K302" s="85">
        <v>1168</v>
      </c>
      <c r="L302" s="59" t="s">
        <v>264</v>
      </c>
      <c r="M302" s="2"/>
    </row>
    <row r="303" spans="6:13" hidden="1" x14ac:dyDescent="0.4">
      <c r="F303" s="218">
        <v>302</v>
      </c>
      <c r="G303" s="85" t="s">
        <v>161</v>
      </c>
      <c r="H303" s="85" t="s">
        <v>188</v>
      </c>
      <c r="I303" s="2" t="s">
        <v>603</v>
      </c>
      <c r="J303" s="85" t="s">
        <v>258</v>
      </c>
      <c r="K303" s="85">
        <v>373</v>
      </c>
      <c r="L303" s="59" t="s">
        <v>265</v>
      </c>
      <c r="M303" s="2" t="s">
        <v>304</v>
      </c>
    </row>
    <row r="304" spans="6:13" hidden="1" x14ac:dyDescent="0.4">
      <c r="F304" s="218">
        <v>303</v>
      </c>
      <c r="G304" s="85" t="s">
        <v>161</v>
      </c>
      <c r="H304" s="85" t="s">
        <v>188</v>
      </c>
      <c r="I304" s="2" t="s">
        <v>604</v>
      </c>
      <c r="J304" s="85" t="s">
        <v>258</v>
      </c>
      <c r="K304" s="85">
        <v>374</v>
      </c>
      <c r="L304" s="59" t="s">
        <v>265</v>
      </c>
      <c r="M304" s="2"/>
    </row>
    <row r="305" spans="6:13" hidden="1" x14ac:dyDescent="0.4">
      <c r="F305" s="218">
        <v>304</v>
      </c>
      <c r="G305" s="85" t="s">
        <v>161</v>
      </c>
      <c r="H305" s="85" t="s">
        <v>188</v>
      </c>
      <c r="I305" s="2" t="s">
        <v>605</v>
      </c>
      <c r="J305" s="85" t="s">
        <v>257</v>
      </c>
      <c r="K305" s="85">
        <v>1042</v>
      </c>
      <c r="L305" s="59" t="s">
        <v>262</v>
      </c>
      <c r="M305" s="2"/>
    </row>
    <row r="306" spans="6:13" ht="21.6" hidden="1" x14ac:dyDescent="0.4">
      <c r="F306" s="218">
        <v>305</v>
      </c>
      <c r="G306" s="85" t="s">
        <v>161</v>
      </c>
      <c r="H306" s="85" t="s">
        <v>189</v>
      </c>
      <c r="I306" s="2" t="s">
        <v>602</v>
      </c>
      <c r="J306" s="85" t="s">
        <v>258</v>
      </c>
      <c r="K306" s="85">
        <v>405</v>
      </c>
      <c r="L306" s="59" t="s">
        <v>265</v>
      </c>
      <c r="M306" s="3" t="s">
        <v>315</v>
      </c>
    </row>
    <row r="307" spans="6:13" hidden="1" x14ac:dyDescent="0.4">
      <c r="F307" s="218">
        <v>306</v>
      </c>
      <c r="G307" s="85" t="s">
        <v>161</v>
      </c>
      <c r="H307" s="85" t="s">
        <v>188</v>
      </c>
      <c r="I307" s="2" t="s">
        <v>603</v>
      </c>
      <c r="J307" s="85" t="s">
        <v>258</v>
      </c>
      <c r="K307" s="85">
        <v>405</v>
      </c>
      <c r="L307" s="59" t="s">
        <v>265</v>
      </c>
      <c r="M307" s="2" t="s">
        <v>304</v>
      </c>
    </row>
    <row r="308" spans="6:13" hidden="1" x14ac:dyDescent="0.4">
      <c r="F308" s="219">
        <v>307</v>
      </c>
      <c r="G308" s="85" t="s">
        <v>253</v>
      </c>
      <c r="H308" s="85" t="s">
        <v>248</v>
      </c>
      <c r="I308" s="70" t="s">
        <v>248</v>
      </c>
      <c r="J308" s="85" t="s">
        <v>258</v>
      </c>
      <c r="K308" s="85" t="s">
        <v>253</v>
      </c>
      <c r="L308" s="59" t="s">
        <v>270</v>
      </c>
      <c r="M308" s="70"/>
    </row>
    <row r="309" spans="6:13" hidden="1" x14ac:dyDescent="0.4">
      <c r="F309" s="218">
        <v>308</v>
      </c>
      <c r="G309" s="85" t="s">
        <v>161</v>
      </c>
      <c r="H309" s="85" t="s">
        <v>185</v>
      </c>
      <c r="I309" s="2" t="s">
        <v>599</v>
      </c>
      <c r="J309" s="85" t="s">
        <v>257</v>
      </c>
      <c r="K309" s="85">
        <v>1029</v>
      </c>
      <c r="L309" s="59" t="s">
        <v>262</v>
      </c>
      <c r="M309" s="2"/>
    </row>
    <row r="310" spans="6:13" hidden="1" x14ac:dyDescent="0.4">
      <c r="F310" s="219">
        <v>309</v>
      </c>
      <c r="G310" s="85" t="s">
        <v>253</v>
      </c>
      <c r="H310" s="85" t="s">
        <v>248</v>
      </c>
      <c r="I310" s="70" t="s">
        <v>248</v>
      </c>
      <c r="J310" s="85" t="s">
        <v>257</v>
      </c>
      <c r="K310" s="85" t="s">
        <v>253</v>
      </c>
      <c r="L310" s="59" t="s">
        <v>266</v>
      </c>
      <c r="M310" s="70"/>
    </row>
    <row r="311" spans="6:13" hidden="1" x14ac:dyDescent="0.4">
      <c r="F311" s="218">
        <v>310</v>
      </c>
      <c r="G311" s="85" t="s">
        <v>161</v>
      </c>
      <c r="H311" s="85" t="s">
        <v>188</v>
      </c>
      <c r="I311" s="2" t="s">
        <v>607</v>
      </c>
      <c r="J311" s="85" t="s">
        <v>257</v>
      </c>
      <c r="K311" s="85">
        <v>1018</v>
      </c>
      <c r="L311" s="59" t="s">
        <v>262</v>
      </c>
      <c r="M311" s="2"/>
    </row>
    <row r="312" spans="6:13" hidden="1" x14ac:dyDescent="0.4">
      <c r="F312" s="218">
        <v>311</v>
      </c>
      <c r="G312" s="85" t="s">
        <v>161</v>
      </c>
      <c r="H312" s="85" t="s">
        <v>188</v>
      </c>
      <c r="I312" s="82" t="s">
        <v>618</v>
      </c>
      <c r="J312" s="85" t="s">
        <v>257</v>
      </c>
      <c r="K312" s="85">
        <v>921</v>
      </c>
      <c r="L312" s="59" t="s">
        <v>262</v>
      </c>
      <c r="M312" s="82"/>
    </row>
    <row r="313" spans="6:13" hidden="1" x14ac:dyDescent="0.4">
      <c r="F313" s="218">
        <v>312</v>
      </c>
      <c r="G313" s="85" t="s">
        <v>161</v>
      </c>
      <c r="H313" s="85" t="s">
        <v>186</v>
      </c>
      <c r="I313" s="68" t="s">
        <v>602</v>
      </c>
      <c r="J313" s="85" t="s">
        <v>258</v>
      </c>
      <c r="K313" s="85">
        <v>194</v>
      </c>
      <c r="L313" s="59" t="s">
        <v>270</v>
      </c>
      <c r="M313" s="2" t="s">
        <v>302</v>
      </c>
    </row>
    <row r="314" spans="6:13" hidden="1" x14ac:dyDescent="0.4">
      <c r="F314" s="218">
        <v>313</v>
      </c>
      <c r="G314" s="85" t="s">
        <v>161</v>
      </c>
      <c r="H314" s="85" t="s">
        <v>189</v>
      </c>
      <c r="I314" s="2" t="s">
        <v>624</v>
      </c>
      <c r="J314" s="85" t="s">
        <v>258</v>
      </c>
      <c r="K314" s="85">
        <v>194</v>
      </c>
      <c r="L314" s="59" t="s">
        <v>270</v>
      </c>
      <c r="M314" s="82"/>
    </row>
    <row r="315" spans="6:13" hidden="1" x14ac:dyDescent="0.4">
      <c r="F315" s="218">
        <v>314</v>
      </c>
      <c r="G315" s="85" t="s">
        <v>161</v>
      </c>
      <c r="H315" s="85" t="s">
        <v>189</v>
      </c>
      <c r="I315" s="2" t="s">
        <v>607</v>
      </c>
      <c r="J315" s="85" t="s">
        <v>257</v>
      </c>
      <c r="K315" s="85">
        <v>1099</v>
      </c>
      <c r="L315" s="59" t="s">
        <v>266</v>
      </c>
      <c r="M315" s="3" t="s">
        <v>294</v>
      </c>
    </row>
    <row r="316" spans="6:13" hidden="1" x14ac:dyDescent="0.4">
      <c r="F316" s="219">
        <v>315</v>
      </c>
      <c r="G316" s="85" t="s">
        <v>253</v>
      </c>
      <c r="H316" s="85" t="s">
        <v>248</v>
      </c>
      <c r="I316" s="70" t="s">
        <v>248</v>
      </c>
      <c r="J316" s="85" t="s">
        <v>257</v>
      </c>
      <c r="K316" s="85" t="s">
        <v>253</v>
      </c>
      <c r="L316" s="59" t="s">
        <v>262</v>
      </c>
      <c r="M316" s="70"/>
    </row>
    <row r="317" spans="6:13" x14ac:dyDescent="0.4">
      <c r="F317" s="218">
        <v>316</v>
      </c>
      <c r="G317" s="85" t="s">
        <v>161</v>
      </c>
      <c r="H317" s="85" t="s">
        <v>186</v>
      </c>
      <c r="I317" s="82" t="s">
        <v>607</v>
      </c>
      <c r="J317" s="85" t="s">
        <v>258</v>
      </c>
      <c r="K317" s="85">
        <v>316</v>
      </c>
      <c r="L317" s="59" t="s">
        <v>270</v>
      </c>
      <c r="M317" s="82"/>
    </row>
    <row r="318" spans="6:13" hidden="1" x14ac:dyDescent="0.4">
      <c r="F318" s="218">
        <v>317</v>
      </c>
      <c r="G318" s="85" t="s">
        <v>161</v>
      </c>
      <c r="H318" s="85" t="s">
        <v>188</v>
      </c>
      <c r="I318" s="2" t="s">
        <v>624</v>
      </c>
      <c r="J318" s="85" t="s">
        <v>258</v>
      </c>
      <c r="K318" s="85">
        <v>375</v>
      </c>
      <c r="L318" s="59" t="s">
        <v>265</v>
      </c>
      <c r="M318" s="82"/>
    </row>
    <row r="319" spans="6:13" hidden="1" x14ac:dyDescent="0.4">
      <c r="F319" s="218">
        <v>318</v>
      </c>
      <c r="G319" s="85" t="s">
        <v>161</v>
      </c>
      <c r="H319" s="85" t="s">
        <v>188</v>
      </c>
      <c r="I319" s="82" t="s">
        <v>607</v>
      </c>
      <c r="J319" s="85" t="s">
        <v>257</v>
      </c>
      <c r="K319" s="85">
        <v>995</v>
      </c>
      <c r="L319" s="59" t="s">
        <v>262</v>
      </c>
      <c r="M319" s="82"/>
    </row>
    <row r="320" spans="6:13" hidden="1" x14ac:dyDescent="0.4">
      <c r="F320" s="218">
        <v>319</v>
      </c>
      <c r="G320" s="85" t="s">
        <v>161</v>
      </c>
      <c r="H320" s="85" t="s">
        <v>186</v>
      </c>
      <c r="I320" s="2" t="s">
        <v>623</v>
      </c>
      <c r="J320" s="85" t="s">
        <v>258</v>
      </c>
      <c r="K320" s="85">
        <v>375</v>
      </c>
      <c r="L320" s="59" t="s">
        <v>265</v>
      </c>
      <c r="M320" s="82"/>
    </row>
    <row r="321" spans="6:13" hidden="1" x14ac:dyDescent="0.4">
      <c r="F321" s="219">
        <v>320</v>
      </c>
      <c r="G321" s="85" t="s">
        <v>253</v>
      </c>
      <c r="H321" s="85" t="s">
        <v>248</v>
      </c>
      <c r="I321" s="70" t="s">
        <v>248</v>
      </c>
      <c r="J321" s="85" t="s">
        <v>258</v>
      </c>
      <c r="K321" s="85" t="s">
        <v>253</v>
      </c>
      <c r="L321" s="59" t="s">
        <v>265</v>
      </c>
      <c r="M321" s="69"/>
    </row>
    <row r="322" spans="6:13" hidden="1" x14ac:dyDescent="0.4">
      <c r="F322" s="218">
        <v>321</v>
      </c>
      <c r="G322" s="85" t="s">
        <v>254</v>
      </c>
      <c r="H322" s="85" t="s">
        <v>188</v>
      </c>
      <c r="I322" s="2" t="s">
        <v>601</v>
      </c>
      <c r="J322" s="85" t="s">
        <v>258</v>
      </c>
      <c r="K322" s="85">
        <v>350</v>
      </c>
      <c r="L322" s="59" t="s">
        <v>265</v>
      </c>
      <c r="M322" s="82"/>
    </row>
    <row r="323" spans="6:13" hidden="1" x14ac:dyDescent="0.4">
      <c r="F323" s="218">
        <v>322</v>
      </c>
      <c r="G323" s="85" t="s">
        <v>161</v>
      </c>
      <c r="H323" s="85" t="s">
        <v>187</v>
      </c>
      <c r="I323" s="82" t="s">
        <v>607</v>
      </c>
      <c r="J323" s="85" t="s">
        <v>257</v>
      </c>
      <c r="K323" s="85">
        <v>924</v>
      </c>
      <c r="L323" s="59" t="s">
        <v>262</v>
      </c>
      <c r="M323" s="82"/>
    </row>
    <row r="324" spans="6:13" hidden="1" x14ac:dyDescent="0.4">
      <c r="F324" s="218">
        <v>323</v>
      </c>
      <c r="G324" s="85" t="s">
        <v>254</v>
      </c>
      <c r="H324" s="85" t="s">
        <v>188</v>
      </c>
      <c r="I324" s="82" t="s">
        <v>602</v>
      </c>
      <c r="J324" s="85" t="s">
        <v>258</v>
      </c>
      <c r="K324" s="85">
        <v>228</v>
      </c>
      <c r="L324" s="59" t="s">
        <v>270</v>
      </c>
      <c r="M324" s="82"/>
    </row>
    <row r="325" spans="6:13" hidden="1" x14ac:dyDescent="0.4">
      <c r="F325" s="218">
        <v>324</v>
      </c>
      <c r="G325" s="85" t="s">
        <v>161</v>
      </c>
      <c r="H325" s="85" t="s">
        <v>186</v>
      </c>
      <c r="I325" s="2" t="s">
        <v>623</v>
      </c>
      <c r="J325" s="85" t="s">
        <v>258</v>
      </c>
      <c r="K325" s="85">
        <v>166</v>
      </c>
      <c r="L325" s="59" t="s">
        <v>269</v>
      </c>
      <c r="M325" s="82"/>
    </row>
    <row r="326" spans="6:13" hidden="1" x14ac:dyDescent="0.4">
      <c r="F326" s="218">
        <v>325</v>
      </c>
      <c r="G326" s="85" t="s">
        <v>161</v>
      </c>
      <c r="H326" s="85" t="s">
        <v>188</v>
      </c>
      <c r="I326" s="2" t="s">
        <v>604</v>
      </c>
      <c r="J326" s="85" t="s">
        <v>258</v>
      </c>
      <c r="K326" s="85">
        <v>379</v>
      </c>
      <c r="L326" s="59" t="s">
        <v>265</v>
      </c>
      <c r="M326" s="2"/>
    </row>
    <row r="327" spans="6:13" hidden="1" x14ac:dyDescent="0.4">
      <c r="F327" s="219">
        <v>326</v>
      </c>
      <c r="G327" s="85" t="s">
        <v>253</v>
      </c>
      <c r="H327" s="85" t="s">
        <v>248</v>
      </c>
      <c r="I327" s="70" t="s">
        <v>248</v>
      </c>
      <c r="J327" s="85" t="s">
        <v>257</v>
      </c>
      <c r="K327" s="85" t="s">
        <v>253</v>
      </c>
      <c r="L327" s="59" t="s">
        <v>264</v>
      </c>
      <c r="M327" s="2"/>
    </row>
    <row r="328" spans="6:13" hidden="1" x14ac:dyDescent="0.4">
      <c r="F328" s="218">
        <v>327</v>
      </c>
      <c r="G328" s="85" t="s">
        <v>161</v>
      </c>
      <c r="H328" s="85" t="s">
        <v>188</v>
      </c>
      <c r="I328" s="2" t="s">
        <v>606</v>
      </c>
      <c r="J328" s="85" t="s">
        <v>257</v>
      </c>
      <c r="K328" s="85">
        <v>1035</v>
      </c>
      <c r="L328" s="59" t="s">
        <v>262</v>
      </c>
      <c r="M328" s="2"/>
    </row>
    <row r="329" spans="6:13" hidden="1" x14ac:dyDescent="0.4">
      <c r="F329" s="219">
        <v>328</v>
      </c>
      <c r="G329" s="85" t="s">
        <v>253</v>
      </c>
      <c r="H329" s="85" t="s">
        <v>248</v>
      </c>
      <c r="I329" s="70" t="s">
        <v>248</v>
      </c>
      <c r="J329" s="85" t="s">
        <v>257</v>
      </c>
      <c r="K329" s="85" t="s">
        <v>253</v>
      </c>
      <c r="L329" s="59" t="s">
        <v>262</v>
      </c>
      <c r="M329" s="69"/>
    </row>
    <row r="330" spans="6:13" hidden="1" x14ac:dyDescent="0.4">
      <c r="F330" s="212">
        <v>329</v>
      </c>
      <c r="G330" s="85" t="s">
        <v>161</v>
      </c>
      <c r="H330" s="85" t="s">
        <v>185</v>
      </c>
      <c r="I330" s="2" t="s">
        <v>599</v>
      </c>
      <c r="J330" s="85" t="s">
        <v>257</v>
      </c>
      <c r="K330" s="85">
        <v>1036</v>
      </c>
      <c r="L330" s="59" t="s">
        <v>262</v>
      </c>
      <c r="M330" s="82"/>
    </row>
    <row r="331" spans="6:13" hidden="1" x14ac:dyDescent="0.4">
      <c r="F331" s="218">
        <v>330</v>
      </c>
      <c r="G331" s="85" t="s">
        <v>161</v>
      </c>
      <c r="H331" s="85" t="s">
        <v>185</v>
      </c>
      <c r="I331" s="82" t="s">
        <v>610</v>
      </c>
      <c r="J331" s="85" t="s">
        <v>257</v>
      </c>
      <c r="K331" s="85">
        <v>1011</v>
      </c>
      <c r="L331" s="59" t="s">
        <v>262</v>
      </c>
      <c r="M331" s="82"/>
    </row>
    <row r="332" spans="6:13" hidden="1" x14ac:dyDescent="0.4">
      <c r="F332" s="219">
        <v>331</v>
      </c>
      <c r="G332" s="85" t="s">
        <v>253</v>
      </c>
      <c r="H332" s="85" t="s">
        <v>248</v>
      </c>
      <c r="I332" s="70" t="s">
        <v>248</v>
      </c>
      <c r="J332" s="85" t="s">
        <v>258</v>
      </c>
      <c r="K332" s="85" t="s">
        <v>253</v>
      </c>
      <c r="L332" s="59" t="s">
        <v>270</v>
      </c>
      <c r="M332" s="69"/>
    </row>
    <row r="333" spans="6:13" hidden="1" x14ac:dyDescent="0.4">
      <c r="F333" s="219">
        <v>332</v>
      </c>
      <c r="G333" s="85" t="s">
        <v>253</v>
      </c>
      <c r="H333" s="85" t="s">
        <v>248</v>
      </c>
      <c r="I333" s="70" t="s">
        <v>248</v>
      </c>
      <c r="J333" s="85" t="s">
        <v>257</v>
      </c>
      <c r="K333" s="85" t="s">
        <v>253</v>
      </c>
      <c r="L333" s="59" t="s">
        <v>264</v>
      </c>
      <c r="M333" s="82"/>
    </row>
    <row r="334" spans="6:13" hidden="1" x14ac:dyDescent="0.4">
      <c r="F334" s="212">
        <v>333</v>
      </c>
      <c r="G334" s="85" t="s">
        <v>161</v>
      </c>
      <c r="H334" s="85" t="s">
        <v>189</v>
      </c>
      <c r="I334" s="2" t="s">
        <v>624</v>
      </c>
      <c r="J334" s="85" t="s">
        <v>258</v>
      </c>
      <c r="K334" s="85">
        <v>413</v>
      </c>
      <c r="L334" s="59" t="s">
        <v>265</v>
      </c>
      <c r="M334" s="2" t="s">
        <v>300</v>
      </c>
    </row>
    <row r="335" spans="6:13" hidden="1" x14ac:dyDescent="0.4">
      <c r="F335" s="218">
        <v>334</v>
      </c>
      <c r="G335" s="85" t="s">
        <v>161</v>
      </c>
      <c r="H335" s="85" t="s">
        <v>187</v>
      </c>
      <c r="I335" s="82" t="s">
        <v>610</v>
      </c>
      <c r="J335" s="85" t="s">
        <v>258</v>
      </c>
      <c r="K335" s="85">
        <v>141</v>
      </c>
      <c r="L335" s="59" t="s">
        <v>269</v>
      </c>
      <c r="M335" s="2"/>
    </row>
    <row r="336" spans="6:13" hidden="1" x14ac:dyDescent="0.4">
      <c r="F336" s="218">
        <v>335</v>
      </c>
      <c r="G336" s="85" t="s">
        <v>253</v>
      </c>
      <c r="H336" s="85" t="s">
        <v>188</v>
      </c>
      <c r="I336" s="82" t="s">
        <v>606</v>
      </c>
      <c r="J336" s="85" t="s">
        <v>258</v>
      </c>
      <c r="K336" s="85">
        <v>263</v>
      </c>
      <c r="L336" s="59" t="s">
        <v>270</v>
      </c>
      <c r="M336" s="82"/>
    </row>
    <row r="337" spans="6:13" hidden="1" x14ac:dyDescent="0.4">
      <c r="F337" s="218">
        <v>336</v>
      </c>
      <c r="G337" s="85" t="s">
        <v>254</v>
      </c>
      <c r="H337" s="85" t="s">
        <v>185</v>
      </c>
      <c r="I337" s="82" t="s">
        <v>614</v>
      </c>
      <c r="J337" s="85" t="s">
        <v>257</v>
      </c>
      <c r="K337" s="85">
        <v>1012</v>
      </c>
      <c r="L337" s="59" t="s">
        <v>262</v>
      </c>
      <c r="M337" s="82"/>
    </row>
    <row r="338" spans="6:13" hidden="1" x14ac:dyDescent="0.4">
      <c r="F338" s="212">
        <v>337</v>
      </c>
      <c r="G338" s="85" t="s">
        <v>161</v>
      </c>
      <c r="H338" s="85" t="s">
        <v>186</v>
      </c>
      <c r="I338" s="2" t="s">
        <v>623</v>
      </c>
      <c r="J338" s="85" t="s">
        <v>258</v>
      </c>
      <c r="K338" s="85">
        <v>294</v>
      </c>
      <c r="L338" s="59" t="s">
        <v>269</v>
      </c>
      <c r="M338" s="82"/>
    </row>
    <row r="339" spans="6:13" hidden="1" x14ac:dyDescent="0.4">
      <c r="F339" s="218">
        <v>338</v>
      </c>
      <c r="G339" s="85" t="s">
        <v>161</v>
      </c>
      <c r="H339" s="85" t="s">
        <v>188</v>
      </c>
      <c r="I339" s="82" t="s">
        <v>607</v>
      </c>
      <c r="J339" s="85" t="s">
        <v>258</v>
      </c>
      <c r="K339" s="85">
        <v>356</v>
      </c>
      <c r="L339" s="59" t="s">
        <v>265</v>
      </c>
      <c r="M339" s="2"/>
    </row>
    <row r="340" spans="6:13" hidden="1" x14ac:dyDescent="0.4">
      <c r="F340" s="218">
        <v>339</v>
      </c>
      <c r="G340" s="85" t="s">
        <v>161</v>
      </c>
      <c r="H340" s="85" t="s">
        <v>187</v>
      </c>
      <c r="I340" s="82" t="s">
        <v>624</v>
      </c>
      <c r="J340" s="85" t="s">
        <v>258</v>
      </c>
      <c r="K340" s="85">
        <v>415</v>
      </c>
      <c r="L340" s="59" t="s">
        <v>265</v>
      </c>
      <c r="M340" s="82"/>
    </row>
    <row r="341" spans="6:13" hidden="1" x14ac:dyDescent="0.4">
      <c r="F341" s="218">
        <v>340</v>
      </c>
      <c r="G341" s="85" t="s">
        <v>254</v>
      </c>
      <c r="H341" s="85" t="s">
        <v>188</v>
      </c>
      <c r="I341" s="82" t="s">
        <v>605</v>
      </c>
      <c r="J341" s="85" t="s">
        <v>257</v>
      </c>
      <c r="K341" s="85">
        <v>1039</v>
      </c>
      <c r="L341" s="59" t="s">
        <v>262</v>
      </c>
      <c r="M341" s="82"/>
    </row>
    <row r="342" spans="6:13" hidden="1" x14ac:dyDescent="0.4">
      <c r="F342" s="218">
        <v>341</v>
      </c>
      <c r="G342" s="85" t="s">
        <v>161</v>
      </c>
      <c r="H342" s="85" t="s">
        <v>188</v>
      </c>
      <c r="I342" s="82" t="s">
        <v>629</v>
      </c>
      <c r="J342" s="85" t="s">
        <v>257</v>
      </c>
      <c r="K342" s="85">
        <v>968</v>
      </c>
      <c r="L342" s="59" t="s">
        <v>262</v>
      </c>
      <c r="M342" s="82"/>
    </row>
    <row r="343" spans="6:13" hidden="1" x14ac:dyDescent="0.4">
      <c r="F343" s="218">
        <v>342</v>
      </c>
      <c r="G343" s="85" t="s">
        <v>161</v>
      </c>
      <c r="H343" s="85" t="s">
        <v>188</v>
      </c>
      <c r="I343" s="82" t="s">
        <v>607</v>
      </c>
      <c r="J343" s="85" t="s">
        <v>258</v>
      </c>
      <c r="K343" s="85">
        <v>356</v>
      </c>
      <c r="L343" s="59" t="s">
        <v>265</v>
      </c>
      <c r="M343" s="82"/>
    </row>
    <row r="344" spans="6:13" hidden="1" x14ac:dyDescent="0.4">
      <c r="F344" s="218">
        <v>343</v>
      </c>
      <c r="G344" s="85" t="s">
        <v>161</v>
      </c>
      <c r="H344" s="85" t="s">
        <v>189</v>
      </c>
      <c r="I344" s="2" t="s">
        <v>624</v>
      </c>
      <c r="J344" s="85" t="s">
        <v>258</v>
      </c>
      <c r="K344" s="85">
        <v>416</v>
      </c>
      <c r="L344" s="59" t="s">
        <v>265</v>
      </c>
      <c r="M344" s="2" t="s">
        <v>300</v>
      </c>
    </row>
    <row r="345" spans="6:13" hidden="1" x14ac:dyDescent="0.4">
      <c r="F345" s="219">
        <v>344</v>
      </c>
      <c r="G345" s="85" t="s">
        <v>253</v>
      </c>
      <c r="H345" s="85" t="s">
        <v>248</v>
      </c>
      <c r="I345" s="70" t="s">
        <v>248</v>
      </c>
      <c r="J345" s="85" t="s">
        <v>258</v>
      </c>
      <c r="K345" s="85" t="s">
        <v>253</v>
      </c>
      <c r="L345" s="59" t="s">
        <v>265</v>
      </c>
      <c r="M345" s="69"/>
    </row>
    <row r="346" spans="6:13" hidden="1" x14ac:dyDescent="0.4">
      <c r="F346" s="218">
        <v>345</v>
      </c>
      <c r="G346" s="85" t="s">
        <v>161</v>
      </c>
      <c r="H346" s="85" t="s">
        <v>188</v>
      </c>
      <c r="I346" s="82" t="s">
        <v>605</v>
      </c>
      <c r="J346" s="85" t="s">
        <v>257</v>
      </c>
      <c r="K346" s="85">
        <v>1040</v>
      </c>
      <c r="L346" s="59" t="s">
        <v>262</v>
      </c>
      <c r="M346" s="82"/>
    </row>
    <row r="347" spans="6:13" hidden="1" x14ac:dyDescent="0.4">
      <c r="F347" s="218">
        <v>346</v>
      </c>
      <c r="G347" s="85" t="s">
        <v>254</v>
      </c>
      <c r="H347" s="85" t="s">
        <v>188</v>
      </c>
      <c r="I347" s="2" t="s">
        <v>602</v>
      </c>
      <c r="J347" s="85" t="s">
        <v>258</v>
      </c>
      <c r="K347" s="85">
        <v>357</v>
      </c>
      <c r="L347" s="59" t="s">
        <v>265</v>
      </c>
      <c r="M347" s="82"/>
    </row>
    <row r="348" spans="6:13" hidden="1" x14ac:dyDescent="0.4">
      <c r="F348" s="218">
        <v>347</v>
      </c>
      <c r="G348" s="85" t="s">
        <v>161</v>
      </c>
      <c r="H348" s="85" t="s">
        <v>188</v>
      </c>
      <c r="I348" s="82" t="s">
        <v>615</v>
      </c>
      <c r="J348" s="85" t="s">
        <v>258</v>
      </c>
      <c r="K348" s="85">
        <v>386</v>
      </c>
      <c r="L348" s="59" t="s">
        <v>265</v>
      </c>
      <c r="M348" s="82"/>
    </row>
    <row r="349" spans="6:13" hidden="1" x14ac:dyDescent="0.4">
      <c r="F349" s="218">
        <v>348</v>
      </c>
      <c r="G349" s="85" t="s">
        <v>253</v>
      </c>
      <c r="H349" s="85" t="s">
        <v>188</v>
      </c>
      <c r="I349" s="2" t="s">
        <v>627</v>
      </c>
      <c r="J349" s="85" t="s">
        <v>257</v>
      </c>
      <c r="K349" s="85">
        <v>1190</v>
      </c>
      <c r="L349" s="59" t="s">
        <v>264</v>
      </c>
      <c r="M349" s="82"/>
    </row>
    <row r="350" spans="6:13" hidden="1" x14ac:dyDescent="0.4">
      <c r="F350" s="218">
        <v>349</v>
      </c>
      <c r="G350" s="85" t="s">
        <v>254</v>
      </c>
      <c r="H350" s="85" t="s">
        <v>188</v>
      </c>
      <c r="I350" s="82" t="s">
        <v>605</v>
      </c>
      <c r="J350" s="85" t="s">
        <v>257</v>
      </c>
      <c r="K350" s="85">
        <v>1041</v>
      </c>
      <c r="L350" s="59" t="s">
        <v>262</v>
      </c>
      <c r="M350" s="82"/>
    </row>
    <row r="351" spans="6:13" hidden="1" x14ac:dyDescent="0.4">
      <c r="F351" s="219">
        <v>350</v>
      </c>
      <c r="G351" s="85" t="s">
        <v>253</v>
      </c>
      <c r="H351" s="85" t="s">
        <v>248</v>
      </c>
      <c r="I351" s="70" t="s">
        <v>248</v>
      </c>
      <c r="J351" s="85" t="s">
        <v>258</v>
      </c>
      <c r="K351" s="85" t="s">
        <v>253</v>
      </c>
      <c r="L351" s="59" t="s">
        <v>270</v>
      </c>
      <c r="M351" s="69"/>
    </row>
    <row r="352" spans="6:13" hidden="1" x14ac:dyDescent="0.4">
      <c r="F352" s="218">
        <v>351</v>
      </c>
      <c r="G352" s="85" t="s">
        <v>254</v>
      </c>
      <c r="H352" s="85" t="s">
        <v>188</v>
      </c>
      <c r="I352" s="82" t="s">
        <v>605</v>
      </c>
      <c r="J352" s="85" t="s">
        <v>257</v>
      </c>
      <c r="K352" s="85">
        <v>1042</v>
      </c>
      <c r="L352" s="59" t="s">
        <v>262</v>
      </c>
      <c r="M352" s="82"/>
    </row>
    <row r="353" spans="6:13" hidden="1" x14ac:dyDescent="0.4">
      <c r="F353" s="218">
        <v>352</v>
      </c>
      <c r="G353" s="85" t="s">
        <v>161</v>
      </c>
      <c r="H353" s="85" t="s">
        <v>187</v>
      </c>
      <c r="I353" s="2" t="s">
        <v>624</v>
      </c>
      <c r="J353" s="85" t="s">
        <v>257</v>
      </c>
      <c r="K353" s="85">
        <v>1191</v>
      </c>
      <c r="L353" s="59" t="s">
        <v>264</v>
      </c>
      <c r="M353" s="82"/>
    </row>
    <row r="354" spans="6:13" hidden="1" x14ac:dyDescent="0.4">
      <c r="F354" s="218">
        <v>353</v>
      </c>
      <c r="G354" s="85" t="s">
        <v>253</v>
      </c>
      <c r="H354" s="85" t="s">
        <v>188</v>
      </c>
      <c r="I354" s="2" t="s">
        <v>627</v>
      </c>
      <c r="J354" s="85" t="s">
        <v>258</v>
      </c>
      <c r="K354" s="85">
        <v>359</v>
      </c>
      <c r="L354" s="59" t="s">
        <v>265</v>
      </c>
      <c r="M354" s="82"/>
    </row>
    <row r="355" spans="6:13" hidden="1" x14ac:dyDescent="0.4">
      <c r="F355" s="218">
        <v>354</v>
      </c>
      <c r="G355" s="85" t="s">
        <v>161</v>
      </c>
      <c r="H355" s="85" t="s">
        <v>188</v>
      </c>
      <c r="I355" s="2" t="s">
        <v>603</v>
      </c>
      <c r="J355" s="85" t="s">
        <v>258</v>
      </c>
      <c r="K355" s="85">
        <v>206</v>
      </c>
      <c r="L355" s="59" t="s">
        <v>270</v>
      </c>
      <c r="M355" s="2" t="s">
        <v>304</v>
      </c>
    </row>
    <row r="356" spans="6:13" x14ac:dyDescent="0.4">
      <c r="F356" s="218">
        <v>355</v>
      </c>
      <c r="G356" s="85" t="s">
        <v>161</v>
      </c>
      <c r="H356" s="85" t="s">
        <v>186</v>
      </c>
      <c r="I356" s="82" t="s">
        <v>607</v>
      </c>
      <c r="J356" s="85" t="s">
        <v>257</v>
      </c>
      <c r="K356" s="85">
        <v>1192</v>
      </c>
      <c r="L356" s="59" t="s">
        <v>264</v>
      </c>
      <c r="M356" s="82"/>
    </row>
    <row r="357" spans="6:13" hidden="1" x14ac:dyDescent="0.4">
      <c r="F357" s="218">
        <v>356</v>
      </c>
      <c r="G357" s="85" t="s">
        <v>161</v>
      </c>
      <c r="H357" s="85" t="s">
        <v>188</v>
      </c>
      <c r="I357" s="2" t="s">
        <v>603</v>
      </c>
      <c r="J357" s="85" t="s">
        <v>258</v>
      </c>
      <c r="K357" s="85">
        <v>388</v>
      </c>
      <c r="L357" s="59" t="s">
        <v>265</v>
      </c>
      <c r="M357" s="2" t="s">
        <v>304</v>
      </c>
    </row>
    <row r="358" spans="6:13" hidden="1" x14ac:dyDescent="0.4">
      <c r="F358" s="218">
        <v>357</v>
      </c>
      <c r="G358" s="85" t="s">
        <v>161</v>
      </c>
      <c r="H358" s="85" t="s">
        <v>188</v>
      </c>
      <c r="I358" s="2" t="s">
        <v>630</v>
      </c>
      <c r="J358" s="85" t="s">
        <v>258</v>
      </c>
      <c r="K358" s="85">
        <v>269</v>
      </c>
      <c r="L358" s="59" t="s">
        <v>270</v>
      </c>
      <c r="M358" s="82"/>
    </row>
    <row r="359" spans="6:13" hidden="1" x14ac:dyDescent="0.4">
      <c r="F359" s="218">
        <v>358</v>
      </c>
      <c r="G359" s="85" t="s">
        <v>161</v>
      </c>
      <c r="H359" s="85" t="s">
        <v>186</v>
      </c>
      <c r="I359" s="2" t="s">
        <v>624</v>
      </c>
      <c r="J359" s="85" t="s">
        <v>258</v>
      </c>
      <c r="K359" s="85">
        <v>209</v>
      </c>
      <c r="L359" s="59" t="s">
        <v>270</v>
      </c>
      <c r="M359" s="82"/>
    </row>
    <row r="360" spans="6:13" hidden="1" x14ac:dyDescent="0.4">
      <c r="F360" s="218">
        <v>359</v>
      </c>
      <c r="G360" s="85" t="s">
        <v>161</v>
      </c>
      <c r="H360" s="85" t="s">
        <v>185</v>
      </c>
      <c r="I360" s="82" t="s">
        <v>628</v>
      </c>
      <c r="J360" s="85" t="s">
        <v>258</v>
      </c>
      <c r="K360" s="85">
        <v>210</v>
      </c>
      <c r="L360" s="59" t="s">
        <v>269</v>
      </c>
      <c r="M360" s="82"/>
    </row>
    <row r="361" spans="6:13" hidden="1" x14ac:dyDescent="0.4">
      <c r="F361" s="218">
        <v>360</v>
      </c>
      <c r="G361" s="85" t="s">
        <v>161</v>
      </c>
      <c r="H361" s="85" t="s">
        <v>188</v>
      </c>
      <c r="I361" s="2" t="s">
        <v>624</v>
      </c>
      <c r="J361" s="85" t="s">
        <v>258</v>
      </c>
      <c r="K361" s="85">
        <v>210</v>
      </c>
      <c r="L361" s="59" t="s">
        <v>270</v>
      </c>
      <c r="M361" s="82"/>
    </row>
    <row r="362" spans="6:13" hidden="1" x14ac:dyDescent="0.4">
      <c r="F362" s="218">
        <v>361</v>
      </c>
      <c r="G362" s="85" t="s">
        <v>253</v>
      </c>
      <c r="H362" s="85" t="s">
        <v>187</v>
      </c>
      <c r="I362" s="2" t="s">
        <v>624</v>
      </c>
      <c r="J362" s="85" t="s">
        <v>258</v>
      </c>
      <c r="K362" s="85">
        <v>363</v>
      </c>
      <c r="L362" s="59" t="s">
        <v>265</v>
      </c>
      <c r="M362" s="82"/>
    </row>
    <row r="363" spans="6:13" hidden="1" x14ac:dyDescent="0.4">
      <c r="F363" s="218">
        <v>362</v>
      </c>
      <c r="G363" s="85" t="s">
        <v>254</v>
      </c>
      <c r="H363" s="85" t="s">
        <v>188</v>
      </c>
      <c r="I363" s="82" t="s">
        <v>614</v>
      </c>
      <c r="J363" s="85" t="s">
        <v>258</v>
      </c>
      <c r="K363" s="85">
        <v>364</v>
      </c>
      <c r="L363" s="59" t="s">
        <v>265</v>
      </c>
      <c r="M363" s="82"/>
    </row>
    <row r="364" spans="6:13" hidden="1" x14ac:dyDescent="0.4">
      <c r="F364" s="218">
        <v>363</v>
      </c>
      <c r="G364" s="85" t="s">
        <v>161</v>
      </c>
      <c r="H364" s="85" t="s">
        <v>186</v>
      </c>
      <c r="I364" s="2" t="s">
        <v>623</v>
      </c>
      <c r="J364" s="85" t="s">
        <v>258</v>
      </c>
      <c r="K364" s="85">
        <v>364</v>
      </c>
      <c r="L364" s="59" t="s">
        <v>265</v>
      </c>
      <c r="M364" s="82"/>
    </row>
    <row r="365" spans="6:13" hidden="1" x14ac:dyDescent="0.4">
      <c r="F365" s="218">
        <v>364</v>
      </c>
      <c r="G365" s="85" t="s">
        <v>254</v>
      </c>
      <c r="H365" s="85" t="s">
        <v>188</v>
      </c>
      <c r="I365" s="82" t="s">
        <v>601</v>
      </c>
      <c r="J365" s="85" t="s">
        <v>258</v>
      </c>
      <c r="K365" s="85">
        <v>364</v>
      </c>
      <c r="L365" s="59" t="s">
        <v>265</v>
      </c>
      <c r="M365" s="82"/>
    </row>
    <row r="366" spans="6:13" hidden="1" x14ac:dyDescent="0.4">
      <c r="F366" s="218">
        <v>365</v>
      </c>
      <c r="G366" s="85" t="s">
        <v>161</v>
      </c>
      <c r="H366" s="85" t="s">
        <v>188</v>
      </c>
      <c r="I366" s="2" t="s">
        <v>624</v>
      </c>
      <c r="J366" s="85" t="s">
        <v>258</v>
      </c>
      <c r="K366" s="85">
        <v>424</v>
      </c>
      <c r="L366" s="59" t="s">
        <v>265</v>
      </c>
      <c r="M366" s="82"/>
    </row>
    <row r="367" spans="6:13" hidden="1" x14ac:dyDescent="0.4">
      <c r="F367" s="219">
        <v>366</v>
      </c>
      <c r="G367" s="85" t="s">
        <v>253</v>
      </c>
      <c r="H367" s="85" t="s">
        <v>248</v>
      </c>
      <c r="I367" s="70" t="s">
        <v>248</v>
      </c>
      <c r="J367" s="85" t="s">
        <v>257</v>
      </c>
      <c r="K367" s="85" t="s">
        <v>253</v>
      </c>
      <c r="L367" s="59" t="s">
        <v>262</v>
      </c>
      <c r="M367" s="82"/>
    </row>
    <row r="368" spans="6:13" hidden="1" x14ac:dyDescent="0.4">
      <c r="F368" s="219">
        <v>367</v>
      </c>
      <c r="G368" s="85" t="s">
        <v>253</v>
      </c>
      <c r="H368" s="85" t="s">
        <v>248</v>
      </c>
      <c r="I368" s="70" t="s">
        <v>248</v>
      </c>
      <c r="J368" s="85" t="s">
        <v>258</v>
      </c>
      <c r="K368" s="85" t="s">
        <v>253</v>
      </c>
      <c r="L368" s="59" t="s">
        <v>269</v>
      </c>
      <c r="M368" s="69"/>
    </row>
    <row r="369" spans="6:13" hidden="1" x14ac:dyDescent="0.4">
      <c r="F369" s="218">
        <v>368</v>
      </c>
      <c r="G369" s="85" t="s">
        <v>254</v>
      </c>
      <c r="H369" s="85" t="s">
        <v>185</v>
      </c>
      <c r="I369" s="82" t="s">
        <v>614</v>
      </c>
      <c r="J369" s="85" t="s">
        <v>257</v>
      </c>
      <c r="K369" s="85">
        <v>1022</v>
      </c>
      <c r="L369" s="59" t="s">
        <v>262</v>
      </c>
      <c r="M369" s="82"/>
    </row>
    <row r="370" spans="6:13" hidden="1" x14ac:dyDescent="0.4">
      <c r="F370" s="218">
        <v>369</v>
      </c>
      <c r="G370" s="85" t="s">
        <v>253</v>
      </c>
      <c r="H370" s="85" t="s">
        <v>187</v>
      </c>
      <c r="I370" s="82" t="s">
        <v>631</v>
      </c>
      <c r="J370" s="85" t="s">
        <v>257</v>
      </c>
      <c r="K370" s="85">
        <v>1197</v>
      </c>
      <c r="L370" s="59" t="s">
        <v>264</v>
      </c>
      <c r="M370" s="82"/>
    </row>
    <row r="371" spans="6:13" hidden="1" x14ac:dyDescent="0.4">
      <c r="F371" s="218">
        <v>370</v>
      </c>
      <c r="G371" s="85" t="s">
        <v>254</v>
      </c>
      <c r="H371" s="85" t="s">
        <v>188</v>
      </c>
      <c r="I371" s="82" t="s">
        <v>614</v>
      </c>
      <c r="J371" s="85" t="s">
        <v>258</v>
      </c>
      <c r="K371" s="85">
        <v>366</v>
      </c>
      <c r="L371" s="59" t="s">
        <v>265</v>
      </c>
      <c r="M371" s="82"/>
    </row>
    <row r="372" spans="6:13" hidden="1" x14ac:dyDescent="0.4">
      <c r="F372" s="218">
        <v>371</v>
      </c>
      <c r="G372" s="85" t="s">
        <v>254</v>
      </c>
      <c r="H372" s="85" t="s">
        <v>188</v>
      </c>
      <c r="I372" s="82" t="s">
        <v>607</v>
      </c>
      <c r="J372" s="85" t="s">
        <v>258</v>
      </c>
      <c r="K372" s="85">
        <v>366</v>
      </c>
      <c r="L372" s="59" t="s">
        <v>265</v>
      </c>
      <c r="M372" s="82"/>
    </row>
    <row r="373" spans="6:13" hidden="1" x14ac:dyDescent="0.4">
      <c r="F373" s="218">
        <v>372</v>
      </c>
      <c r="G373" s="85" t="s">
        <v>254</v>
      </c>
      <c r="H373" s="85" t="s">
        <v>185</v>
      </c>
      <c r="I373" s="82" t="s">
        <v>610</v>
      </c>
      <c r="J373" s="85" t="s">
        <v>258</v>
      </c>
      <c r="K373" s="85">
        <v>335</v>
      </c>
      <c r="L373" s="59" t="s">
        <v>270</v>
      </c>
      <c r="M373" s="82"/>
    </row>
    <row r="374" spans="6:13" x14ac:dyDescent="0.4">
      <c r="F374" s="218">
        <v>373</v>
      </c>
      <c r="G374" s="85" t="s">
        <v>161</v>
      </c>
      <c r="H374" s="85" t="s">
        <v>186</v>
      </c>
      <c r="I374" s="82" t="s">
        <v>607</v>
      </c>
      <c r="J374" s="85" t="s">
        <v>258</v>
      </c>
      <c r="K374" s="85">
        <v>275</v>
      </c>
      <c r="L374" s="59" t="s">
        <v>269</v>
      </c>
      <c r="M374" s="82"/>
    </row>
    <row r="375" spans="6:13" hidden="1" x14ac:dyDescent="0.4">
      <c r="F375" s="218">
        <v>374</v>
      </c>
      <c r="G375" s="85" t="s">
        <v>161</v>
      </c>
      <c r="H375" s="85" t="s">
        <v>189</v>
      </c>
      <c r="I375" s="2" t="s">
        <v>606</v>
      </c>
      <c r="J375" s="85" t="s">
        <v>257</v>
      </c>
      <c r="K375" s="85">
        <v>1183</v>
      </c>
      <c r="L375" s="59" t="s">
        <v>264</v>
      </c>
      <c r="M375" s="82"/>
    </row>
    <row r="376" spans="6:13" hidden="1" x14ac:dyDescent="0.4">
      <c r="F376" s="218">
        <v>375</v>
      </c>
      <c r="G376" s="85" t="s">
        <v>161</v>
      </c>
      <c r="H376" s="85" t="s">
        <v>189</v>
      </c>
      <c r="I376" s="2" t="s">
        <v>607</v>
      </c>
      <c r="J376" s="85" t="s">
        <v>258</v>
      </c>
      <c r="K376" s="85">
        <v>396</v>
      </c>
      <c r="L376" s="59" t="s">
        <v>265</v>
      </c>
      <c r="M376" s="3" t="s">
        <v>294</v>
      </c>
    </row>
    <row r="377" spans="6:13" hidden="1" x14ac:dyDescent="0.4">
      <c r="F377" s="219">
        <v>376</v>
      </c>
      <c r="G377" s="85" t="s">
        <v>253</v>
      </c>
      <c r="H377" s="85" t="s">
        <v>248</v>
      </c>
      <c r="I377" s="70" t="s">
        <v>248</v>
      </c>
      <c r="J377" s="85" t="s">
        <v>258</v>
      </c>
      <c r="K377" s="85" t="s">
        <v>253</v>
      </c>
      <c r="L377" s="59" t="s">
        <v>270</v>
      </c>
      <c r="M377" s="69"/>
    </row>
    <row r="378" spans="6:13" hidden="1" x14ac:dyDescent="0.4">
      <c r="F378" s="218">
        <v>377</v>
      </c>
      <c r="G378" s="85" t="s">
        <v>161</v>
      </c>
      <c r="H378" s="85" t="s">
        <v>188</v>
      </c>
      <c r="I378" s="2" t="s">
        <v>603</v>
      </c>
      <c r="J378" s="85" t="s">
        <v>258</v>
      </c>
      <c r="K378" s="85">
        <v>187</v>
      </c>
      <c r="L378" s="59" t="s">
        <v>269</v>
      </c>
      <c r="M378" s="2" t="s">
        <v>304</v>
      </c>
    </row>
    <row r="379" spans="6:13" x14ac:dyDescent="0.4">
      <c r="F379" s="218">
        <v>378</v>
      </c>
      <c r="G379" s="85" t="s">
        <v>161</v>
      </c>
      <c r="H379" s="85" t="s">
        <v>186</v>
      </c>
      <c r="I379" s="82" t="s">
        <v>607</v>
      </c>
      <c r="J379" s="85" t="s">
        <v>257</v>
      </c>
      <c r="K379" s="85">
        <v>1066</v>
      </c>
      <c r="L379" s="59" t="s">
        <v>262</v>
      </c>
      <c r="M379" s="82"/>
    </row>
    <row r="380" spans="6:13" hidden="1" x14ac:dyDescent="0.4">
      <c r="F380" s="218">
        <v>379</v>
      </c>
      <c r="G380" s="85" t="s">
        <v>161</v>
      </c>
      <c r="H380" s="85" t="s">
        <v>189</v>
      </c>
      <c r="I380" s="2" t="s">
        <v>624</v>
      </c>
      <c r="J380" s="85" t="s">
        <v>257</v>
      </c>
      <c r="K380" s="85">
        <v>983</v>
      </c>
      <c r="L380" s="59" t="s">
        <v>262</v>
      </c>
      <c r="M380" s="82"/>
    </row>
    <row r="381" spans="6:13" hidden="1" x14ac:dyDescent="0.4">
      <c r="F381" s="218">
        <v>380</v>
      </c>
      <c r="G381" s="85" t="s">
        <v>161</v>
      </c>
      <c r="H381" s="85" t="s">
        <v>188</v>
      </c>
      <c r="I381" s="2" t="s">
        <v>603</v>
      </c>
      <c r="J381" s="85" t="s">
        <v>258</v>
      </c>
      <c r="K381" s="85">
        <v>430</v>
      </c>
      <c r="L381" s="59" t="s">
        <v>265</v>
      </c>
      <c r="M381" s="2" t="s">
        <v>304</v>
      </c>
    </row>
    <row r="382" spans="6:13" hidden="1" x14ac:dyDescent="0.4">
      <c r="F382" s="218">
        <v>381</v>
      </c>
      <c r="G382" s="85" t="s">
        <v>161</v>
      </c>
      <c r="H382" s="85" t="s">
        <v>189</v>
      </c>
      <c r="I382" s="2" t="s">
        <v>607</v>
      </c>
      <c r="J382" s="85" t="s">
        <v>257</v>
      </c>
      <c r="K382" s="85">
        <v>945</v>
      </c>
      <c r="L382" s="59" t="s">
        <v>262</v>
      </c>
      <c r="M382" s="3" t="s">
        <v>294</v>
      </c>
    </row>
    <row r="383" spans="6:13" hidden="1" x14ac:dyDescent="0.4">
      <c r="F383" s="218">
        <v>382</v>
      </c>
      <c r="G383" s="85" t="s">
        <v>161</v>
      </c>
      <c r="H383" s="85" t="s">
        <v>185</v>
      </c>
      <c r="I383" s="82" t="s">
        <v>615</v>
      </c>
      <c r="J383" s="85" t="s">
        <v>258</v>
      </c>
      <c r="K383" s="85">
        <v>218</v>
      </c>
      <c r="L383" s="59" t="s">
        <v>269</v>
      </c>
      <c r="M383" s="82"/>
    </row>
    <row r="384" spans="6:13" hidden="1" x14ac:dyDescent="0.4">
      <c r="F384" s="218">
        <v>383</v>
      </c>
      <c r="G384" s="85" t="s">
        <v>161</v>
      </c>
      <c r="H384" s="85" t="s">
        <v>188</v>
      </c>
      <c r="I384" s="82" t="s">
        <v>603</v>
      </c>
      <c r="J384" s="85" t="s">
        <v>258</v>
      </c>
      <c r="K384" s="85">
        <v>431</v>
      </c>
      <c r="L384" s="59" t="s">
        <v>265</v>
      </c>
      <c r="M384" s="2" t="s">
        <v>304</v>
      </c>
    </row>
    <row r="385" spans="6:13" hidden="1" x14ac:dyDescent="0.4">
      <c r="F385" s="218">
        <v>384</v>
      </c>
      <c r="G385" s="85" t="s">
        <v>254</v>
      </c>
      <c r="H385" s="85" t="s">
        <v>185</v>
      </c>
      <c r="I385" s="82" t="s">
        <v>630</v>
      </c>
      <c r="J385" s="85" t="s">
        <v>258</v>
      </c>
      <c r="K385" s="85">
        <v>373</v>
      </c>
      <c r="L385" s="59" t="s">
        <v>265</v>
      </c>
      <c r="M385" s="82"/>
    </row>
    <row r="386" spans="6:13" hidden="1" x14ac:dyDescent="0.4">
      <c r="F386" s="218">
        <v>385</v>
      </c>
      <c r="G386" s="85" t="s">
        <v>161</v>
      </c>
      <c r="H386" s="85" t="s">
        <v>185</v>
      </c>
      <c r="I386" s="82" t="s">
        <v>606</v>
      </c>
      <c r="J386" s="85" t="s">
        <v>258</v>
      </c>
      <c r="K386" s="85">
        <v>432</v>
      </c>
      <c r="L386" s="59" t="s">
        <v>265</v>
      </c>
      <c r="M386" s="82"/>
    </row>
    <row r="387" spans="6:13" hidden="1" x14ac:dyDescent="0.4">
      <c r="F387" s="218">
        <v>386</v>
      </c>
      <c r="G387" s="85" t="s">
        <v>161</v>
      </c>
      <c r="H387" s="85" t="s">
        <v>188</v>
      </c>
      <c r="I387" s="2" t="s">
        <v>603</v>
      </c>
      <c r="J387" s="85" t="s">
        <v>258</v>
      </c>
      <c r="K387" s="85">
        <v>160</v>
      </c>
      <c r="L387" s="59" t="s">
        <v>270</v>
      </c>
      <c r="M387" s="2" t="s">
        <v>304</v>
      </c>
    </row>
    <row r="388" spans="6:13" hidden="1" x14ac:dyDescent="0.4">
      <c r="F388" s="218">
        <v>387</v>
      </c>
      <c r="G388" s="85" t="s">
        <v>254</v>
      </c>
      <c r="H388" s="85" t="s">
        <v>188</v>
      </c>
      <c r="I388" s="82" t="s">
        <v>605</v>
      </c>
      <c r="J388" s="85" t="s">
        <v>257</v>
      </c>
      <c r="K388" s="85">
        <v>1046</v>
      </c>
      <c r="L388" s="59" t="s">
        <v>262</v>
      </c>
      <c r="M388" s="82"/>
    </row>
    <row r="389" spans="6:13" hidden="1" x14ac:dyDescent="0.4">
      <c r="F389" s="218">
        <v>388</v>
      </c>
      <c r="G389" s="85" t="s">
        <v>161</v>
      </c>
      <c r="H389" s="85" t="s">
        <v>188</v>
      </c>
      <c r="I389" s="82" t="s">
        <v>601</v>
      </c>
      <c r="J389" s="85" t="s">
        <v>258</v>
      </c>
      <c r="K389" s="85">
        <v>161</v>
      </c>
      <c r="L389" s="59" t="s">
        <v>270</v>
      </c>
      <c r="M389" s="82"/>
    </row>
    <row r="390" spans="6:13" hidden="1" x14ac:dyDescent="0.4">
      <c r="F390" s="236">
        <v>389</v>
      </c>
      <c r="G390" s="85" t="s">
        <v>253</v>
      </c>
      <c r="H390" s="85" t="s">
        <v>188</v>
      </c>
      <c r="I390" s="2" t="s">
        <v>627</v>
      </c>
      <c r="J390" s="85" t="s">
        <v>258</v>
      </c>
      <c r="K390" s="85">
        <v>402</v>
      </c>
      <c r="L390" s="59" t="s">
        <v>265</v>
      </c>
      <c r="M390" s="82"/>
    </row>
    <row r="391" spans="6:13" hidden="1" x14ac:dyDescent="0.4">
      <c r="F391" s="218">
        <v>390</v>
      </c>
      <c r="G391" s="85" t="s">
        <v>161</v>
      </c>
      <c r="H391" s="85" t="s">
        <v>185</v>
      </c>
      <c r="I391" s="82" t="s">
        <v>599</v>
      </c>
      <c r="J391" s="85" t="s">
        <v>258</v>
      </c>
      <c r="K391" s="85">
        <v>283</v>
      </c>
      <c r="L391" s="59" t="s">
        <v>269</v>
      </c>
      <c r="M391" s="82"/>
    </row>
    <row r="392" spans="6:13" hidden="1" x14ac:dyDescent="0.4">
      <c r="F392" s="218">
        <v>391</v>
      </c>
      <c r="G392" s="85" t="s">
        <v>253</v>
      </c>
      <c r="H392" s="85" t="s">
        <v>188</v>
      </c>
      <c r="I392" s="82" t="s">
        <v>632</v>
      </c>
      <c r="J392" s="85" t="s">
        <v>258</v>
      </c>
      <c r="K392" s="85">
        <v>375</v>
      </c>
      <c r="L392" s="59" t="s">
        <v>265</v>
      </c>
      <c r="M392" s="2"/>
    </row>
    <row r="393" spans="6:13" hidden="1" x14ac:dyDescent="0.4">
      <c r="F393" s="218">
        <v>392</v>
      </c>
      <c r="G393" s="85" t="s">
        <v>254</v>
      </c>
      <c r="H393" s="85" t="s">
        <v>185</v>
      </c>
      <c r="I393" s="82" t="s">
        <v>642</v>
      </c>
      <c r="J393" s="85" t="s">
        <v>258</v>
      </c>
      <c r="K393" s="85">
        <v>191</v>
      </c>
      <c r="L393" s="59" t="s">
        <v>270</v>
      </c>
      <c r="M393" s="82"/>
    </row>
    <row r="394" spans="6:13" hidden="1" x14ac:dyDescent="0.4">
      <c r="F394" s="218">
        <v>393</v>
      </c>
      <c r="G394" s="85" t="s">
        <v>161</v>
      </c>
      <c r="H394" s="85" t="s">
        <v>185</v>
      </c>
      <c r="I394" s="82" t="s">
        <v>624</v>
      </c>
      <c r="J394" s="85" t="s">
        <v>258</v>
      </c>
      <c r="K394" s="85">
        <v>253</v>
      </c>
      <c r="L394" s="59" t="s">
        <v>269</v>
      </c>
      <c r="M394" s="82"/>
    </row>
    <row r="395" spans="6:13" hidden="1" x14ac:dyDescent="0.4">
      <c r="F395" s="218">
        <v>394</v>
      </c>
      <c r="G395" s="85" t="s">
        <v>253</v>
      </c>
      <c r="H395" s="85" t="s">
        <v>188</v>
      </c>
      <c r="I395" s="82" t="s">
        <v>607</v>
      </c>
      <c r="J395" s="85" t="s">
        <v>258</v>
      </c>
      <c r="K395" s="85">
        <v>254</v>
      </c>
      <c r="L395" s="59" t="s">
        <v>270</v>
      </c>
      <c r="M395" s="2"/>
    </row>
    <row r="396" spans="6:13" hidden="1" x14ac:dyDescent="0.4">
      <c r="F396" s="218">
        <v>395</v>
      </c>
      <c r="G396" s="85" t="s">
        <v>161</v>
      </c>
      <c r="H396" s="85" t="s">
        <v>189</v>
      </c>
      <c r="I396" s="79" t="s">
        <v>610</v>
      </c>
      <c r="J396" s="85" t="s">
        <v>258</v>
      </c>
      <c r="K396" s="85">
        <v>192</v>
      </c>
      <c r="L396" s="59" t="s">
        <v>270</v>
      </c>
      <c r="M396" s="82"/>
    </row>
    <row r="397" spans="6:13" hidden="1" x14ac:dyDescent="0.4">
      <c r="F397" s="218">
        <v>396</v>
      </c>
      <c r="G397" s="85" t="s">
        <v>161</v>
      </c>
      <c r="H397" s="85" t="s">
        <v>186</v>
      </c>
      <c r="I397" s="82" t="s">
        <v>614</v>
      </c>
      <c r="J397" s="85" t="s">
        <v>257</v>
      </c>
      <c r="K397" s="85">
        <v>1058</v>
      </c>
      <c r="L397" s="59" t="s">
        <v>262</v>
      </c>
      <c r="M397" s="82"/>
    </row>
    <row r="398" spans="6:13" hidden="1" x14ac:dyDescent="0.4">
      <c r="F398" s="218">
        <v>397</v>
      </c>
      <c r="G398" s="85" t="s">
        <v>161</v>
      </c>
      <c r="H398" s="85" t="s">
        <v>189</v>
      </c>
      <c r="I398" s="82" t="s">
        <v>624</v>
      </c>
      <c r="J398" s="85" t="s">
        <v>258</v>
      </c>
      <c r="K398" s="85">
        <v>194</v>
      </c>
      <c r="L398" s="59" t="s">
        <v>269</v>
      </c>
      <c r="M398" s="82"/>
    </row>
    <row r="399" spans="6:13" hidden="1" x14ac:dyDescent="0.4">
      <c r="F399" s="218">
        <v>398</v>
      </c>
      <c r="G399" s="85" t="s">
        <v>161</v>
      </c>
      <c r="H399" s="85" t="s">
        <v>186</v>
      </c>
      <c r="I399" s="2" t="s">
        <v>623</v>
      </c>
      <c r="J399" s="85" t="s">
        <v>258</v>
      </c>
      <c r="K399" s="85">
        <v>378</v>
      </c>
      <c r="L399" s="59" t="s">
        <v>265</v>
      </c>
      <c r="M399" s="82"/>
    </row>
    <row r="400" spans="6:13" hidden="1" x14ac:dyDescent="0.4">
      <c r="F400" s="218">
        <v>399</v>
      </c>
      <c r="G400" s="85" t="s">
        <v>253</v>
      </c>
      <c r="H400" s="85" t="s">
        <v>188</v>
      </c>
      <c r="I400" s="3" t="s">
        <v>604</v>
      </c>
      <c r="J400" s="85" t="s">
        <v>258</v>
      </c>
      <c r="K400" s="85">
        <v>287</v>
      </c>
      <c r="L400" s="59" t="s">
        <v>270</v>
      </c>
      <c r="M400" s="2"/>
    </row>
    <row r="401" spans="6:13" hidden="1" x14ac:dyDescent="0.4">
      <c r="F401" s="218">
        <v>400</v>
      </c>
      <c r="G401" s="85" t="s">
        <v>161</v>
      </c>
      <c r="H401" s="85" t="s">
        <v>185</v>
      </c>
      <c r="I401" s="82" t="s">
        <v>610</v>
      </c>
      <c r="J401" s="85" t="s">
        <v>257</v>
      </c>
      <c r="K401" s="85">
        <v>1050</v>
      </c>
      <c r="L401" s="59" t="s">
        <v>262</v>
      </c>
      <c r="M401" s="82"/>
    </row>
    <row r="402" spans="6:13" hidden="1" x14ac:dyDescent="0.4">
      <c r="F402" s="218">
        <v>401</v>
      </c>
      <c r="G402" s="85" t="s">
        <v>161</v>
      </c>
      <c r="H402" s="85" t="s">
        <v>185</v>
      </c>
      <c r="I402" s="82" t="s">
        <v>619</v>
      </c>
      <c r="J402" s="85" t="s">
        <v>258</v>
      </c>
      <c r="K402" s="85">
        <v>195</v>
      </c>
      <c r="L402" s="59" t="s">
        <v>270</v>
      </c>
      <c r="M402" s="82"/>
    </row>
    <row r="403" spans="6:13" hidden="1" x14ac:dyDescent="0.4">
      <c r="F403" s="218">
        <v>402</v>
      </c>
      <c r="G403" s="85" t="s">
        <v>161</v>
      </c>
      <c r="H403" s="85" t="s">
        <v>186</v>
      </c>
      <c r="I403" s="2" t="s">
        <v>623</v>
      </c>
      <c r="J403" s="85" t="s">
        <v>258</v>
      </c>
      <c r="K403" s="85">
        <v>287</v>
      </c>
      <c r="L403" s="59" t="s">
        <v>270</v>
      </c>
      <c r="M403" s="82"/>
    </row>
    <row r="404" spans="6:13" hidden="1" x14ac:dyDescent="0.4">
      <c r="F404" s="218">
        <v>403</v>
      </c>
      <c r="G404" s="85" t="s">
        <v>161</v>
      </c>
      <c r="H404" s="85" t="s">
        <v>188</v>
      </c>
      <c r="I404" s="82" t="s">
        <v>603</v>
      </c>
      <c r="J404" s="85" t="s">
        <v>258</v>
      </c>
      <c r="K404" s="85">
        <v>166</v>
      </c>
      <c r="L404" s="59" t="s">
        <v>270</v>
      </c>
      <c r="M404" s="82"/>
    </row>
    <row r="405" spans="6:13" hidden="1" x14ac:dyDescent="0.4">
      <c r="F405" s="218">
        <v>404</v>
      </c>
      <c r="G405" s="85" t="s">
        <v>253</v>
      </c>
      <c r="H405" s="85" t="s">
        <v>188</v>
      </c>
      <c r="I405" s="82" t="s">
        <v>607</v>
      </c>
      <c r="J405" s="85" t="s">
        <v>258</v>
      </c>
      <c r="K405" s="85">
        <v>166</v>
      </c>
      <c r="L405" s="59" t="s">
        <v>270</v>
      </c>
      <c r="M405" s="82"/>
    </row>
    <row r="406" spans="6:13" hidden="1" x14ac:dyDescent="0.4">
      <c r="F406" s="218">
        <v>405</v>
      </c>
      <c r="G406" s="85" t="s">
        <v>161</v>
      </c>
      <c r="H406" s="85" t="s">
        <v>185</v>
      </c>
      <c r="I406" s="82" t="s">
        <v>606</v>
      </c>
      <c r="J406" s="85" t="s">
        <v>258</v>
      </c>
      <c r="K406" s="85">
        <v>439</v>
      </c>
      <c r="L406" s="59" t="s">
        <v>265</v>
      </c>
      <c r="M406" s="82"/>
    </row>
    <row r="407" spans="6:13" hidden="1" x14ac:dyDescent="0.4">
      <c r="F407" s="218">
        <v>406</v>
      </c>
      <c r="G407" s="85" t="s">
        <v>161</v>
      </c>
      <c r="H407" s="85" t="s">
        <v>185</v>
      </c>
      <c r="I407" s="82" t="s">
        <v>604</v>
      </c>
      <c r="J407" s="85" t="s">
        <v>257</v>
      </c>
      <c r="K407" s="85">
        <v>1052</v>
      </c>
      <c r="L407" s="59" t="s">
        <v>262</v>
      </c>
      <c r="M407" s="82"/>
    </row>
    <row r="408" spans="6:13" hidden="1" x14ac:dyDescent="0.4">
      <c r="F408" s="218">
        <v>407</v>
      </c>
      <c r="G408" s="85" t="s">
        <v>161</v>
      </c>
      <c r="H408" s="85" t="s">
        <v>188</v>
      </c>
      <c r="I408" s="82" t="s">
        <v>625</v>
      </c>
      <c r="J408" s="85" t="s">
        <v>257</v>
      </c>
      <c r="K408" s="85">
        <v>1037</v>
      </c>
      <c r="L408" s="59" t="s">
        <v>262</v>
      </c>
      <c r="M408" s="82"/>
    </row>
    <row r="409" spans="6:13" hidden="1" x14ac:dyDescent="0.4">
      <c r="F409" s="218">
        <v>408</v>
      </c>
      <c r="G409" s="85" t="s">
        <v>161</v>
      </c>
      <c r="H409" s="85" t="s">
        <v>186</v>
      </c>
      <c r="I409" s="82" t="s">
        <v>614</v>
      </c>
      <c r="J409" s="85" t="s">
        <v>257</v>
      </c>
      <c r="K409" s="85">
        <v>1063</v>
      </c>
      <c r="L409" s="59" t="s">
        <v>262</v>
      </c>
      <c r="M409" s="82"/>
    </row>
    <row r="410" spans="6:13" hidden="1" x14ac:dyDescent="0.4">
      <c r="F410" s="218">
        <v>409</v>
      </c>
      <c r="G410" s="85" t="s">
        <v>161</v>
      </c>
      <c r="H410" s="85" t="s">
        <v>188</v>
      </c>
      <c r="I410" s="82" t="s">
        <v>624</v>
      </c>
      <c r="J410" s="85" t="s">
        <v>257</v>
      </c>
      <c r="K410" s="85">
        <v>1212</v>
      </c>
      <c r="L410" s="59" t="s">
        <v>264</v>
      </c>
      <c r="M410" s="82"/>
    </row>
    <row r="411" spans="6:13" hidden="1" x14ac:dyDescent="0.4">
      <c r="F411" s="218">
        <v>410</v>
      </c>
      <c r="G411" s="85" t="s">
        <v>161</v>
      </c>
      <c r="H411" s="85" t="s">
        <v>186</v>
      </c>
      <c r="I411" s="2" t="s">
        <v>623</v>
      </c>
      <c r="J411" s="85" t="s">
        <v>258</v>
      </c>
      <c r="K411" s="85">
        <v>166</v>
      </c>
      <c r="L411" s="59" t="s">
        <v>270</v>
      </c>
      <c r="M411" s="82"/>
    </row>
    <row r="412" spans="6:13" hidden="1" x14ac:dyDescent="0.4">
      <c r="F412" s="218">
        <v>411</v>
      </c>
      <c r="G412" s="85" t="s">
        <v>161</v>
      </c>
      <c r="H412" s="85" t="s">
        <v>189</v>
      </c>
      <c r="I412" s="2" t="s">
        <v>601</v>
      </c>
      <c r="J412" s="85" t="s">
        <v>258</v>
      </c>
      <c r="K412" s="85">
        <v>289</v>
      </c>
      <c r="L412" s="59" t="s">
        <v>270</v>
      </c>
      <c r="M412" s="82"/>
    </row>
    <row r="413" spans="6:13" hidden="1" x14ac:dyDescent="0.4">
      <c r="F413" s="218">
        <v>412</v>
      </c>
      <c r="G413" s="85" t="s">
        <v>161</v>
      </c>
      <c r="H413" s="85" t="s">
        <v>186</v>
      </c>
      <c r="I413" s="2" t="s">
        <v>623</v>
      </c>
      <c r="J413" s="85" t="s">
        <v>258</v>
      </c>
      <c r="K413" s="85">
        <v>321</v>
      </c>
      <c r="L413" s="59" t="s">
        <v>269</v>
      </c>
      <c r="M413" s="82"/>
    </row>
    <row r="414" spans="6:13" hidden="1" x14ac:dyDescent="0.4">
      <c r="F414" s="218">
        <v>413</v>
      </c>
      <c r="G414" s="85" t="s">
        <v>161</v>
      </c>
      <c r="H414" s="85" t="s">
        <v>188</v>
      </c>
      <c r="I414" s="82" t="s">
        <v>611</v>
      </c>
      <c r="J414" s="85" t="s">
        <v>258</v>
      </c>
      <c r="K414" s="85">
        <v>351</v>
      </c>
      <c r="L414" s="59" t="s">
        <v>270</v>
      </c>
      <c r="M414" s="82"/>
    </row>
    <row r="415" spans="6:13" hidden="1" x14ac:dyDescent="0.4">
      <c r="F415" s="218">
        <v>414</v>
      </c>
      <c r="G415" s="85" t="s">
        <v>161</v>
      </c>
      <c r="H415" s="85" t="s">
        <v>188</v>
      </c>
      <c r="I415" s="68" t="s">
        <v>621</v>
      </c>
      <c r="J415" s="85" t="s">
        <v>257</v>
      </c>
      <c r="K415" s="85">
        <v>1066</v>
      </c>
      <c r="L415" s="59" t="s">
        <v>262</v>
      </c>
      <c r="M415" s="82"/>
    </row>
    <row r="416" spans="6:13" hidden="1" x14ac:dyDescent="0.4">
      <c r="F416" s="218">
        <v>415</v>
      </c>
      <c r="G416" s="85" t="s">
        <v>161</v>
      </c>
      <c r="H416" s="85" t="s">
        <v>189</v>
      </c>
      <c r="I416" s="3" t="s">
        <v>609</v>
      </c>
      <c r="J416" s="85" t="s">
        <v>257</v>
      </c>
      <c r="K416" s="85">
        <v>996</v>
      </c>
      <c r="L416" s="59" t="s">
        <v>262</v>
      </c>
      <c r="M416" s="82"/>
    </row>
    <row r="417" spans="6:13" hidden="1" x14ac:dyDescent="0.4">
      <c r="F417" s="218">
        <v>416</v>
      </c>
      <c r="G417" s="85" t="s">
        <v>161</v>
      </c>
      <c r="H417" s="85" t="s">
        <v>188</v>
      </c>
      <c r="I417" s="82" t="s">
        <v>633</v>
      </c>
      <c r="J417" s="85" t="s">
        <v>258</v>
      </c>
      <c r="K417" s="85">
        <v>443</v>
      </c>
      <c r="L417" s="59" t="s">
        <v>265</v>
      </c>
      <c r="M417" s="82"/>
    </row>
    <row r="418" spans="6:13" hidden="1" x14ac:dyDescent="0.4">
      <c r="F418" s="218">
        <v>417</v>
      </c>
      <c r="G418" s="85" t="s">
        <v>161</v>
      </c>
      <c r="H418" s="85" t="s">
        <v>185</v>
      </c>
      <c r="I418" s="82" t="s">
        <v>619</v>
      </c>
      <c r="J418" s="85" t="s">
        <v>258</v>
      </c>
      <c r="K418" s="85">
        <v>168</v>
      </c>
      <c r="L418" s="59" t="s">
        <v>269</v>
      </c>
      <c r="M418" s="82"/>
    </row>
    <row r="419" spans="6:13" hidden="1" x14ac:dyDescent="0.4">
      <c r="F419" s="218">
        <v>418</v>
      </c>
      <c r="G419" s="85" t="s">
        <v>161</v>
      </c>
      <c r="H419" s="85" t="s">
        <v>186</v>
      </c>
      <c r="I419" s="2" t="s">
        <v>623</v>
      </c>
      <c r="J419" s="85" t="s">
        <v>258</v>
      </c>
      <c r="K419" s="85">
        <v>321</v>
      </c>
      <c r="L419" s="59" t="s">
        <v>269</v>
      </c>
      <c r="M419" s="82"/>
    </row>
    <row r="420" spans="6:13" hidden="1" x14ac:dyDescent="0.4">
      <c r="F420" s="218">
        <v>419</v>
      </c>
      <c r="G420" s="85" t="s">
        <v>161</v>
      </c>
      <c r="H420" s="85" t="s">
        <v>189</v>
      </c>
      <c r="I420" s="2" t="s">
        <v>624</v>
      </c>
      <c r="J420" s="85" t="s">
        <v>257</v>
      </c>
      <c r="K420" s="85">
        <v>1054</v>
      </c>
      <c r="L420" s="59" t="s">
        <v>262</v>
      </c>
      <c r="M420" s="82"/>
    </row>
    <row r="421" spans="6:13" hidden="1" x14ac:dyDescent="0.4">
      <c r="F421" s="218">
        <v>420</v>
      </c>
      <c r="G421" s="85" t="s">
        <v>254</v>
      </c>
      <c r="H421" s="85"/>
      <c r="I421" s="82" t="s">
        <v>605</v>
      </c>
      <c r="J421" s="85" t="s">
        <v>257</v>
      </c>
      <c r="K421" s="85">
        <v>1065</v>
      </c>
      <c r="L421" s="59" t="s">
        <v>262</v>
      </c>
      <c r="M421" s="82"/>
    </row>
    <row r="422" spans="6:13" hidden="1" x14ac:dyDescent="0.4">
      <c r="F422" s="218">
        <v>421</v>
      </c>
      <c r="G422" s="85" t="s">
        <v>161</v>
      </c>
      <c r="H422" s="85" t="s">
        <v>186</v>
      </c>
      <c r="I422" s="82" t="s">
        <v>614</v>
      </c>
      <c r="J422" s="85" t="s">
        <v>257</v>
      </c>
      <c r="K422" s="85">
        <v>1065</v>
      </c>
      <c r="L422" s="59" t="s">
        <v>262</v>
      </c>
      <c r="M422" s="82"/>
    </row>
    <row r="423" spans="6:13" hidden="1" x14ac:dyDescent="0.4">
      <c r="F423" s="218">
        <v>422</v>
      </c>
      <c r="G423" s="85" t="s">
        <v>161</v>
      </c>
      <c r="H423" s="85" t="s">
        <v>188</v>
      </c>
      <c r="I423" s="82" t="s">
        <v>607</v>
      </c>
      <c r="J423" s="85" t="s">
        <v>258</v>
      </c>
      <c r="K423" s="85">
        <v>443</v>
      </c>
      <c r="L423" s="59" t="s">
        <v>265</v>
      </c>
      <c r="M423" s="82"/>
    </row>
    <row r="424" spans="6:13" hidden="1" x14ac:dyDescent="0.4">
      <c r="F424" s="218">
        <v>423</v>
      </c>
      <c r="G424" s="85" t="s">
        <v>161</v>
      </c>
      <c r="H424" s="85" t="s">
        <v>189</v>
      </c>
      <c r="I424" s="3" t="s">
        <v>609</v>
      </c>
      <c r="J424" s="85" t="s">
        <v>258</v>
      </c>
      <c r="K424" s="85">
        <v>443</v>
      </c>
      <c r="L424" s="59" t="s">
        <v>265</v>
      </c>
      <c r="M424" s="82"/>
    </row>
    <row r="425" spans="6:13" hidden="1" x14ac:dyDescent="0.4">
      <c r="F425" s="218">
        <v>424</v>
      </c>
      <c r="G425" s="85" t="s">
        <v>253</v>
      </c>
      <c r="H425" s="85" t="s">
        <v>188</v>
      </c>
      <c r="I425" s="82" t="s">
        <v>624</v>
      </c>
      <c r="J425" s="85" t="s">
        <v>257</v>
      </c>
      <c r="K425" s="85">
        <v>1221</v>
      </c>
      <c r="L425" s="59" t="s">
        <v>264</v>
      </c>
      <c r="M425" s="82"/>
    </row>
    <row r="426" spans="6:13" hidden="1" x14ac:dyDescent="0.4">
      <c r="F426" s="218">
        <v>425</v>
      </c>
      <c r="G426" s="85" t="s">
        <v>253</v>
      </c>
      <c r="H426" s="85" t="s">
        <v>188</v>
      </c>
      <c r="I426" s="82" t="s">
        <v>614</v>
      </c>
      <c r="J426" s="85" t="s">
        <v>257</v>
      </c>
      <c r="K426" s="85">
        <v>1057</v>
      </c>
      <c r="L426" s="59" t="s">
        <v>262</v>
      </c>
      <c r="M426" s="82"/>
    </row>
    <row r="427" spans="6:13" hidden="1" x14ac:dyDescent="0.4">
      <c r="F427" s="218">
        <v>426</v>
      </c>
      <c r="G427" s="85" t="s">
        <v>161</v>
      </c>
      <c r="H427" s="85" t="s">
        <v>189</v>
      </c>
      <c r="I427" s="3" t="s">
        <v>609</v>
      </c>
      <c r="J427" s="85" t="s">
        <v>258</v>
      </c>
      <c r="K427" s="85">
        <v>171</v>
      </c>
      <c r="L427" s="59" t="s">
        <v>270</v>
      </c>
      <c r="M427" s="82" t="s">
        <v>303</v>
      </c>
    </row>
    <row r="428" spans="6:13" hidden="1" x14ac:dyDescent="0.4">
      <c r="F428" s="218">
        <v>427</v>
      </c>
      <c r="G428" s="85" t="s">
        <v>161</v>
      </c>
      <c r="H428" s="85" t="s">
        <v>188</v>
      </c>
      <c r="I428" s="82" t="s">
        <v>603</v>
      </c>
      <c r="J428" s="85" t="s">
        <v>258</v>
      </c>
      <c r="K428" s="85">
        <v>414</v>
      </c>
      <c r="L428" s="59" t="s">
        <v>265</v>
      </c>
      <c r="M428" s="82"/>
    </row>
    <row r="429" spans="6:13" hidden="1" x14ac:dyDescent="0.4">
      <c r="F429" s="218">
        <v>428</v>
      </c>
      <c r="G429" s="85" t="s">
        <v>253</v>
      </c>
      <c r="H429" s="85" t="s">
        <v>188</v>
      </c>
      <c r="I429" s="82" t="s">
        <v>614</v>
      </c>
      <c r="J429" s="85" t="s">
        <v>257</v>
      </c>
      <c r="K429" s="85">
        <v>1058</v>
      </c>
      <c r="L429" s="59" t="s">
        <v>262</v>
      </c>
      <c r="M429" s="82"/>
    </row>
    <row r="430" spans="6:13" hidden="1" x14ac:dyDescent="0.4">
      <c r="F430" s="218">
        <v>429</v>
      </c>
      <c r="G430" s="85" t="s">
        <v>161</v>
      </c>
      <c r="H430" s="85" t="s">
        <v>189</v>
      </c>
      <c r="I430" s="82" t="s">
        <v>624</v>
      </c>
      <c r="J430" s="85" t="s">
        <v>258</v>
      </c>
      <c r="K430" s="85">
        <v>294</v>
      </c>
      <c r="L430" s="59" t="s">
        <v>269</v>
      </c>
      <c r="M430" s="82"/>
    </row>
    <row r="431" spans="6:13" hidden="1" x14ac:dyDescent="0.4">
      <c r="F431" s="218">
        <v>430</v>
      </c>
      <c r="G431" s="85" t="s">
        <v>161</v>
      </c>
      <c r="H431" s="85" t="s">
        <v>189</v>
      </c>
      <c r="I431" s="3" t="s">
        <v>609</v>
      </c>
      <c r="J431" s="85" t="s">
        <v>258</v>
      </c>
      <c r="K431" s="85">
        <v>233</v>
      </c>
      <c r="L431" s="59" t="s">
        <v>269</v>
      </c>
      <c r="M431" s="82" t="s">
        <v>303</v>
      </c>
    </row>
    <row r="432" spans="6:13" hidden="1" x14ac:dyDescent="0.4">
      <c r="F432" s="218">
        <v>431</v>
      </c>
      <c r="G432" s="85" t="s">
        <v>253</v>
      </c>
      <c r="H432" s="85"/>
      <c r="I432" s="185" t="s">
        <v>604</v>
      </c>
      <c r="J432" s="85" t="s">
        <v>258</v>
      </c>
      <c r="K432" s="85">
        <v>445</v>
      </c>
      <c r="L432" s="59" t="s">
        <v>265</v>
      </c>
      <c r="M432" s="82"/>
    </row>
    <row r="433" spans="6:13" hidden="1" x14ac:dyDescent="0.4">
      <c r="F433" s="213">
        <v>432</v>
      </c>
      <c r="G433" s="85" t="s">
        <v>161</v>
      </c>
      <c r="H433" s="85" t="s">
        <v>185</v>
      </c>
      <c r="I433" s="185" t="s">
        <v>602</v>
      </c>
      <c r="J433" s="85" t="s">
        <v>258</v>
      </c>
      <c r="K433" s="85">
        <v>202</v>
      </c>
      <c r="L433" s="59" t="s">
        <v>270</v>
      </c>
      <c r="M433" s="2"/>
    </row>
    <row r="434" spans="6:13" hidden="1" x14ac:dyDescent="0.4">
      <c r="F434" s="213">
        <v>433</v>
      </c>
      <c r="G434" s="85" t="s">
        <v>161</v>
      </c>
      <c r="H434" s="85" t="s">
        <v>189</v>
      </c>
      <c r="I434" s="3" t="s">
        <v>609</v>
      </c>
      <c r="J434" s="85" t="s">
        <v>258</v>
      </c>
      <c r="K434" s="85">
        <v>233</v>
      </c>
      <c r="L434" s="59" t="s">
        <v>269</v>
      </c>
      <c r="M434" s="82" t="s">
        <v>303</v>
      </c>
    </row>
    <row r="435" spans="6:13" hidden="1" x14ac:dyDescent="0.4">
      <c r="F435" s="213">
        <v>434</v>
      </c>
      <c r="G435" s="85" t="s">
        <v>161</v>
      </c>
      <c r="H435" s="85" t="s">
        <v>187</v>
      </c>
      <c r="I435" s="185" t="s">
        <v>607</v>
      </c>
      <c r="J435" s="85" t="s">
        <v>258</v>
      </c>
      <c r="K435" s="85">
        <v>264</v>
      </c>
      <c r="L435" s="59" t="s">
        <v>270</v>
      </c>
      <c r="M435" s="2"/>
    </row>
    <row r="436" spans="6:13" hidden="1" x14ac:dyDescent="0.4">
      <c r="F436" s="213">
        <v>435</v>
      </c>
      <c r="G436" s="85" t="s">
        <v>161</v>
      </c>
      <c r="H436" s="85" t="s">
        <v>185</v>
      </c>
      <c r="I436" s="185" t="s">
        <v>602</v>
      </c>
      <c r="J436" s="85" t="s">
        <v>258</v>
      </c>
      <c r="K436" s="85">
        <v>203</v>
      </c>
      <c r="L436" s="59" t="s">
        <v>270</v>
      </c>
      <c r="M436" s="2"/>
    </row>
    <row r="437" spans="6:13" hidden="1" x14ac:dyDescent="0.4">
      <c r="F437" s="213">
        <v>436</v>
      </c>
      <c r="G437" s="85" t="s">
        <v>161</v>
      </c>
      <c r="H437" s="85" t="s">
        <v>189</v>
      </c>
      <c r="I437" s="3" t="s">
        <v>609</v>
      </c>
      <c r="J437" s="85" t="s">
        <v>258</v>
      </c>
      <c r="K437" s="85">
        <v>234</v>
      </c>
      <c r="L437" s="59" t="s">
        <v>270</v>
      </c>
      <c r="M437" s="82" t="s">
        <v>303</v>
      </c>
    </row>
    <row r="438" spans="6:13" hidden="1" x14ac:dyDescent="0.4">
      <c r="F438" s="213">
        <v>437</v>
      </c>
      <c r="G438" s="85" t="s">
        <v>254</v>
      </c>
      <c r="H438" s="85" t="s">
        <v>185</v>
      </c>
      <c r="I438" s="185" t="s">
        <v>607</v>
      </c>
      <c r="J438" s="85" t="s">
        <v>258</v>
      </c>
      <c r="K438" s="85">
        <v>234</v>
      </c>
      <c r="L438" s="59" t="s">
        <v>270</v>
      </c>
      <c r="M438" s="2"/>
    </row>
    <row r="439" spans="6:13" hidden="1" x14ac:dyDescent="0.4">
      <c r="F439" s="213">
        <v>438</v>
      </c>
      <c r="G439" s="85" t="s">
        <v>254</v>
      </c>
      <c r="H439" s="85"/>
      <c r="I439" s="185" t="s">
        <v>602</v>
      </c>
      <c r="J439" s="85" t="s">
        <v>258</v>
      </c>
      <c r="K439" s="85">
        <v>265</v>
      </c>
      <c r="L439" s="59" t="s">
        <v>270</v>
      </c>
      <c r="M439" s="2"/>
    </row>
    <row r="440" spans="6:13" hidden="1" x14ac:dyDescent="0.4">
      <c r="F440" s="215">
        <v>439</v>
      </c>
      <c r="G440" s="85" t="s">
        <v>253</v>
      </c>
      <c r="H440" s="85" t="s">
        <v>248</v>
      </c>
      <c r="I440" s="186" t="s">
        <v>248</v>
      </c>
      <c r="J440" s="85" t="s">
        <v>258</v>
      </c>
      <c r="K440" s="85" t="s">
        <v>253</v>
      </c>
      <c r="L440" s="59" t="s">
        <v>269</v>
      </c>
      <c r="M440" s="69"/>
    </row>
    <row r="441" spans="6:13" hidden="1" x14ac:dyDescent="0.4">
      <c r="F441" s="218">
        <v>440</v>
      </c>
      <c r="G441" s="85" t="s">
        <v>254</v>
      </c>
      <c r="H441" s="85"/>
      <c r="I441" s="68" t="s">
        <v>602</v>
      </c>
      <c r="J441" s="85" t="s">
        <v>257</v>
      </c>
      <c r="K441" s="85">
        <v>1220</v>
      </c>
      <c r="L441" s="59" t="s">
        <v>264</v>
      </c>
      <c r="M441" s="82"/>
    </row>
    <row r="442" spans="6:13" hidden="1" x14ac:dyDescent="0.4">
      <c r="F442" s="218">
        <v>441</v>
      </c>
      <c r="G442" s="85" t="s">
        <v>161</v>
      </c>
      <c r="H442" s="85" t="s">
        <v>188</v>
      </c>
      <c r="I442" s="185" t="s">
        <v>611</v>
      </c>
      <c r="J442" s="85" t="s">
        <v>258</v>
      </c>
      <c r="K442" s="85">
        <v>358</v>
      </c>
      <c r="L442" s="59" t="s">
        <v>270</v>
      </c>
      <c r="M442" s="82"/>
    </row>
    <row r="443" spans="6:13" hidden="1" x14ac:dyDescent="0.4">
      <c r="F443" s="218">
        <v>442</v>
      </c>
      <c r="G443" s="85" t="s">
        <v>161</v>
      </c>
      <c r="H443" s="85" t="s">
        <v>189</v>
      </c>
      <c r="I443" s="82" t="s">
        <v>624</v>
      </c>
      <c r="J443" s="85" t="s">
        <v>258</v>
      </c>
      <c r="K443" s="85">
        <v>419</v>
      </c>
      <c r="L443" s="59" t="s">
        <v>265</v>
      </c>
      <c r="M443" s="82"/>
    </row>
    <row r="444" spans="6:13" hidden="1" x14ac:dyDescent="0.4">
      <c r="F444" s="218">
        <v>443</v>
      </c>
      <c r="G444" s="85" t="s">
        <v>254</v>
      </c>
      <c r="H444" s="85"/>
      <c r="I444" s="185" t="s">
        <v>607</v>
      </c>
      <c r="J444" s="85" t="s">
        <v>258</v>
      </c>
      <c r="K444" s="85">
        <v>177</v>
      </c>
      <c r="L444" s="59" t="s">
        <v>270</v>
      </c>
      <c r="M444" s="82"/>
    </row>
    <row r="445" spans="6:13" hidden="1" x14ac:dyDescent="0.4">
      <c r="F445" s="218">
        <v>444</v>
      </c>
      <c r="G445" s="85" t="s">
        <v>161</v>
      </c>
      <c r="H445" s="85" t="s">
        <v>189</v>
      </c>
      <c r="I445" s="3" t="s">
        <v>609</v>
      </c>
      <c r="J445" s="85" t="s">
        <v>258</v>
      </c>
      <c r="K445" s="85">
        <v>205</v>
      </c>
      <c r="L445" s="59" t="s">
        <v>269</v>
      </c>
      <c r="M445" s="82" t="s">
        <v>303</v>
      </c>
    </row>
    <row r="446" spans="6:13" hidden="1" x14ac:dyDescent="0.4">
      <c r="F446" s="218">
        <v>445</v>
      </c>
      <c r="G446" s="85" t="s">
        <v>254</v>
      </c>
      <c r="H446" s="85"/>
      <c r="I446" s="68" t="s">
        <v>602</v>
      </c>
      <c r="J446" s="85" t="s">
        <v>258</v>
      </c>
      <c r="K446" s="85">
        <v>419</v>
      </c>
      <c r="L446" s="59" t="s">
        <v>265</v>
      </c>
      <c r="M446" s="82"/>
    </row>
    <row r="447" spans="6:13" hidden="1" x14ac:dyDescent="0.4">
      <c r="F447" s="219">
        <v>446</v>
      </c>
      <c r="G447" s="85" t="s">
        <v>253</v>
      </c>
      <c r="H447" s="85" t="s">
        <v>248</v>
      </c>
      <c r="I447" s="70" t="s">
        <v>248</v>
      </c>
      <c r="J447" s="85" t="s">
        <v>258</v>
      </c>
      <c r="K447" s="85" t="s">
        <v>253</v>
      </c>
      <c r="L447" s="59" t="s">
        <v>265</v>
      </c>
      <c r="M447" s="69"/>
    </row>
    <row r="448" spans="6:13" hidden="1" x14ac:dyDescent="0.4">
      <c r="F448" s="219">
        <v>447</v>
      </c>
      <c r="G448" s="85" t="s">
        <v>253</v>
      </c>
      <c r="H448" s="85" t="s">
        <v>248</v>
      </c>
      <c r="I448" s="70" t="s">
        <v>248</v>
      </c>
      <c r="J448" s="85" t="s">
        <v>258</v>
      </c>
      <c r="K448" s="85" t="s">
        <v>253</v>
      </c>
      <c r="L448" s="59" t="s">
        <v>270</v>
      </c>
      <c r="M448" s="2"/>
    </row>
    <row r="449" spans="6:13" x14ac:dyDescent="0.4">
      <c r="F449" s="218">
        <v>448</v>
      </c>
      <c r="G449" s="85" t="s">
        <v>161</v>
      </c>
      <c r="H449" s="85" t="s">
        <v>186</v>
      </c>
      <c r="I449" s="82" t="s">
        <v>607</v>
      </c>
      <c r="J449" s="85" t="s">
        <v>258</v>
      </c>
      <c r="K449" s="85">
        <v>178</v>
      </c>
      <c r="L449" s="59" t="s">
        <v>270</v>
      </c>
      <c r="M449" s="2"/>
    </row>
    <row r="450" spans="6:13" hidden="1" x14ac:dyDescent="0.4">
      <c r="F450" s="218">
        <v>449</v>
      </c>
      <c r="G450" s="85" t="s">
        <v>253</v>
      </c>
      <c r="H450" s="85"/>
      <c r="I450" s="82" t="s">
        <v>603</v>
      </c>
      <c r="J450" s="85" t="s">
        <v>257</v>
      </c>
      <c r="K450" s="85">
        <v>1225</v>
      </c>
      <c r="L450" s="59" t="s">
        <v>264</v>
      </c>
      <c r="M450" s="82"/>
    </row>
    <row r="451" spans="6:13" x14ac:dyDescent="0.4">
      <c r="F451" s="218">
        <v>450</v>
      </c>
      <c r="G451" s="85" t="s">
        <v>161</v>
      </c>
      <c r="H451" s="85" t="s">
        <v>186</v>
      </c>
      <c r="I451" s="82" t="s">
        <v>607</v>
      </c>
      <c r="J451" s="85" t="s">
        <v>258</v>
      </c>
      <c r="K451" s="85">
        <v>421</v>
      </c>
      <c r="L451" s="59" t="s">
        <v>265</v>
      </c>
      <c r="M451" s="82"/>
    </row>
    <row r="452" spans="6:13" hidden="1" x14ac:dyDescent="0.4">
      <c r="F452" s="218">
        <v>451</v>
      </c>
      <c r="G452" s="85" t="s">
        <v>254</v>
      </c>
      <c r="H452" s="85"/>
      <c r="I452" s="68" t="s">
        <v>602</v>
      </c>
      <c r="J452" s="85" t="s">
        <v>257</v>
      </c>
      <c r="K452" s="85">
        <v>1217</v>
      </c>
      <c r="L452" s="59" t="s">
        <v>264</v>
      </c>
      <c r="M452" s="82"/>
    </row>
    <row r="453" spans="6:13" hidden="1" x14ac:dyDescent="0.4">
      <c r="F453" s="218">
        <v>452</v>
      </c>
      <c r="G453" s="85" t="s">
        <v>161</v>
      </c>
      <c r="H453" s="85" t="s">
        <v>188</v>
      </c>
      <c r="I453" s="82" t="s">
        <v>603</v>
      </c>
      <c r="J453" s="85" t="s">
        <v>258</v>
      </c>
      <c r="K453" s="85">
        <v>180</v>
      </c>
      <c r="L453" s="59" t="s">
        <v>270</v>
      </c>
      <c r="M453" s="82"/>
    </row>
    <row r="454" spans="6:13" x14ac:dyDescent="0.4">
      <c r="F454" s="218">
        <v>453</v>
      </c>
      <c r="G454" s="85" t="s">
        <v>161</v>
      </c>
      <c r="H454" s="85" t="s">
        <v>186</v>
      </c>
      <c r="I454" s="3" t="s">
        <v>607</v>
      </c>
      <c r="J454" s="85" t="s">
        <v>258</v>
      </c>
      <c r="K454" s="85">
        <v>423</v>
      </c>
      <c r="L454" s="59" t="s">
        <v>265</v>
      </c>
      <c r="M454" s="82"/>
    </row>
    <row r="455" spans="6:13" hidden="1" x14ac:dyDescent="0.4">
      <c r="F455" s="218">
        <v>454</v>
      </c>
      <c r="G455" s="85" t="s">
        <v>161</v>
      </c>
      <c r="H455" s="85" t="s">
        <v>186</v>
      </c>
      <c r="I455" s="2" t="s">
        <v>624</v>
      </c>
      <c r="J455" s="85" t="s">
        <v>258</v>
      </c>
      <c r="K455" s="85">
        <v>395</v>
      </c>
      <c r="L455" s="59" t="s">
        <v>265</v>
      </c>
      <c r="M455" s="82"/>
    </row>
    <row r="456" spans="6:13" hidden="1" x14ac:dyDescent="0.4">
      <c r="F456" s="218">
        <v>455</v>
      </c>
      <c r="G456" s="85" t="s">
        <v>254</v>
      </c>
      <c r="H456" s="85" t="s">
        <v>185</v>
      </c>
      <c r="I456" s="82" t="s">
        <v>607</v>
      </c>
      <c r="J456" s="85" t="s">
        <v>258</v>
      </c>
      <c r="K456" s="85">
        <v>242</v>
      </c>
      <c r="L456" s="59" t="s">
        <v>270</v>
      </c>
      <c r="M456" s="82"/>
    </row>
    <row r="457" spans="6:13" hidden="1" x14ac:dyDescent="0.4">
      <c r="F457" s="218">
        <v>456</v>
      </c>
      <c r="G457" s="85" t="s">
        <v>161</v>
      </c>
      <c r="H457" s="85" t="s">
        <v>188</v>
      </c>
      <c r="I457" s="82" t="s">
        <v>607</v>
      </c>
      <c r="J457" s="85" t="s">
        <v>258</v>
      </c>
      <c r="K457" s="85">
        <v>423</v>
      </c>
      <c r="L457" s="59" t="s">
        <v>265</v>
      </c>
      <c r="M457" s="82"/>
    </row>
    <row r="458" spans="6:13" hidden="1" x14ac:dyDescent="0.4">
      <c r="F458" s="218">
        <v>457</v>
      </c>
      <c r="G458" s="85" t="s">
        <v>161</v>
      </c>
      <c r="H458" s="85" t="s">
        <v>186</v>
      </c>
      <c r="I458" s="2" t="s">
        <v>624</v>
      </c>
      <c r="J458" s="85" t="s">
        <v>258</v>
      </c>
      <c r="K458" s="85">
        <v>211</v>
      </c>
      <c r="L458" s="59" t="s">
        <v>270</v>
      </c>
      <c r="M458" s="82"/>
    </row>
    <row r="459" spans="6:13" hidden="1" x14ac:dyDescent="0.4">
      <c r="F459" s="219">
        <v>458</v>
      </c>
      <c r="G459" s="85" t="s">
        <v>253</v>
      </c>
      <c r="H459" s="85" t="s">
        <v>248</v>
      </c>
      <c r="I459" s="69" t="s">
        <v>248</v>
      </c>
      <c r="J459" s="85" t="s">
        <v>258</v>
      </c>
      <c r="K459" s="85" t="s">
        <v>253</v>
      </c>
      <c r="L459" s="59" t="s">
        <v>265</v>
      </c>
      <c r="M459" s="82"/>
    </row>
    <row r="460" spans="6:13" hidden="1" x14ac:dyDescent="0.4">
      <c r="F460" s="218">
        <v>459</v>
      </c>
      <c r="G460" s="85" t="s">
        <v>161</v>
      </c>
      <c r="H460" s="85" t="s">
        <v>185</v>
      </c>
      <c r="I460" s="82" t="s">
        <v>611</v>
      </c>
      <c r="J460" s="85" t="s">
        <v>258</v>
      </c>
      <c r="K460" s="85">
        <v>151</v>
      </c>
      <c r="L460" s="59" t="s">
        <v>269</v>
      </c>
      <c r="M460" s="82"/>
    </row>
    <row r="461" spans="6:13" hidden="1" x14ac:dyDescent="0.4">
      <c r="F461" s="218">
        <v>460</v>
      </c>
      <c r="G461" s="85" t="s">
        <v>161</v>
      </c>
      <c r="H461" s="85" t="s">
        <v>185</v>
      </c>
      <c r="I461" s="82" t="s">
        <v>602</v>
      </c>
      <c r="J461" s="85" t="s">
        <v>258</v>
      </c>
      <c r="K461" s="85">
        <v>212</v>
      </c>
      <c r="L461" s="59" t="s">
        <v>270</v>
      </c>
      <c r="M461" s="82"/>
    </row>
    <row r="462" spans="6:13" hidden="1" x14ac:dyDescent="0.4">
      <c r="F462" s="218">
        <v>461</v>
      </c>
      <c r="G462" s="85" t="s">
        <v>254</v>
      </c>
      <c r="H462" s="85" t="s">
        <v>185</v>
      </c>
      <c r="I462" s="82" t="s">
        <v>607</v>
      </c>
      <c r="J462" s="85" t="s">
        <v>258</v>
      </c>
      <c r="K462" s="85">
        <v>244</v>
      </c>
      <c r="L462" s="59" t="s">
        <v>270</v>
      </c>
      <c r="M462" s="82"/>
    </row>
    <row r="463" spans="6:13" hidden="1" x14ac:dyDescent="0.4">
      <c r="F463" s="218">
        <v>462</v>
      </c>
      <c r="G463" s="85" t="s">
        <v>254</v>
      </c>
      <c r="H463" s="85"/>
      <c r="I463" s="2" t="s">
        <v>607</v>
      </c>
      <c r="J463" s="85" t="s">
        <v>258</v>
      </c>
      <c r="K463" s="85">
        <v>244</v>
      </c>
      <c r="L463" s="59" t="s">
        <v>270</v>
      </c>
      <c r="M463" s="82"/>
    </row>
    <row r="464" spans="6:13" hidden="1" x14ac:dyDescent="0.4">
      <c r="F464" s="218">
        <v>463</v>
      </c>
      <c r="G464" s="85" t="s">
        <v>161</v>
      </c>
      <c r="H464" s="85" t="s">
        <v>188</v>
      </c>
      <c r="I464" s="82" t="s">
        <v>603</v>
      </c>
      <c r="J464" s="85" t="s">
        <v>258</v>
      </c>
      <c r="K464" s="85">
        <v>397</v>
      </c>
      <c r="L464" s="59" t="s">
        <v>265</v>
      </c>
      <c r="M464" s="82"/>
    </row>
    <row r="465" spans="6:13" hidden="1" x14ac:dyDescent="0.4">
      <c r="F465" s="218">
        <v>464</v>
      </c>
      <c r="G465" s="85" t="s">
        <v>161</v>
      </c>
      <c r="H465" s="85" t="s">
        <v>186</v>
      </c>
      <c r="I465" s="82" t="s">
        <v>614</v>
      </c>
      <c r="J465" s="85" t="s">
        <v>257</v>
      </c>
      <c r="K465" s="85">
        <v>1008</v>
      </c>
      <c r="L465" s="59" t="s">
        <v>262</v>
      </c>
      <c r="M465" s="82"/>
    </row>
    <row r="466" spans="6:13" hidden="1" x14ac:dyDescent="0.4">
      <c r="F466" s="219">
        <v>465</v>
      </c>
      <c r="G466" s="85" t="s">
        <v>253</v>
      </c>
      <c r="H466" s="85" t="s">
        <v>248</v>
      </c>
      <c r="I466" s="69" t="s">
        <v>248</v>
      </c>
      <c r="J466" s="85" t="s">
        <v>258</v>
      </c>
      <c r="K466" s="85" t="s">
        <v>253</v>
      </c>
      <c r="L466" s="59" t="s">
        <v>270</v>
      </c>
      <c r="M466" s="82"/>
    </row>
    <row r="467" spans="6:13" hidden="1" x14ac:dyDescent="0.4">
      <c r="F467" s="218">
        <v>466</v>
      </c>
      <c r="G467" s="85" t="s">
        <v>254</v>
      </c>
      <c r="H467" s="85" t="s">
        <v>185</v>
      </c>
      <c r="I467" s="82" t="s">
        <v>607</v>
      </c>
      <c r="J467" s="85" t="s">
        <v>258</v>
      </c>
      <c r="K467" s="85">
        <v>244</v>
      </c>
      <c r="L467" s="59" t="s">
        <v>270</v>
      </c>
      <c r="M467" s="82"/>
    </row>
    <row r="468" spans="6:13" hidden="1" x14ac:dyDescent="0.4">
      <c r="F468" s="218">
        <v>467</v>
      </c>
      <c r="G468" s="85" t="s">
        <v>253</v>
      </c>
      <c r="H468" s="85" t="s">
        <v>188</v>
      </c>
      <c r="I468" s="2" t="s">
        <v>627</v>
      </c>
      <c r="J468" s="85" t="s">
        <v>257</v>
      </c>
      <c r="K468" s="85">
        <v>1221</v>
      </c>
      <c r="L468" s="59" t="s">
        <v>264</v>
      </c>
      <c r="M468" s="82"/>
    </row>
    <row r="469" spans="6:13" hidden="1" x14ac:dyDescent="0.4">
      <c r="F469" s="219">
        <v>468</v>
      </c>
      <c r="G469" s="85" t="s">
        <v>253</v>
      </c>
      <c r="H469" s="85" t="s">
        <v>248</v>
      </c>
      <c r="I469" s="70" t="s">
        <v>248</v>
      </c>
      <c r="J469" s="85" t="s">
        <v>257</v>
      </c>
      <c r="K469" s="85" t="s">
        <v>253</v>
      </c>
      <c r="L469" s="59" t="s">
        <v>264</v>
      </c>
      <c r="M469" s="69"/>
    </row>
    <row r="470" spans="6:13" hidden="1" x14ac:dyDescent="0.4">
      <c r="F470" s="219">
        <v>469</v>
      </c>
      <c r="G470" s="85" t="s">
        <v>253</v>
      </c>
      <c r="H470" s="85" t="s">
        <v>248</v>
      </c>
      <c r="I470" s="186" t="s">
        <v>248</v>
      </c>
      <c r="J470" s="85" t="s">
        <v>258</v>
      </c>
      <c r="K470" s="85" t="s">
        <v>253</v>
      </c>
      <c r="L470" s="59" t="s">
        <v>270</v>
      </c>
      <c r="M470" s="69"/>
    </row>
    <row r="471" spans="6:13" hidden="1" x14ac:dyDescent="0.4">
      <c r="F471" s="218">
        <v>470</v>
      </c>
      <c r="G471" s="85" t="s">
        <v>161</v>
      </c>
      <c r="H471" s="85" t="s">
        <v>188</v>
      </c>
      <c r="I471" s="82" t="s">
        <v>614</v>
      </c>
      <c r="J471" s="85" t="s">
        <v>258</v>
      </c>
      <c r="K471" s="85">
        <v>458</v>
      </c>
      <c r="L471" s="59" t="s">
        <v>265</v>
      </c>
      <c r="M471" s="82"/>
    </row>
    <row r="472" spans="6:13" hidden="1" x14ac:dyDescent="0.4">
      <c r="F472" s="213">
        <v>471</v>
      </c>
      <c r="G472" s="85" t="s">
        <v>253</v>
      </c>
      <c r="H472" s="85" t="s">
        <v>188</v>
      </c>
      <c r="I472" s="2" t="s">
        <v>627</v>
      </c>
      <c r="J472" s="85" t="s">
        <v>257</v>
      </c>
      <c r="K472" s="85">
        <v>1221</v>
      </c>
      <c r="L472" s="59" t="s">
        <v>264</v>
      </c>
      <c r="M472" s="82"/>
    </row>
    <row r="473" spans="6:13" hidden="1" x14ac:dyDescent="0.4">
      <c r="F473" s="213">
        <v>472</v>
      </c>
      <c r="G473" s="85" t="s">
        <v>254</v>
      </c>
      <c r="H473" s="85"/>
      <c r="I473" s="2" t="s">
        <v>602</v>
      </c>
      <c r="J473" s="85" t="s">
        <v>258</v>
      </c>
      <c r="K473" s="85">
        <v>277</v>
      </c>
      <c r="L473" s="59" t="s">
        <v>270</v>
      </c>
      <c r="M473" s="82"/>
    </row>
    <row r="474" spans="6:13" hidden="1" x14ac:dyDescent="0.4">
      <c r="F474" s="213">
        <v>473</v>
      </c>
      <c r="G474" s="85" t="s">
        <v>254</v>
      </c>
      <c r="H474" s="85"/>
      <c r="I474" s="2" t="s">
        <v>624</v>
      </c>
      <c r="J474" s="85" t="s">
        <v>258</v>
      </c>
      <c r="K474" s="85">
        <v>309</v>
      </c>
      <c r="L474" s="59" t="s">
        <v>270</v>
      </c>
      <c r="M474" s="82"/>
    </row>
    <row r="475" spans="6:13" hidden="1" x14ac:dyDescent="0.4">
      <c r="F475" s="218">
        <v>474</v>
      </c>
      <c r="G475" s="85" t="s">
        <v>254</v>
      </c>
      <c r="H475" s="85"/>
      <c r="I475" s="82" t="s">
        <v>605</v>
      </c>
      <c r="J475" s="85" t="s">
        <v>257</v>
      </c>
      <c r="K475" s="85">
        <v>1085</v>
      </c>
      <c r="L475" s="59" t="s">
        <v>262</v>
      </c>
      <c r="M475" s="82"/>
    </row>
    <row r="476" spans="6:13" hidden="1" x14ac:dyDescent="0.4">
      <c r="F476" s="218">
        <v>475</v>
      </c>
      <c r="G476" s="85" t="s">
        <v>254</v>
      </c>
      <c r="H476" s="85" t="s">
        <v>185</v>
      </c>
      <c r="I476" s="82" t="s">
        <v>614</v>
      </c>
      <c r="J476" s="85" t="s">
        <v>257</v>
      </c>
      <c r="K476" s="85">
        <v>1085</v>
      </c>
      <c r="L476" s="59" t="s">
        <v>262</v>
      </c>
      <c r="M476" s="82"/>
    </row>
    <row r="477" spans="6:13" hidden="1" x14ac:dyDescent="0.4">
      <c r="F477" s="218">
        <v>476</v>
      </c>
      <c r="G477" s="85" t="s">
        <v>161</v>
      </c>
      <c r="H477" s="85" t="s">
        <v>186</v>
      </c>
      <c r="I477" s="2" t="s">
        <v>623</v>
      </c>
      <c r="J477" s="85" t="s">
        <v>258</v>
      </c>
      <c r="K477" s="85">
        <v>188</v>
      </c>
      <c r="L477" s="59" t="s">
        <v>270</v>
      </c>
      <c r="M477" s="82"/>
    </row>
    <row r="478" spans="6:13" hidden="1" x14ac:dyDescent="0.4">
      <c r="F478" s="215">
        <v>477</v>
      </c>
      <c r="G478" s="85" t="s">
        <v>253</v>
      </c>
      <c r="H478" s="85" t="s">
        <v>248</v>
      </c>
      <c r="I478" s="70" t="s">
        <v>248</v>
      </c>
      <c r="J478" s="85" t="s">
        <v>258</v>
      </c>
      <c r="K478" s="85" t="s">
        <v>253</v>
      </c>
      <c r="L478" s="59" t="s">
        <v>269</v>
      </c>
      <c r="M478" s="1"/>
    </row>
    <row r="479" spans="6:13" hidden="1" x14ac:dyDescent="0.4">
      <c r="F479" s="213">
        <v>478</v>
      </c>
      <c r="G479" s="85" t="s">
        <v>161</v>
      </c>
      <c r="H479" s="85" t="s">
        <v>186</v>
      </c>
      <c r="I479" s="2" t="s">
        <v>623</v>
      </c>
      <c r="J479" s="85" t="s">
        <v>258</v>
      </c>
      <c r="K479" s="85">
        <v>342</v>
      </c>
      <c r="L479" s="59" t="s">
        <v>269</v>
      </c>
      <c r="M479" s="1"/>
    </row>
    <row r="480" spans="6:13" hidden="1" x14ac:dyDescent="0.4">
      <c r="F480" s="213">
        <v>479</v>
      </c>
      <c r="G480" s="85" t="s">
        <v>161</v>
      </c>
      <c r="H480" s="85" t="s">
        <v>188</v>
      </c>
      <c r="I480" s="68" t="s">
        <v>621</v>
      </c>
      <c r="J480" s="85" t="s">
        <v>257</v>
      </c>
      <c r="K480" s="85">
        <v>1016</v>
      </c>
      <c r="L480" s="59" t="s">
        <v>262</v>
      </c>
      <c r="M480" s="1"/>
    </row>
    <row r="481" spans="6:13" hidden="1" x14ac:dyDescent="0.4">
      <c r="F481" s="213">
        <v>480</v>
      </c>
      <c r="G481" s="85" t="s">
        <v>161</v>
      </c>
      <c r="H481" s="85" t="s">
        <v>188</v>
      </c>
      <c r="I481" s="2" t="s">
        <v>603</v>
      </c>
      <c r="J481" s="85" t="s">
        <v>258</v>
      </c>
      <c r="K481" s="85">
        <v>251</v>
      </c>
      <c r="L481" s="59" t="s">
        <v>270</v>
      </c>
      <c r="M481" s="1"/>
    </row>
    <row r="482" spans="6:13" hidden="1" x14ac:dyDescent="0.4">
      <c r="F482" s="213">
        <v>481</v>
      </c>
      <c r="G482" s="85" t="s">
        <v>161</v>
      </c>
      <c r="H482" s="85" t="s">
        <v>189</v>
      </c>
      <c r="I482" s="2" t="s">
        <v>600</v>
      </c>
      <c r="J482" s="85" t="s">
        <v>258</v>
      </c>
      <c r="K482" s="85">
        <v>129</v>
      </c>
      <c r="L482" s="59" t="s">
        <v>269</v>
      </c>
      <c r="M482" s="1"/>
    </row>
    <row r="483" spans="6:13" x14ac:dyDescent="0.4">
      <c r="F483" s="213">
        <v>482</v>
      </c>
      <c r="G483" s="85" t="s">
        <v>161</v>
      </c>
      <c r="H483" s="85" t="s">
        <v>186</v>
      </c>
      <c r="I483" s="2" t="s">
        <v>607</v>
      </c>
      <c r="J483" s="85" t="s">
        <v>258</v>
      </c>
      <c r="K483" s="85">
        <v>190</v>
      </c>
      <c r="L483" s="59" t="s">
        <v>269</v>
      </c>
      <c r="M483" s="1"/>
    </row>
    <row r="484" spans="6:13" hidden="1" x14ac:dyDescent="0.4">
      <c r="F484" s="213">
        <v>483</v>
      </c>
      <c r="G484" s="85" t="s">
        <v>254</v>
      </c>
      <c r="H484" s="85" t="s">
        <v>185</v>
      </c>
      <c r="I484" s="82" t="s">
        <v>614</v>
      </c>
      <c r="J484" s="85" t="s">
        <v>257</v>
      </c>
      <c r="K484" s="85">
        <v>1087</v>
      </c>
      <c r="L484" s="59" t="s">
        <v>262</v>
      </c>
      <c r="M484" s="1"/>
    </row>
    <row r="485" spans="6:13" hidden="1" x14ac:dyDescent="0.4">
      <c r="F485" s="213">
        <v>484</v>
      </c>
      <c r="G485" s="85" t="s">
        <v>161</v>
      </c>
      <c r="H485" s="85" t="s">
        <v>185</v>
      </c>
      <c r="I485" s="2" t="s">
        <v>610</v>
      </c>
      <c r="J485" s="85" t="s">
        <v>258</v>
      </c>
      <c r="K485" s="85">
        <v>374</v>
      </c>
      <c r="L485" s="59" t="s">
        <v>270</v>
      </c>
      <c r="M485" s="1"/>
    </row>
    <row r="486" spans="6:13" hidden="1" x14ac:dyDescent="0.4">
      <c r="F486" s="213">
        <v>485</v>
      </c>
      <c r="G486" s="85" t="s">
        <v>254</v>
      </c>
      <c r="H486" s="85" t="s">
        <v>186</v>
      </c>
      <c r="I486" s="2" t="s">
        <v>607</v>
      </c>
      <c r="J486" s="85" t="s">
        <v>258</v>
      </c>
      <c r="K486" s="85">
        <v>99</v>
      </c>
      <c r="L486" s="59" t="s">
        <v>269</v>
      </c>
      <c r="M486" s="1"/>
    </row>
    <row r="487" spans="6:13" hidden="1" x14ac:dyDescent="0.4">
      <c r="F487" s="218">
        <v>486</v>
      </c>
      <c r="G487" s="85" t="s">
        <v>254</v>
      </c>
      <c r="H487" s="85"/>
      <c r="I487" s="2" t="s">
        <v>602</v>
      </c>
      <c r="J487" s="85" t="s">
        <v>258</v>
      </c>
      <c r="K487" s="85">
        <v>284</v>
      </c>
      <c r="L487" s="59" t="s">
        <v>270</v>
      </c>
      <c r="M487" s="56"/>
    </row>
    <row r="488" spans="6:13" hidden="1" x14ac:dyDescent="0.4">
      <c r="F488" s="218">
        <v>487</v>
      </c>
      <c r="G488" s="85" t="s">
        <v>253</v>
      </c>
      <c r="H488" s="85" t="s">
        <v>188</v>
      </c>
      <c r="I488" s="2" t="s">
        <v>627</v>
      </c>
      <c r="J488" s="85" t="s">
        <v>258</v>
      </c>
      <c r="K488" s="85">
        <v>465</v>
      </c>
      <c r="L488" s="59" t="s">
        <v>265</v>
      </c>
      <c r="M488" s="56"/>
    </row>
    <row r="489" spans="6:13" hidden="1" x14ac:dyDescent="0.4">
      <c r="F489" s="218">
        <v>488</v>
      </c>
      <c r="G489" s="85" t="s">
        <v>254</v>
      </c>
      <c r="H489" s="85"/>
      <c r="I489" s="82" t="s">
        <v>630</v>
      </c>
      <c r="J489" s="85" t="s">
        <v>258</v>
      </c>
      <c r="K489" s="85">
        <v>406</v>
      </c>
      <c r="L489" s="59" t="s">
        <v>265</v>
      </c>
      <c r="M489" s="56"/>
    </row>
    <row r="490" spans="6:13" hidden="1" x14ac:dyDescent="0.4">
      <c r="F490" s="218">
        <v>489</v>
      </c>
      <c r="G490" s="85" t="s">
        <v>253</v>
      </c>
      <c r="H490" s="85" t="s">
        <v>187</v>
      </c>
      <c r="I490" s="2" t="s">
        <v>600</v>
      </c>
      <c r="J490" s="85" t="s">
        <v>258</v>
      </c>
      <c r="K490" s="85">
        <v>434</v>
      </c>
      <c r="L490" s="59" t="s">
        <v>265</v>
      </c>
      <c r="M490" s="56"/>
    </row>
    <row r="491" spans="6:13" hidden="1" x14ac:dyDescent="0.4">
      <c r="F491" s="219">
        <v>490</v>
      </c>
      <c r="G491" s="85" t="s">
        <v>253</v>
      </c>
      <c r="H491" s="85" t="s">
        <v>248</v>
      </c>
      <c r="I491" s="186" t="s">
        <v>248</v>
      </c>
      <c r="J491" s="85" t="s">
        <v>258</v>
      </c>
      <c r="K491" s="85" t="s">
        <v>253</v>
      </c>
      <c r="L491" s="59" t="s">
        <v>265</v>
      </c>
      <c r="M491" s="56"/>
    </row>
    <row r="492" spans="6:13" hidden="1" x14ac:dyDescent="0.4">
      <c r="F492" s="219">
        <v>491</v>
      </c>
      <c r="G492" s="85" t="s">
        <v>253</v>
      </c>
      <c r="H492" s="85" t="s">
        <v>248</v>
      </c>
      <c r="I492" s="186" t="s">
        <v>248</v>
      </c>
      <c r="J492" s="85" t="s">
        <v>258</v>
      </c>
      <c r="K492" s="85" t="s">
        <v>253</v>
      </c>
      <c r="L492" s="59" t="s">
        <v>270</v>
      </c>
      <c r="M492" s="56"/>
    </row>
    <row r="493" spans="6:13" hidden="1" x14ac:dyDescent="0.4">
      <c r="F493" s="218">
        <v>492</v>
      </c>
      <c r="G493" s="85" t="s">
        <v>254</v>
      </c>
      <c r="H493" s="85"/>
      <c r="I493" s="82" t="s">
        <v>634</v>
      </c>
      <c r="J493" s="85" t="s">
        <v>258</v>
      </c>
      <c r="K493" s="85">
        <v>376</v>
      </c>
      <c r="L493" s="59" t="s">
        <v>270</v>
      </c>
      <c r="M493" s="56"/>
    </row>
    <row r="494" spans="6:13" hidden="1" x14ac:dyDescent="0.4">
      <c r="F494" s="218">
        <v>493</v>
      </c>
      <c r="G494" s="85" t="s">
        <v>161</v>
      </c>
      <c r="H494" s="85" t="s">
        <v>186</v>
      </c>
      <c r="I494" s="2" t="s">
        <v>624</v>
      </c>
      <c r="J494" s="85" t="s">
        <v>258</v>
      </c>
      <c r="K494" s="85">
        <v>466</v>
      </c>
      <c r="L494" s="59" t="s">
        <v>265</v>
      </c>
      <c r="M494" s="56"/>
    </row>
    <row r="495" spans="6:13" hidden="1" x14ac:dyDescent="0.4">
      <c r="F495" s="218">
        <v>494</v>
      </c>
      <c r="G495" s="85" t="s">
        <v>161</v>
      </c>
      <c r="H495" s="85" t="s">
        <v>189</v>
      </c>
      <c r="I495" s="3" t="s">
        <v>609</v>
      </c>
      <c r="J495" s="85" t="s">
        <v>257</v>
      </c>
      <c r="K495" s="85">
        <v>1230</v>
      </c>
      <c r="L495" s="59" t="s">
        <v>264</v>
      </c>
      <c r="M495" s="56"/>
    </row>
    <row r="496" spans="6:13" hidden="1" x14ac:dyDescent="0.4">
      <c r="F496" s="218">
        <v>495</v>
      </c>
      <c r="G496" s="85" t="s">
        <v>161</v>
      </c>
      <c r="H496" s="85" t="s">
        <v>185</v>
      </c>
      <c r="I496" s="82" t="s">
        <v>615</v>
      </c>
      <c r="J496" s="85" t="s">
        <v>258</v>
      </c>
      <c r="K496" s="85">
        <v>376</v>
      </c>
      <c r="L496" s="59" t="s">
        <v>270</v>
      </c>
      <c r="M496" s="56"/>
    </row>
    <row r="497" spans="6:13" hidden="1" x14ac:dyDescent="0.4">
      <c r="F497" s="218">
        <v>496</v>
      </c>
      <c r="G497" s="85" t="s">
        <v>161</v>
      </c>
      <c r="H497" s="85" t="s">
        <v>186</v>
      </c>
      <c r="I497" s="2" t="s">
        <v>623</v>
      </c>
      <c r="J497" s="85" t="s">
        <v>258</v>
      </c>
      <c r="K497" s="85">
        <v>194</v>
      </c>
      <c r="L497" s="59" t="s">
        <v>270</v>
      </c>
      <c r="M497" s="56"/>
    </row>
    <row r="498" spans="6:13" hidden="1" x14ac:dyDescent="0.4">
      <c r="F498" s="218">
        <v>497</v>
      </c>
      <c r="G498" s="85" t="s">
        <v>161</v>
      </c>
      <c r="H498" s="85" t="s">
        <v>188</v>
      </c>
      <c r="I498" s="82" t="s">
        <v>624</v>
      </c>
      <c r="J498" s="85" t="s">
        <v>258</v>
      </c>
      <c r="K498" s="85">
        <v>194</v>
      </c>
      <c r="L498" s="59" t="s">
        <v>270</v>
      </c>
      <c r="M498" s="56"/>
    </row>
    <row r="499" spans="6:13" hidden="1" x14ac:dyDescent="0.4">
      <c r="F499" s="218">
        <v>498</v>
      </c>
      <c r="G499" s="85" t="s">
        <v>161</v>
      </c>
      <c r="H499" s="85" t="s">
        <v>186</v>
      </c>
      <c r="I499" s="2" t="s">
        <v>624</v>
      </c>
      <c r="J499" s="85" t="s">
        <v>258</v>
      </c>
      <c r="K499" s="85">
        <v>194</v>
      </c>
      <c r="L499" s="59" t="s">
        <v>270</v>
      </c>
      <c r="M499" s="56"/>
    </row>
    <row r="500" spans="6:13" hidden="1" x14ac:dyDescent="0.4">
      <c r="F500" s="218">
        <v>499</v>
      </c>
      <c r="G500" s="85" t="s">
        <v>161</v>
      </c>
      <c r="H500" s="85" t="s">
        <v>188</v>
      </c>
      <c r="I500" s="2" t="s">
        <v>608</v>
      </c>
      <c r="J500" s="85" t="s">
        <v>258</v>
      </c>
      <c r="K500" s="85">
        <v>467</v>
      </c>
      <c r="L500" s="59" t="s">
        <v>265</v>
      </c>
      <c r="M500" s="56"/>
    </row>
    <row r="501" spans="6:13" hidden="1" x14ac:dyDescent="0.4">
      <c r="F501" s="218">
        <v>500</v>
      </c>
      <c r="G501" s="85" t="s">
        <v>161</v>
      </c>
      <c r="H501" s="85" t="s">
        <v>188</v>
      </c>
      <c r="I501" s="82" t="s">
        <v>610</v>
      </c>
      <c r="J501" s="85" t="s">
        <v>258</v>
      </c>
      <c r="K501" s="85">
        <v>467</v>
      </c>
      <c r="L501" s="59" t="s">
        <v>265</v>
      </c>
      <c r="M501" s="56"/>
    </row>
    <row r="502" spans="6:13" hidden="1" x14ac:dyDescent="0.4">
      <c r="F502" s="218">
        <v>501</v>
      </c>
      <c r="G502" s="85" t="s">
        <v>253</v>
      </c>
      <c r="H502" s="85" t="s">
        <v>188</v>
      </c>
      <c r="I502" s="2" t="s">
        <v>627</v>
      </c>
      <c r="J502" s="85" t="s">
        <v>258</v>
      </c>
      <c r="K502" s="85">
        <v>467</v>
      </c>
      <c r="L502" s="59" t="s">
        <v>265</v>
      </c>
      <c r="M502" s="56"/>
    </row>
    <row r="503" spans="6:13" hidden="1" x14ac:dyDescent="0.4">
      <c r="F503" s="218">
        <v>502</v>
      </c>
      <c r="G503" s="85" t="s">
        <v>161</v>
      </c>
      <c r="H503" s="85" t="s">
        <v>188</v>
      </c>
      <c r="I503" s="82" t="s">
        <v>625</v>
      </c>
      <c r="J503" s="85" t="s">
        <v>258</v>
      </c>
      <c r="K503" s="85">
        <v>467</v>
      </c>
      <c r="L503" s="59" t="s">
        <v>265</v>
      </c>
      <c r="M503" s="56"/>
    </row>
    <row r="504" spans="6:13" hidden="1" x14ac:dyDescent="0.4">
      <c r="F504" s="218">
        <v>503</v>
      </c>
      <c r="G504" s="85" t="s">
        <v>161</v>
      </c>
      <c r="H504" s="85" t="s">
        <v>188</v>
      </c>
      <c r="I504" s="185" t="s">
        <v>611</v>
      </c>
      <c r="J504" s="85" t="s">
        <v>258</v>
      </c>
      <c r="K504" s="85">
        <v>133</v>
      </c>
      <c r="L504" s="59" t="s">
        <v>269</v>
      </c>
      <c r="M504" s="56"/>
    </row>
    <row r="505" spans="6:13" hidden="1" x14ac:dyDescent="0.4">
      <c r="F505" s="219">
        <v>504</v>
      </c>
      <c r="G505" s="85" t="s">
        <v>253</v>
      </c>
      <c r="H505" s="85" t="s">
        <v>248</v>
      </c>
      <c r="I505" s="69" t="s">
        <v>248</v>
      </c>
      <c r="J505" s="85" t="s">
        <v>258</v>
      </c>
      <c r="K505" s="85" t="s">
        <v>253</v>
      </c>
      <c r="L505" s="59" t="s">
        <v>270</v>
      </c>
      <c r="M505" s="56"/>
    </row>
    <row r="506" spans="6:13" hidden="1" x14ac:dyDescent="0.4">
      <c r="F506" s="218">
        <v>505</v>
      </c>
      <c r="G506" s="85" t="s">
        <v>254</v>
      </c>
      <c r="H506" s="85" t="s">
        <v>188</v>
      </c>
      <c r="I506" s="82" t="s">
        <v>614</v>
      </c>
      <c r="J506" s="85" t="s">
        <v>258</v>
      </c>
      <c r="K506" s="85">
        <v>436</v>
      </c>
      <c r="L506" s="59" t="s">
        <v>265</v>
      </c>
      <c r="M506" s="56"/>
    </row>
    <row r="507" spans="6:13" hidden="1" x14ac:dyDescent="0.4">
      <c r="F507" s="213">
        <v>506</v>
      </c>
      <c r="G507" s="85" t="s">
        <v>161</v>
      </c>
      <c r="H507" s="85" t="s">
        <v>189</v>
      </c>
      <c r="I507" s="3" t="s">
        <v>609</v>
      </c>
      <c r="J507" s="85" t="s">
        <v>258</v>
      </c>
      <c r="K507" s="85">
        <v>410</v>
      </c>
      <c r="L507" s="59" t="s">
        <v>265</v>
      </c>
      <c r="M507" s="59"/>
    </row>
    <row r="508" spans="6:13" hidden="1" x14ac:dyDescent="0.4">
      <c r="F508" s="213">
        <v>507</v>
      </c>
      <c r="G508" s="85" t="s">
        <v>254</v>
      </c>
      <c r="H508" s="85"/>
      <c r="I508" s="82" t="s">
        <v>615</v>
      </c>
      <c r="J508" s="85" t="s">
        <v>257</v>
      </c>
      <c r="K508" s="85">
        <v>1106</v>
      </c>
      <c r="L508" s="59" t="s">
        <v>262</v>
      </c>
      <c r="M508" s="59"/>
    </row>
    <row r="509" spans="6:13" hidden="1" x14ac:dyDescent="0.4">
      <c r="F509" s="215">
        <v>508</v>
      </c>
      <c r="G509" s="85" t="s">
        <v>253</v>
      </c>
      <c r="H509" s="85" t="s">
        <v>248</v>
      </c>
      <c r="I509" s="69" t="s">
        <v>248</v>
      </c>
      <c r="J509" s="85" t="s">
        <v>258</v>
      </c>
      <c r="K509" s="85" t="s">
        <v>253</v>
      </c>
      <c r="L509" s="59" t="s">
        <v>265</v>
      </c>
      <c r="M509" s="59"/>
    </row>
    <row r="510" spans="6:13" hidden="1" x14ac:dyDescent="0.4">
      <c r="F510" s="213">
        <v>509</v>
      </c>
      <c r="G510" s="85" t="s">
        <v>254</v>
      </c>
      <c r="H510" s="85"/>
      <c r="I510" s="82" t="s">
        <v>615</v>
      </c>
      <c r="J510" s="85" t="s">
        <v>258</v>
      </c>
      <c r="K510" s="85">
        <v>227</v>
      </c>
      <c r="L510" s="59" t="s">
        <v>270</v>
      </c>
      <c r="M510" s="59"/>
    </row>
    <row r="511" spans="6:13" hidden="1" x14ac:dyDescent="0.4">
      <c r="F511" s="213">
        <v>510</v>
      </c>
      <c r="G511" s="85" t="s">
        <v>253</v>
      </c>
      <c r="H511" s="85" t="s">
        <v>188</v>
      </c>
      <c r="I511" s="2" t="s">
        <v>623</v>
      </c>
      <c r="J511" s="85" t="s">
        <v>258</v>
      </c>
      <c r="K511" s="85">
        <v>166</v>
      </c>
      <c r="L511" s="59" t="s">
        <v>269</v>
      </c>
      <c r="M511" s="59"/>
    </row>
    <row r="512" spans="6:13" hidden="1" x14ac:dyDescent="0.4">
      <c r="F512" s="213">
        <v>511</v>
      </c>
      <c r="G512" s="85" t="s">
        <v>254</v>
      </c>
      <c r="H512" s="85"/>
      <c r="I512" s="82" t="s">
        <v>615</v>
      </c>
      <c r="J512" s="85" t="s">
        <v>257</v>
      </c>
      <c r="K512" s="85">
        <v>1107</v>
      </c>
      <c r="L512" s="59" t="s">
        <v>262</v>
      </c>
      <c r="M512" s="59"/>
    </row>
    <row r="513" spans="6:13" hidden="1" x14ac:dyDescent="0.4">
      <c r="F513" s="213">
        <v>512</v>
      </c>
      <c r="G513" s="85" t="s">
        <v>253</v>
      </c>
      <c r="H513" s="85" t="s">
        <v>188</v>
      </c>
      <c r="I513" s="2" t="s">
        <v>627</v>
      </c>
      <c r="J513" s="85" t="s">
        <v>258</v>
      </c>
      <c r="K513" s="85">
        <v>197</v>
      </c>
      <c r="L513" s="59" t="s">
        <v>270</v>
      </c>
      <c r="M513" s="59"/>
    </row>
    <row r="514" spans="6:13" hidden="1" x14ac:dyDescent="0.4">
      <c r="F514" s="213">
        <v>513</v>
      </c>
      <c r="G514" s="85" t="s">
        <v>254</v>
      </c>
      <c r="H514" s="85"/>
      <c r="I514" s="2" t="s">
        <v>603</v>
      </c>
      <c r="J514" s="85" t="s">
        <v>258</v>
      </c>
      <c r="K514" s="85">
        <v>197</v>
      </c>
      <c r="L514" s="59" t="s">
        <v>270</v>
      </c>
      <c r="M514" s="59"/>
    </row>
    <row r="515" spans="6:13" hidden="1" x14ac:dyDescent="0.4">
      <c r="F515" s="215">
        <v>514</v>
      </c>
      <c r="G515" s="85" t="s">
        <v>253</v>
      </c>
      <c r="H515" s="85" t="s">
        <v>248</v>
      </c>
      <c r="I515" s="70" t="s">
        <v>248</v>
      </c>
      <c r="J515" s="85" t="s">
        <v>258</v>
      </c>
      <c r="K515" s="85" t="s">
        <v>253</v>
      </c>
      <c r="L515" s="59" t="s">
        <v>270</v>
      </c>
      <c r="M515" s="59"/>
    </row>
    <row r="516" spans="6:13" hidden="1" x14ac:dyDescent="0.4">
      <c r="F516" s="213">
        <v>515</v>
      </c>
      <c r="G516" s="85" t="s">
        <v>254</v>
      </c>
      <c r="H516" s="85"/>
      <c r="I516" s="2" t="s">
        <v>605</v>
      </c>
      <c r="J516" s="85" t="s">
        <v>258</v>
      </c>
      <c r="K516" s="85">
        <v>469</v>
      </c>
      <c r="L516" s="59" t="s">
        <v>265</v>
      </c>
      <c r="M516" s="59"/>
    </row>
    <row r="517" spans="6:13" hidden="1" x14ac:dyDescent="0.4">
      <c r="F517" s="213">
        <v>516</v>
      </c>
      <c r="G517" s="85" t="s">
        <v>253</v>
      </c>
      <c r="H517" s="85" t="s">
        <v>188</v>
      </c>
      <c r="I517" s="2" t="s">
        <v>627</v>
      </c>
      <c r="J517" s="85" t="s">
        <v>258</v>
      </c>
      <c r="K517" s="85">
        <v>469</v>
      </c>
      <c r="L517" s="59" t="s">
        <v>265</v>
      </c>
      <c r="M517" s="59"/>
    </row>
    <row r="518" spans="6:13" hidden="1" x14ac:dyDescent="0.4">
      <c r="F518" s="213">
        <v>517</v>
      </c>
      <c r="G518" s="85" t="s">
        <v>161</v>
      </c>
      <c r="H518" s="85" t="s">
        <v>188</v>
      </c>
      <c r="I518" s="2" t="s">
        <v>610</v>
      </c>
      <c r="J518" s="85" t="s">
        <v>257</v>
      </c>
      <c r="K518" s="85">
        <v>1083</v>
      </c>
      <c r="L518" s="59" t="s">
        <v>262</v>
      </c>
      <c r="M518" s="59"/>
    </row>
    <row r="519" spans="6:13" hidden="1" x14ac:dyDescent="0.4">
      <c r="F519" s="213">
        <v>518</v>
      </c>
      <c r="G519" s="85" t="s">
        <v>161</v>
      </c>
      <c r="H519" s="85" t="s">
        <v>185</v>
      </c>
      <c r="I519" s="2" t="s">
        <v>600</v>
      </c>
      <c r="J519" s="85" t="s">
        <v>258</v>
      </c>
      <c r="K519" s="85">
        <v>197</v>
      </c>
      <c r="L519" s="59" t="s">
        <v>270</v>
      </c>
      <c r="M519" s="59"/>
    </row>
    <row r="520" spans="6:13" hidden="1" x14ac:dyDescent="0.4">
      <c r="F520" s="213">
        <v>519</v>
      </c>
      <c r="G520" s="85" t="s">
        <v>254</v>
      </c>
      <c r="H520" s="85" t="s">
        <v>188</v>
      </c>
      <c r="I520" s="82" t="s">
        <v>607</v>
      </c>
      <c r="J520" s="85" t="s">
        <v>258</v>
      </c>
      <c r="K520" s="85">
        <v>227</v>
      </c>
      <c r="L520" s="59" t="s">
        <v>270</v>
      </c>
      <c r="M520" s="59"/>
    </row>
    <row r="521" spans="6:13" hidden="1" x14ac:dyDescent="0.4">
      <c r="F521" s="213">
        <v>520</v>
      </c>
      <c r="G521" s="85" t="s">
        <v>161</v>
      </c>
      <c r="H521" s="85" t="s">
        <v>188</v>
      </c>
      <c r="I521" s="2" t="s">
        <v>610</v>
      </c>
      <c r="J521" s="85" t="s">
        <v>257</v>
      </c>
      <c r="K521" s="85">
        <v>1095</v>
      </c>
      <c r="L521" s="59" t="s">
        <v>262</v>
      </c>
      <c r="M521" s="59"/>
    </row>
    <row r="522" spans="6:13" hidden="1" x14ac:dyDescent="0.4">
      <c r="F522" s="213">
        <v>521</v>
      </c>
      <c r="G522" s="85" t="s">
        <v>161</v>
      </c>
      <c r="H522" s="85" t="s">
        <v>186</v>
      </c>
      <c r="I522" s="2" t="s">
        <v>624</v>
      </c>
      <c r="J522" s="85" t="s">
        <v>258</v>
      </c>
      <c r="K522" s="85">
        <v>198</v>
      </c>
      <c r="L522" s="59" t="s">
        <v>270</v>
      </c>
      <c r="M522" s="59"/>
    </row>
    <row r="523" spans="6:13" hidden="1" x14ac:dyDescent="0.4">
      <c r="F523" s="213">
        <v>522</v>
      </c>
      <c r="G523" s="85" t="s">
        <v>254</v>
      </c>
      <c r="H523" s="85"/>
      <c r="I523" s="2" t="s">
        <v>602</v>
      </c>
      <c r="J523" s="85" t="s">
        <v>258</v>
      </c>
      <c r="K523" s="85">
        <v>440</v>
      </c>
      <c r="L523" s="59" t="s">
        <v>265</v>
      </c>
      <c r="M523" s="59"/>
    </row>
    <row r="524" spans="6:13" hidden="1" x14ac:dyDescent="0.4">
      <c r="F524" s="218">
        <v>523</v>
      </c>
      <c r="G524" s="85" t="s">
        <v>254</v>
      </c>
      <c r="H524" s="85" t="s">
        <v>185</v>
      </c>
      <c r="I524" s="82" t="s">
        <v>614</v>
      </c>
      <c r="J524" s="85" t="s">
        <v>257</v>
      </c>
      <c r="K524" s="85">
        <v>1096</v>
      </c>
      <c r="L524" s="59" t="s">
        <v>262</v>
      </c>
      <c r="M524" s="59"/>
    </row>
    <row r="525" spans="6:13" hidden="1" x14ac:dyDescent="0.4">
      <c r="F525" s="218">
        <v>524</v>
      </c>
      <c r="G525" s="85" t="s">
        <v>161</v>
      </c>
      <c r="H525" s="85" t="s">
        <v>188</v>
      </c>
      <c r="I525" s="82" t="s">
        <v>635</v>
      </c>
      <c r="J525" s="85" t="s">
        <v>257</v>
      </c>
      <c r="K525" s="85">
        <v>1070</v>
      </c>
      <c r="L525" s="59" t="s">
        <v>262</v>
      </c>
      <c r="M525" s="59"/>
    </row>
    <row r="526" spans="6:13" hidden="1" x14ac:dyDescent="0.4">
      <c r="F526" s="218">
        <v>525</v>
      </c>
      <c r="G526" s="85" t="s">
        <v>253</v>
      </c>
      <c r="H526" s="85" t="s">
        <v>188</v>
      </c>
      <c r="I526" s="82" t="s">
        <v>636</v>
      </c>
      <c r="J526" s="85" t="s">
        <v>257</v>
      </c>
      <c r="K526" s="85">
        <v>1096</v>
      </c>
      <c r="L526" s="59" t="s">
        <v>262</v>
      </c>
      <c r="M526" s="59"/>
    </row>
    <row r="527" spans="6:13" hidden="1" x14ac:dyDescent="0.4">
      <c r="F527" s="219">
        <v>526</v>
      </c>
      <c r="G527" s="85" t="s">
        <v>253</v>
      </c>
      <c r="H527" s="85" t="s">
        <v>248</v>
      </c>
      <c r="I527" s="2" t="s">
        <v>248</v>
      </c>
      <c r="J527" s="85" t="s">
        <v>257</v>
      </c>
      <c r="K527" s="85" t="s">
        <v>253</v>
      </c>
      <c r="L527" s="59" t="s">
        <v>262</v>
      </c>
      <c r="M527" s="59"/>
    </row>
    <row r="528" spans="6:13" hidden="1" x14ac:dyDescent="0.4">
      <c r="F528" s="218">
        <v>527</v>
      </c>
      <c r="G528" s="85" t="s">
        <v>161</v>
      </c>
      <c r="H528" s="85" t="s">
        <v>189</v>
      </c>
      <c r="I528" s="3" t="s">
        <v>609</v>
      </c>
      <c r="J528" s="85" t="s">
        <v>258</v>
      </c>
      <c r="K528" s="85">
        <v>199</v>
      </c>
      <c r="L528" s="59" t="s">
        <v>270</v>
      </c>
      <c r="M528" s="59"/>
    </row>
    <row r="529" spans="6:13" hidden="1" x14ac:dyDescent="0.4">
      <c r="F529" s="218">
        <v>528</v>
      </c>
      <c r="G529" s="85" t="s">
        <v>161</v>
      </c>
      <c r="H529" s="85" t="s">
        <v>188</v>
      </c>
      <c r="I529" s="82" t="s">
        <v>631</v>
      </c>
      <c r="J529" s="85" t="s">
        <v>258</v>
      </c>
      <c r="K529" s="85">
        <v>229</v>
      </c>
      <c r="L529" s="59" t="s">
        <v>269</v>
      </c>
      <c r="M529" s="59"/>
    </row>
    <row r="530" spans="6:13" hidden="1" x14ac:dyDescent="0.4">
      <c r="F530" s="218">
        <v>529</v>
      </c>
      <c r="G530" s="85" t="s">
        <v>161</v>
      </c>
      <c r="H530" s="85" t="s">
        <v>186</v>
      </c>
      <c r="I530" s="2" t="s">
        <v>624</v>
      </c>
      <c r="J530" s="85" t="s">
        <v>258</v>
      </c>
      <c r="K530" s="85">
        <v>382</v>
      </c>
      <c r="L530" s="59" t="s">
        <v>270</v>
      </c>
      <c r="M530" s="59"/>
    </row>
    <row r="531" spans="6:13" hidden="1" x14ac:dyDescent="0.4">
      <c r="F531" s="218">
        <v>530</v>
      </c>
      <c r="G531" s="85" t="s">
        <v>254</v>
      </c>
      <c r="H531" s="85"/>
      <c r="I531" s="82" t="s">
        <v>637</v>
      </c>
      <c r="J531" s="85" t="s">
        <v>257</v>
      </c>
      <c r="K531" s="85">
        <v>1109</v>
      </c>
      <c r="L531" s="59" t="s">
        <v>262</v>
      </c>
      <c r="M531" s="59"/>
    </row>
    <row r="532" spans="6:13" hidden="1" x14ac:dyDescent="0.4">
      <c r="F532" s="218">
        <v>531</v>
      </c>
      <c r="G532" s="85" t="s">
        <v>161</v>
      </c>
      <c r="H532" s="85" t="s">
        <v>188</v>
      </c>
      <c r="I532" s="82" t="s">
        <v>629</v>
      </c>
      <c r="J532" s="85" t="s">
        <v>257</v>
      </c>
      <c r="K532" s="85">
        <v>1097</v>
      </c>
      <c r="L532" s="59" t="s">
        <v>262</v>
      </c>
      <c r="M532" s="59"/>
    </row>
    <row r="533" spans="6:13" hidden="1" x14ac:dyDescent="0.4">
      <c r="F533" s="218">
        <v>532</v>
      </c>
      <c r="G533" s="85" t="s">
        <v>161</v>
      </c>
      <c r="H533" s="85" t="s">
        <v>187</v>
      </c>
      <c r="I533" s="82" t="s">
        <v>611</v>
      </c>
      <c r="J533" s="85" t="s">
        <v>258</v>
      </c>
      <c r="K533" s="85">
        <v>170</v>
      </c>
      <c r="L533" s="59" t="s">
        <v>269</v>
      </c>
      <c r="M533" s="59"/>
    </row>
    <row r="534" spans="6:13" hidden="1" x14ac:dyDescent="0.4">
      <c r="F534" s="218">
        <v>533</v>
      </c>
      <c r="G534" s="85" t="s">
        <v>161</v>
      </c>
      <c r="H534" s="85" t="s">
        <v>185</v>
      </c>
      <c r="I534" s="82" t="s">
        <v>602</v>
      </c>
      <c r="J534" s="85" t="s">
        <v>258</v>
      </c>
      <c r="K534" s="85">
        <v>140</v>
      </c>
      <c r="L534" s="59" t="s">
        <v>269</v>
      </c>
      <c r="M534" s="59"/>
    </row>
    <row r="535" spans="6:13" hidden="1" x14ac:dyDescent="0.4">
      <c r="F535" s="218">
        <v>534</v>
      </c>
      <c r="G535" s="85" t="s">
        <v>161</v>
      </c>
      <c r="H535" s="85" t="s">
        <v>188</v>
      </c>
      <c r="I535" s="82" t="s">
        <v>629</v>
      </c>
      <c r="J535" s="85" t="s">
        <v>257</v>
      </c>
      <c r="K535" s="85">
        <v>1087</v>
      </c>
      <c r="L535" s="59" t="s">
        <v>262</v>
      </c>
      <c r="M535" s="59"/>
    </row>
    <row r="536" spans="6:13" hidden="1" x14ac:dyDescent="0.4">
      <c r="F536" s="218">
        <v>535</v>
      </c>
      <c r="G536" s="85" t="s">
        <v>161</v>
      </c>
      <c r="H536" s="85" t="s">
        <v>188</v>
      </c>
      <c r="I536" s="82" t="s">
        <v>635</v>
      </c>
      <c r="J536" s="85" t="s">
        <v>257</v>
      </c>
      <c r="K536" s="85">
        <v>1087</v>
      </c>
      <c r="L536" s="59" t="s">
        <v>262</v>
      </c>
      <c r="M536" s="59"/>
    </row>
    <row r="537" spans="6:13" hidden="1" x14ac:dyDescent="0.4">
      <c r="F537" s="219">
        <v>536</v>
      </c>
      <c r="G537" s="85" t="s">
        <v>253</v>
      </c>
      <c r="H537" s="85" t="s">
        <v>248</v>
      </c>
      <c r="I537" s="69" t="s">
        <v>248</v>
      </c>
      <c r="J537" s="85" t="s">
        <v>258</v>
      </c>
      <c r="K537" s="85" t="s">
        <v>253</v>
      </c>
      <c r="L537" s="59" t="s">
        <v>269</v>
      </c>
      <c r="M537" s="59"/>
    </row>
    <row r="538" spans="6:13" hidden="1" x14ac:dyDescent="0.4">
      <c r="F538" s="218">
        <v>537</v>
      </c>
      <c r="G538" s="85" t="s">
        <v>253</v>
      </c>
      <c r="H538" s="85"/>
      <c r="I538" s="82" t="s">
        <v>604</v>
      </c>
      <c r="J538" s="85" t="s">
        <v>257</v>
      </c>
      <c r="K538" s="85">
        <v>1028</v>
      </c>
      <c r="L538" s="59" t="s">
        <v>262</v>
      </c>
      <c r="M538" s="59"/>
    </row>
    <row r="539" spans="6:13" hidden="1" x14ac:dyDescent="0.4">
      <c r="F539" s="218">
        <v>538</v>
      </c>
      <c r="G539" s="85" t="s">
        <v>254</v>
      </c>
      <c r="H539" s="85"/>
      <c r="I539" s="82" t="s">
        <v>610</v>
      </c>
      <c r="J539" s="85" t="s">
        <v>258</v>
      </c>
      <c r="K539" s="85">
        <v>416</v>
      </c>
      <c r="L539" s="59" t="s">
        <v>265</v>
      </c>
      <c r="M539" s="59"/>
    </row>
    <row r="540" spans="6:13" hidden="1" x14ac:dyDescent="0.4">
      <c r="F540" s="218">
        <v>539</v>
      </c>
      <c r="G540" s="85" t="s">
        <v>161</v>
      </c>
      <c r="H540" s="85" t="s">
        <v>185</v>
      </c>
      <c r="I540" s="82" t="s">
        <v>604</v>
      </c>
      <c r="J540" s="85" t="s">
        <v>257</v>
      </c>
      <c r="K540" s="85">
        <v>1074</v>
      </c>
      <c r="L540" s="59" t="s">
        <v>262</v>
      </c>
      <c r="M540" s="59"/>
    </row>
    <row r="541" spans="6:13" hidden="1" x14ac:dyDescent="0.4">
      <c r="F541" s="218">
        <v>540</v>
      </c>
      <c r="G541" s="85" t="s">
        <v>161</v>
      </c>
      <c r="H541" s="85" t="s">
        <v>186</v>
      </c>
      <c r="I541" s="82" t="s">
        <v>602</v>
      </c>
      <c r="J541" s="85" t="s">
        <v>258</v>
      </c>
      <c r="K541" s="85">
        <v>111</v>
      </c>
      <c r="L541" s="59" t="s">
        <v>269</v>
      </c>
      <c r="M541" s="59"/>
    </row>
    <row r="542" spans="6:13" hidden="1" x14ac:dyDescent="0.4">
      <c r="F542" s="218">
        <v>541</v>
      </c>
      <c r="G542" s="85" t="s">
        <v>161</v>
      </c>
      <c r="H542" s="85" t="s">
        <v>189</v>
      </c>
      <c r="I542" s="3" t="s">
        <v>609</v>
      </c>
      <c r="J542" s="85" t="s">
        <v>257</v>
      </c>
      <c r="K542" s="85">
        <v>1100</v>
      </c>
      <c r="L542" s="59" t="s">
        <v>262</v>
      </c>
      <c r="M542" s="59"/>
    </row>
    <row r="543" spans="6:13" hidden="1" x14ac:dyDescent="0.4">
      <c r="F543" s="218">
        <v>542</v>
      </c>
      <c r="G543" s="85" t="s">
        <v>161</v>
      </c>
      <c r="H543" s="85" t="s">
        <v>187</v>
      </c>
      <c r="I543" s="82" t="s">
        <v>607</v>
      </c>
      <c r="J543" s="85" t="s">
        <v>257</v>
      </c>
      <c r="K543" s="85">
        <v>991</v>
      </c>
      <c r="L543" s="59" t="s">
        <v>262</v>
      </c>
      <c r="M543" s="59"/>
    </row>
    <row r="544" spans="6:13" hidden="1" x14ac:dyDescent="0.4">
      <c r="F544" s="218">
        <v>543</v>
      </c>
      <c r="G544" s="85" t="s">
        <v>161</v>
      </c>
      <c r="H544" s="85" t="s">
        <v>186</v>
      </c>
      <c r="I544" s="82" t="s">
        <v>602</v>
      </c>
      <c r="J544" s="85" t="s">
        <v>258</v>
      </c>
      <c r="K544" s="85">
        <v>386</v>
      </c>
      <c r="L544" s="59" t="s">
        <v>270</v>
      </c>
      <c r="M544" s="59"/>
    </row>
    <row r="545" spans="6:13" x14ac:dyDescent="0.4">
      <c r="F545" s="218">
        <v>544</v>
      </c>
      <c r="G545" s="85" t="s">
        <v>161</v>
      </c>
      <c r="H545" s="85" t="s">
        <v>186</v>
      </c>
      <c r="I545" s="82" t="s">
        <v>607</v>
      </c>
      <c r="J545" s="85" t="s">
        <v>257</v>
      </c>
      <c r="K545" s="85">
        <v>1074</v>
      </c>
      <c r="L545" s="59" t="s">
        <v>262</v>
      </c>
      <c r="M545" s="59"/>
    </row>
    <row r="546" spans="6:13" hidden="1" x14ac:dyDescent="0.4">
      <c r="F546" s="219">
        <v>545</v>
      </c>
      <c r="G546" s="85" t="s">
        <v>253</v>
      </c>
      <c r="H546" s="85" t="s">
        <v>248</v>
      </c>
      <c r="I546" s="69" t="s">
        <v>248</v>
      </c>
      <c r="J546" s="85" t="s">
        <v>258</v>
      </c>
      <c r="K546" s="85" t="s">
        <v>253</v>
      </c>
      <c r="L546" s="59" t="s">
        <v>270</v>
      </c>
      <c r="M546" s="59"/>
    </row>
    <row r="547" spans="6:13" hidden="1" x14ac:dyDescent="0.4">
      <c r="F547" s="218">
        <v>546</v>
      </c>
      <c r="G547" s="85" t="s">
        <v>161</v>
      </c>
      <c r="H547" s="85" t="s">
        <v>188</v>
      </c>
      <c r="I547" s="82" t="s">
        <v>638</v>
      </c>
      <c r="J547" s="85" t="s">
        <v>258</v>
      </c>
      <c r="K547" s="85">
        <v>387</v>
      </c>
      <c r="L547" s="59" t="s">
        <v>270</v>
      </c>
      <c r="M547" s="59"/>
    </row>
    <row r="548" spans="6:13" hidden="1" x14ac:dyDescent="0.4">
      <c r="F548" s="218">
        <v>547</v>
      </c>
      <c r="G548" s="85" t="s">
        <v>161</v>
      </c>
      <c r="H548" s="85" t="s">
        <v>185</v>
      </c>
      <c r="I548" s="82" t="s">
        <v>624</v>
      </c>
      <c r="J548" s="85" t="s">
        <v>257</v>
      </c>
      <c r="K548" s="85">
        <v>1251</v>
      </c>
      <c r="L548" s="59" t="s">
        <v>264</v>
      </c>
      <c r="M548" s="59"/>
    </row>
    <row r="549" spans="6:13" hidden="1" x14ac:dyDescent="0.4">
      <c r="F549" s="218">
        <v>548</v>
      </c>
      <c r="G549" s="85" t="s">
        <v>254</v>
      </c>
      <c r="H549" s="85"/>
      <c r="I549" s="82" t="s">
        <v>614</v>
      </c>
      <c r="J549" s="85" t="s">
        <v>258</v>
      </c>
      <c r="K549" s="85">
        <v>476</v>
      </c>
      <c r="L549" s="59" t="s">
        <v>265</v>
      </c>
      <c r="M549" s="59"/>
    </row>
    <row r="550" spans="6:13" hidden="1" x14ac:dyDescent="0.4">
      <c r="F550" s="218">
        <v>549</v>
      </c>
      <c r="G550" s="85" t="s">
        <v>254</v>
      </c>
      <c r="H550" s="85" t="s">
        <v>188</v>
      </c>
      <c r="I550" s="82" t="s">
        <v>604</v>
      </c>
      <c r="J550" s="85" t="s">
        <v>258</v>
      </c>
      <c r="K550" s="85">
        <v>478</v>
      </c>
      <c r="L550" s="59" t="s">
        <v>265</v>
      </c>
      <c r="M550" s="59"/>
    </row>
    <row r="551" spans="6:13" hidden="1" x14ac:dyDescent="0.4">
      <c r="F551" s="213">
        <v>550</v>
      </c>
      <c r="G551" s="85" t="s">
        <v>254</v>
      </c>
      <c r="H551" s="85" t="s">
        <v>188</v>
      </c>
      <c r="I551" s="82" t="s">
        <v>615</v>
      </c>
      <c r="J551" s="85" t="s">
        <v>258</v>
      </c>
      <c r="K551" s="85">
        <v>358</v>
      </c>
      <c r="L551" s="59" t="s">
        <v>269</v>
      </c>
      <c r="M551" s="59"/>
    </row>
    <row r="552" spans="6:13" hidden="1" x14ac:dyDescent="0.4">
      <c r="F552" s="213">
        <v>551</v>
      </c>
      <c r="G552" s="85" t="s">
        <v>161</v>
      </c>
      <c r="H552" s="85" t="s">
        <v>185</v>
      </c>
      <c r="I552" s="2" t="s">
        <v>607</v>
      </c>
      <c r="J552" s="85" t="s">
        <v>258</v>
      </c>
      <c r="K552" s="85">
        <v>206</v>
      </c>
      <c r="L552" s="59" t="s">
        <v>270</v>
      </c>
      <c r="M552" s="59"/>
    </row>
    <row r="553" spans="6:13" hidden="1" x14ac:dyDescent="0.4">
      <c r="F553" s="213">
        <v>552</v>
      </c>
      <c r="G553" s="85" t="s">
        <v>161</v>
      </c>
      <c r="H553" s="85" t="s">
        <v>185</v>
      </c>
      <c r="I553" s="2" t="s">
        <v>618</v>
      </c>
      <c r="J553" s="85" t="s">
        <v>258</v>
      </c>
      <c r="K553" s="85">
        <v>449</v>
      </c>
      <c r="L553" s="59" t="s">
        <v>265</v>
      </c>
      <c r="M553" s="59"/>
    </row>
    <row r="554" spans="6:13" hidden="1" x14ac:dyDescent="0.4">
      <c r="F554" s="213">
        <v>553</v>
      </c>
      <c r="G554" s="85" t="s">
        <v>161</v>
      </c>
      <c r="H554" s="85" t="s">
        <v>186</v>
      </c>
      <c r="I554" s="82" t="s">
        <v>602</v>
      </c>
      <c r="J554" s="85" t="s">
        <v>258</v>
      </c>
      <c r="K554" s="85">
        <v>449</v>
      </c>
      <c r="L554" s="59" t="s">
        <v>265</v>
      </c>
      <c r="M554" s="59"/>
    </row>
    <row r="555" spans="6:13" hidden="1" x14ac:dyDescent="0.4">
      <c r="F555" s="213">
        <v>554</v>
      </c>
      <c r="G555" s="85" t="s">
        <v>253</v>
      </c>
      <c r="H555" s="85" t="s">
        <v>189</v>
      </c>
      <c r="I555" s="3" t="s">
        <v>609</v>
      </c>
      <c r="J555" s="85" t="s">
        <v>258</v>
      </c>
      <c r="K555" s="85">
        <v>268</v>
      </c>
      <c r="L555" s="59" t="s">
        <v>270</v>
      </c>
      <c r="M555" s="59"/>
    </row>
    <row r="556" spans="6:13" hidden="1" x14ac:dyDescent="0.4">
      <c r="F556" s="213">
        <v>555</v>
      </c>
      <c r="G556" s="85" t="s">
        <v>254</v>
      </c>
      <c r="H556" s="85"/>
      <c r="I556" s="2" t="s">
        <v>614</v>
      </c>
      <c r="J556" s="85" t="s">
        <v>258</v>
      </c>
      <c r="K556" s="85">
        <v>480</v>
      </c>
      <c r="L556" s="59" t="s">
        <v>265</v>
      </c>
      <c r="M556" s="59"/>
    </row>
    <row r="557" spans="6:13" hidden="1" x14ac:dyDescent="0.4">
      <c r="F557" s="213">
        <v>556</v>
      </c>
      <c r="G557" s="85" t="s">
        <v>254</v>
      </c>
      <c r="H557" s="85"/>
      <c r="I557" s="2" t="s">
        <v>614</v>
      </c>
      <c r="J557" s="85" t="s">
        <v>258</v>
      </c>
      <c r="K557" s="85">
        <v>480</v>
      </c>
      <c r="L557" s="59" t="s">
        <v>265</v>
      </c>
      <c r="M557" s="59"/>
    </row>
    <row r="558" spans="6:13" hidden="1" x14ac:dyDescent="0.4">
      <c r="F558" s="218">
        <v>557</v>
      </c>
      <c r="G558" s="85" t="s">
        <v>161</v>
      </c>
      <c r="H558" s="85" t="s">
        <v>185</v>
      </c>
      <c r="I558" s="82" t="s">
        <v>624</v>
      </c>
      <c r="J558" s="85" t="s">
        <v>257</v>
      </c>
      <c r="K558" s="85">
        <v>1254</v>
      </c>
      <c r="L558" s="59" t="s">
        <v>264</v>
      </c>
      <c r="M558" s="59"/>
    </row>
    <row r="559" spans="6:13" hidden="1" x14ac:dyDescent="0.4">
      <c r="F559" s="218">
        <v>558</v>
      </c>
      <c r="G559" s="85" t="s">
        <v>254</v>
      </c>
      <c r="H559" s="85" t="s">
        <v>185</v>
      </c>
      <c r="I559" s="82" t="s">
        <v>630</v>
      </c>
      <c r="J559" s="85" t="s">
        <v>258</v>
      </c>
      <c r="K559" s="85">
        <v>238</v>
      </c>
      <c r="L559" s="59" t="s">
        <v>270</v>
      </c>
      <c r="M559" s="59"/>
    </row>
    <row r="560" spans="6:13" hidden="1" x14ac:dyDescent="0.4">
      <c r="F560" s="218">
        <v>559</v>
      </c>
      <c r="G560" s="85" t="s">
        <v>161</v>
      </c>
      <c r="H560" s="85" t="s">
        <v>188</v>
      </c>
      <c r="I560" s="82" t="s">
        <v>624</v>
      </c>
      <c r="J560" s="85" t="s">
        <v>257</v>
      </c>
      <c r="K560" s="85">
        <v>1258</v>
      </c>
      <c r="L560" s="59" t="s">
        <v>264</v>
      </c>
      <c r="M560" s="59"/>
    </row>
    <row r="561" spans="6:13" hidden="1" x14ac:dyDescent="0.4">
      <c r="F561" s="218">
        <v>560</v>
      </c>
      <c r="G561" s="85" t="s">
        <v>161</v>
      </c>
      <c r="H561" s="85" t="s">
        <v>185</v>
      </c>
      <c r="I561" s="82" t="s">
        <v>624</v>
      </c>
      <c r="J561" s="85" t="s">
        <v>257</v>
      </c>
      <c r="K561" s="85">
        <v>1255</v>
      </c>
      <c r="L561" s="59" t="s">
        <v>264</v>
      </c>
      <c r="M561" s="59"/>
    </row>
    <row r="562" spans="6:13" hidden="1" x14ac:dyDescent="0.4">
      <c r="F562" s="218">
        <v>561</v>
      </c>
      <c r="G562" s="85" t="s">
        <v>254</v>
      </c>
      <c r="H562" s="85"/>
      <c r="I562" s="82" t="s">
        <v>630</v>
      </c>
      <c r="J562" s="85" t="s">
        <v>258</v>
      </c>
      <c r="K562" s="85">
        <v>392</v>
      </c>
      <c r="L562" s="59" t="s">
        <v>270</v>
      </c>
      <c r="M562" s="59"/>
    </row>
    <row r="563" spans="6:13" hidden="1" x14ac:dyDescent="0.4">
      <c r="F563" s="218">
        <v>562</v>
      </c>
      <c r="G563" s="85" t="s">
        <v>161</v>
      </c>
      <c r="H563" s="85" t="s">
        <v>185</v>
      </c>
      <c r="I563" s="82" t="s">
        <v>603</v>
      </c>
      <c r="J563" s="85" t="s">
        <v>258</v>
      </c>
      <c r="K563" s="85">
        <v>392</v>
      </c>
      <c r="L563" s="59" t="s">
        <v>270</v>
      </c>
      <c r="M563" s="59"/>
    </row>
    <row r="564" spans="6:13" hidden="1" x14ac:dyDescent="0.4">
      <c r="F564" s="218">
        <v>563</v>
      </c>
      <c r="G564" s="85" t="s">
        <v>254</v>
      </c>
      <c r="H564" s="85" t="s">
        <v>188</v>
      </c>
      <c r="I564" s="82" t="s">
        <v>639</v>
      </c>
      <c r="J564" s="85" t="s">
        <v>258</v>
      </c>
      <c r="K564" s="85">
        <v>392</v>
      </c>
      <c r="L564" s="59" t="s">
        <v>270</v>
      </c>
      <c r="M564" s="59"/>
    </row>
    <row r="565" spans="6:13" hidden="1" x14ac:dyDescent="0.4">
      <c r="F565" s="218">
        <v>564</v>
      </c>
      <c r="G565" s="85" t="s">
        <v>161</v>
      </c>
      <c r="H565" s="85" t="s">
        <v>189</v>
      </c>
      <c r="I565" s="82" t="s">
        <v>611</v>
      </c>
      <c r="J565" s="85" t="s">
        <v>258</v>
      </c>
      <c r="K565" s="85">
        <v>332</v>
      </c>
      <c r="L565" s="59" t="s">
        <v>270</v>
      </c>
      <c r="M565" s="59"/>
    </row>
    <row r="566" spans="6:13" hidden="1" x14ac:dyDescent="0.4">
      <c r="F566" s="218">
        <v>565</v>
      </c>
      <c r="G566" s="85" t="s">
        <v>161</v>
      </c>
      <c r="H566" s="85" t="s">
        <v>189</v>
      </c>
      <c r="I566" s="2" t="s">
        <v>624</v>
      </c>
      <c r="J566" s="85" t="s">
        <v>257</v>
      </c>
      <c r="K566" s="85">
        <v>1107</v>
      </c>
      <c r="L566" s="59" t="s">
        <v>262</v>
      </c>
      <c r="M566" s="59"/>
    </row>
    <row r="567" spans="6:13" hidden="1" x14ac:dyDescent="0.4">
      <c r="F567" s="218">
        <v>566</v>
      </c>
      <c r="G567" s="85" t="s">
        <v>254</v>
      </c>
      <c r="H567" s="85"/>
      <c r="I567" s="2" t="s">
        <v>600</v>
      </c>
      <c r="J567" s="85" t="s">
        <v>258</v>
      </c>
      <c r="K567" s="85">
        <v>241</v>
      </c>
      <c r="L567" s="59" t="s">
        <v>270</v>
      </c>
      <c r="M567" s="59"/>
    </row>
    <row r="568" spans="6:13" hidden="1" x14ac:dyDescent="0.4">
      <c r="F568" s="218">
        <v>567</v>
      </c>
      <c r="G568" s="85" t="s">
        <v>254</v>
      </c>
      <c r="H568" s="85"/>
      <c r="I568" s="82" t="s">
        <v>615</v>
      </c>
      <c r="J568" s="85" t="s">
        <v>258</v>
      </c>
      <c r="K568" s="85">
        <v>303</v>
      </c>
      <c r="L568" s="59" t="s">
        <v>270</v>
      </c>
      <c r="M568" s="59"/>
    </row>
    <row r="569" spans="6:13" hidden="1" x14ac:dyDescent="0.4">
      <c r="F569" s="219">
        <v>568</v>
      </c>
      <c r="G569" s="85" t="s">
        <v>253</v>
      </c>
      <c r="H569" s="85" t="s">
        <v>248</v>
      </c>
      <c r="I569" s="69" t="s">
        <v>248</v>
      </c>
      <c r="J569" s="85" t="s">
        <v>258</v>
      </c>
      <c r="K569" s="85" t="s">
        <v>253</v>
      </c>
      <c r="L569" s="59" t="s">
        <v>270</v>
      </c>
      <c r="M569" s="59"/>
    </row>
    <row r="570" spans="6:13" hidden="1" x14ac:dyDescent="0.4">
      <c r="F570" s="218">
        <v>569</v>
      </c>
      <c r="G570" s="85" t="s">
        <v>253</v>
      </c>
      <c r="H570" s="85" t="s">
        <v>188</v>
      </c>
      <c r="I570" s="82" t="s">
        <v>607</v>
      </c>
      <c r="J570" s="85" t="s">
        <v>258</v>
      </c>
      <c r="K570" s="85">
        <v>272</v>
      </c>
      <c r="L570" s="59" t="s">
        <v>270</v>
      </c>
      <c r="M570" s="59"/>
    </row>
    <row r="571" spans="6:13" hidden="1" x14ac:dyDescent="0.4">
      <c r="F571" s="218">
        <v>570</v>
      </c>
      <c r="G571" s="85" t="s">
        <v>161</v>
      </c>
      <c r="H571" s="85" t="s">
        <v>185</v>
      </c>
      <c r="I571" s="82" t="s">
        <v>611</v>
      </c>
      <c r="J571" s="85" t="s">
        <v>258</v>
      </c>
      <c r="K571" s="85">
        <v>181</v>
      </c>
      <c r="L571" s="59" t="s">
        <v>269</v>
      </c>
      <c r="M571" s="59"/>
    </row>
    <row r="572" spans="6:13" hidden="1" x14ac:dyDescent="0.4">
      <c r="F572" s="213">
        <v>571</v>
      </c>
      <c r="G572" s="85" t="s">
        <v>161</v>
      </c>
      <c r="H572" s="85" t="s">
        <v>185</v>
      </c>
      <c r="I572" s="82" t="s">
        <v>602</v>
      </c>
      <c r="J572" s="85" t="s">
        <v>258</v>
      </c>
      <c r="K572" s="85">
        <v>214</v>
      </c>
      <c r="L572" s="59" t="s">
        <v>270</v>
      </c>
      <c r="M572" s="59"/>
    </row>
    <row r="573" spans="6:13" x14ac:dyDescent="0.4">
      <c r="F573" s="213">
        <v>572</v>
      </c>
      <c r="G573" s="85" t="s">
        <v>161</v>
      </c>
      <c r="H573" s="85" t="s">
        <v>186</v>
      </c>
      <c r="I573" s="82" t="s">
        <v>607</v>
      </c>
      <c r="J573" s="85" t="s">
        <v>257</v>
      </c>
      <c r="K573" s="85">
        <v>1085</v>
      </c>
      <c r="L573" s="59" t="s">
        <v>262</v>
      </c>
      <c r="M573" s="59"/>
    </row>
    <row r="574" spans="6:13" x14ac:dyDescent="0.4">
      <c r="F574" s="213">
        <v>573</v>
      </c>
      <c r="G574" s="85" t="s">
        <v>161</v>
      </c>
      <c r="H574" s="85" t="s">
        <v>186</v>
      </c>
      <c r="I574" s="82" t="s">
        <v>607</v>
      </c>
      <c r="J574" s="85" t="s">
        <v>258</v>
      </c>
      <c r="K574" s="85">
        <v>214</v>
      </c>
      <c r="L574" s="59" t="s">
        <v>270</v>
      </c>
      <c r="M574" s="59"/>
    </row>
    <row r="575" spans="6:13" hidden="1" x14ac:dyDescent="0.4">
      <c r="F575" s="213">
        <v>574</v>
      </c>
      <c r="G575" s="85" t="s">
        <v>254</v>
      </c>
      <c r="H575" s="85"/>
      <c r="I575" s="2" t="s">
        <v>640</v>
      </c>
      <c r="J575" s="85" t="s">
        <v>257</v>
      </c>
      <c r="K575" s="85">
        <v>1260</v>
      </c>
      <c r="L575" s="59" t="s">
        <v>264</v>
      </c>
      <c r="M575" s="59"/>
    </row>
    <row r="576" spans="6:13" hidden="1" x14ac:dyDescent="0.4">
      <c r="F576" s="213">
        <v>575</v>
      </c>
      <c r="G576" s="85" t="s">
        <v>161</v>
      </c>
      <c r="H576" s="85" t="s">
        <v>188</v>
      </c>
      <c r="I576" s="2" t="s">
        <v>600</v>
      </c>
      <c r="J576" s="85" t="s">
        <v>258</v>
      </c>
      <c r="K576" s="85">
        <v>307</v>
      </c>
      <c r="L576" s="59" t="s">
        <v>269</v>
      </c>
      <c r="M576" s="59"/>
    </row>
    <row r="577" spans="6:13" hidden="1" x14ac:dyDescent="0.4">
      <c r="F577" s="213">
        <v>576</v>
      </c>
      <c r="G577" s="85" t="s">
        <v>161</v>
      </c>
      <c r="H577" s="85" t="s">
        <v>187</v>
      </c>
      <c r="I577" s="82" t="s">
        <v>624</v>
      </c>
      <c r="J577" s="85" t="s">
        <v>257</v>
      </c>
      <c r="K577" s="85">
        <v>1112</v>
      </c>
      <c r="L577" s="59" t="s">
        <v>262</v>
      </c>
      <c r="M577" s="59"/>
    </row>
    <row r="578" spans="6:13" hidden="1" x14ac:dyDescent="0.4">
      <c r="F578" s="213">
        <v>577</v>
      </c>
      <c r="G578" s="85" t="s">
        <v>161</v>
      </c>
      <c r="H578" s="85" t="s">
        <v>188</v>
      </c>
      <c r="I578" s="82" t="s">
        <v>615</v>
      </c>
      <c r="J578" s="85" t="s">
        <v>258</v>
      </c>
      <c r="K578" s="85">
        <v>337</v>
      </c>
      <c r="L578" s="59" t="s">
        <v>269</v>
      </c>
      <c r="M578" s="59"/>
    </row>
    <row r="579" spans="6:13" hidden="1" x14ac:dyDescent="0.4">
      <c r="F579" s="213">
        <v>578</v>
      </c>
      <c r="G579" s="85" t="s">
        <v>161</v>
      </c>
      <c r="H579" s="85" t="s">
        <v>187</v>
      </c>
      <c r="I579" s="82" t="s">
        <v>624</v>
      </c>
      <c r="J579" s="85" t="s">
        <v>257</v>
      </c>
      <c r="K579" s="85">
        <v>1112</v>
      </c>
      <c r="L579" s="59" t="s">
        <v>262</v>
      </c>
      <c r="M579" s="59"/>
    </row>
    <row r="580" spans="6:13" hidden="1" x14ac:dyDescent="0.4">
      <c r="F580" s="213">
        <v>579</v>
      </c>
      <c r="G580" s="85" t="s">
        <v>253</v>
      </c>
      <c r="H580" s="85" t="s">
        <v>187</v>
      </c>
      <c r="I580" s="2" t="s">
        <v>600</v>
      </c>
      <c r="J580" s="85" t="s">
        <v>258</v>
      </c>
      <c r="K580" s="85">
        <v>245</v>
      </c>
      <c r="L580" s="59" t="s">
        <v>270</v>
      </c>
      <c r="M580" s="59"/>
    </row>
    <row r="581" spans="6:13" hidden="1" x14ac:dyDescent="0.4">
      <c r="F581" s="213">
        <v>580</v>
      </c>
      <c r="G581" s="85" t="s">
        <v>254</v>
      </c>
      <c r="H581" s="85"/>
      <c r="I581" s="2" t="s">
        <v>607</v>
      </c>
      <c r="J581" s="85" t="s">
        <v>257</v>
      </c>
      <c r="K581" s="85">
        <v>1182</v>
      </c>
      <c r="L581" s="59" t="s">
        <v>266</v>
      </c>
      <c r="M581" s="59"/>
    </row>
    <row r="582" spans="6:13" hidden="1" x14ac:dyDescent="0.4">
      <c r="F582" s="215">
        <v>581</v>
      </c>
      <c r="G582" s="85" t="s">
        <v>253</v>
      </c>
      <c r="H582" s="85" t="s">
        <v>248</v>
      </c>
      <c r="I582" s="69" t="s">
        <v>248</v>
      </c>
      <c r="J582" s="85" t="s">
        <v>258</v>
      </c>
      <c r="K582" s="85" t="s">
        <v>253</v>
      </c>
      <c r="L582" s="59" t="s">
        <v>270</v>
      </c>
      <c r="M582" s="59"/>
    </row>
    <row r="583" spans="6:13" hidden="1" x14ac:dyDescent="0.4">
      <c r="F583" s="215">
        <v>582</v>
      </c>
      <c r="G583" s="85" t="s">
        <v>253</v>
      </c>
      <c r="H583" s="85" t="s">
        <v>248</v>
      </c>
      <c r="I583" s="69" t="s">
        <v>248</v>
      </c>
      <c r="J583" s="85" t="s">
        <v>257</v>
      </c>
      <c r="K583" s="85" t="s">
        <v>253</v>
      </c>
      <c r="L583" s="59" t="s">
        <v>266</v>
      </c>
      <c r="M583" s="59"/>
    </row>
    <row r="584" spans="6:13" hidden="1" x14ac:dyDescent="0.4">
      <c r="F584" s="213">
        <v>583</v>
      </c>
      <c r="G584" s="85" t="s">
        <v>161</v>
      </c>
      <c r="H584" s="85" t="s">
        <v>189</v>
      </c>
      <c r="I584" s="2" t="s">
        <v>611</v>
      </c>
      <c r="J584" s="85" t="s">
        <v>258</v>
      </c>
      <c r="K584" s="85">
        <v>277</v>
      </c>
      <c r="L584" s="59" t="s">
        <v>270</v>
      </c>
      <c r="M584" s="59"/>
    </row>
    <row r="585" spans="6:13" hidden="1" x14ac:dyDescent="0.4">
      <c r="F585" s="213">
        <v>584</v>
      </c>
      <c r="G585" s="85" t="s">
        <v>161</v>
      </c>
      <c r="H585" s="85" t="s">
        <v>187</v>
      </c>
      <c r="I585" s="82" t="s">
        <v>624</v>
      </c>
      <c r="J585" s="85" t="s">
        <v>257</v>
      </c>
      <c r="K585" s="85">
        <v>1113</v>
      </c>
      <c r="L585" s="59" t="s">
        <v>262</v>
      </c>
      <c r="M585" s="59"/>
    </row>
    <row r="586" spans="6:13" hidden="1" x14ac:dyDescent="0.4">
      <c r="F586" s="213">
        <v>585</v>
      </c>
      <c r="G586" s="85" t="s">
        <v>254</v>
      </c>
      <c r="H586" s="85"/>
      <c r="I586" s="2" t="s">
        <v>610</v>
      </c>
      <c r="J586" s="85" t="s">
        <v>258</v>
      </c>
      <c r="K586" s="85">
        <v>431</v>
      </c>
      <c r="L586" s="59" t="s">
        <v>265</v>
      </c>
      <c r="M586" s="59"/>
    </row>
    <row r="587" spans="6:13" hidden="1" x14ac:dyDescent="0.4">
      <c r="F587" s="215">
        <v>586</v>
      </c>
      <c r="G587" s="85" t="s">
        <v>253</v>
      </c>
      <c r="H587" s="85" t="s">
        <v>248</v>
      </c>
      <c r="I587" s="69" t="s">
        <v>248</v>
      </c>
      <c r="J587" s="85" t="s">
        <v>258</v>
      </c>
      <c r="K587" s="85" t="s">
        <v>253</v>
      </c>
      <c r="L587" s="59" t="s">
        <v>270</v>
      </c>
      <c r="M587" s="59"/>
    </row>
    <row r="588" spans="6:13" hidden="1" x14ac:dyDescent="0.4">
      <c r="F588" s="213">
        <v>587</v>
      </c>
      <c r="G588" s="85" t="s">
        <v>161</v>
      </c>
      <c r="H588" s="85" t="s">
        <v>187</v>
      </c>
      <c r="I588" s="82" t="s">
        <v>624</v>
      </c>
      <c r="J588" s="85" t="s">
        <v>258</v>
      </c>
      <c r="K588" s="85">
        <v>460</v>
      </c>
      <c r="L588" s="59" t="s">
        <v>265</v>
      </c>
      <c r="M588" s="59"/>
    </row>
    <row r="589" spans="6:13" hidden="1" x14ac:dyDescent="0.4">
      <c r="F589" s="213">
        <v>588</v>
      </c>
      <c r="G589" s="85" t="s">
        <v>161</v>
      </c>
      <c r="H589" s="85" t="s">
        <v>188</v>
      </c>
      <c r="I589" s="2" t="s">
        <v>603</v>
      </c>
      <c r="J589" s="85" t="s">
        <v>258</v>
      </c>
      <c r="K589" s="85">
        <v>158</v>
      </c>
      <c r="L589" s="59" t="s">
        <v>270</v>
      </c>
      <c r="M589" s="59"/>
    </row>
    <row r="590" spans="6:13" hidden="1" x14ac:dyDescent="0.4">
      <c r="F590" s="213">
        <v>589</v>
      </c>
      <c r="G590" s="85" t="s">
        <v>253</v>
      </c>
      <c r="H590" s="85" t="s">
        <v>188</v>
      </c>
      <c r="I590" s="82" t="s">
        <v>607</v>
      </c>
      <c r="J590" s="85" t="s">
        <v>258</v>
      </c>
      <c r="K590" s="85">
        <v>461</v>
      </c>
      <c r="L590" s="59" t="s">
        <v>265</v>
      </c>
      <c r="M590" s="59"/>
    </row>
    <row r="591" spans="6:13" hidden="1" x14ac:dyDescent="0.4">
      <c r="F591" s="213">
        <v>590</v>
      </c>
      <c r="G591" s="85" t="s">
        <v>253</v>
      </c>
      <c r="H591" s="85"/>
      <c r="I591" s="2" t="s">
        <v>607</v>
      </c>
      <c r="J591" s="85" t="s">
        <v>257</v>
      </c>
      <c r="K591" s="85">
        <v>1007</v>
      </c>
      <c r="L591" s="59" t="s">
        <v>262</v>
      </c>
      <c r="M591" s="59"/>
    </row>
    <row r="592" spans="6:13" hidden="1" x14ac:dyDescent="0.4">
      <c r="F592" s="215">
        <v>591</v>
      </c>
      <c r="G592" s="85" t="s">
        <v>253</v>
      </c>
      <c r="H592" s="85" t="s">
        <v>248</v>
      </c>
      <c r="I592" s="69" t="s">
        <v>248</v>
      </c>
      <c r="J592" s="85" t="s">
        <v>258</v>
      </c>
      <c r="K592" s="85" t="s">
        <v>253</v>
      </c>
      <c r="L592" s="59" t="s">
        <v>270</v>
      </c>
      <c r="M592" s="59"/>
    </row>
    <row r="593" spans="6:13" hidden="1" x14ac:dyDescent="0.4">
      <c r="F593" s="213">
        <v>592</v>
      </c>
      <c r="G593" s="85" t="s">
        <v>254</v>
      </c>
      <c r="H593" s="85" t="s">
        <v>185</v>
      </c>
      <c r="I593" s="2" t="s">
        <v>630</v>
      </c>
      <c r="J593" s="85" t="s">
        <v>258</v>
      </c>
      <c r="K593" s="85">
        <v>461</v>
      </c>
      <c r="L593" s="59" t="s">
        <v>265</v>
      </c>
      <c r="M593" s="59"/>
    </row>
    <row r="594" spans="6:13" hidden="1" x14ac:dyDescent="0.4">
      <c r="F594" s="213">
        <v>593</v>
      </c>
      <c r="G594" s="85" t="s">
        <v>254</v>
      </c>
      <c r="H594" s="85"/>
      <c r="I594" s="2" t="s">
        <v>623</v>
      </c>
      <c r="J594" s="85" t="s">
        <v>258</v>
      </c>
      <c r="K594" s="85">
        <v>461</v>
      </c>
      <c r="L594" s="59" t="s">
        <v>265</v>
      </c>
      <c r="M594" s="59"/>
    </row>
    <row r="595" spans="6:13" hidden="1" x14ac:dyDescent="0.4">
      <c r="F595" s="218">
        <v>594</v>
      </c>
      <c r="G595" s="85" t="s">
        <v>254</v>
      </c>
      <c r="H595" s="85"/>
      <c r="I595" s="82" t="s">
        <v>602</v>
      </c>
      <c r="J595" s="85" t="s">
        <v>258</v>
      </c>
      <c r="K595" s="85">
        <v>221</v>
      </c>
      <c r="L595" s="59" t="s">
        <v>270</v>
      </c>
      <c r="M595" s="59"/>
    </row>
    <row r="596" spans="6:13" hidden="1" x14ac:dyDescent="0.4">
      <c r="F596" s="218">
        <v>595</v>
      </c>
      <c r="G596" s="85" t="s">
        <v>161</v>
      </c>
      <c r="H596" s="85" t="s">
        <v>188</v>
      </c>
      <c r="I596" s="82" t="s">
        <v>603</v>
      </c>
      <c r="J596" s="85" t="s">
        <v>258</v>
      </c>
      <c r="K596" s="85">
        <v>404</v>
      </c>
      <c r="L596" s="59" t="s">
        <v>270</v>
      </c>
      <c r="M596" s="59"/>
    </row>
    <row r="597" spans="6:13" hidden="1" x14ac:dyDescent="0.4">
      <c r="F597" s="218">
        <v>596</v>
      </c>
      <c r="G597" s="85" t="s">
        <v>161</v>
      </c>
      <c r="H597" s="85" t="s">
        <v>189</v>
      </c>
      <c r="I597" s="2" t="s">
        <v>624</v>
      </c>
      <c r="J597" s="85" t="s">
        <v>258</v>
      </c>
      <c r="K597" s="85">
        <v>221</v>
      </c>
      <c r="L597" s="59" t="s">
        <v>270</v>
      </c>
      <c r="M597" s="59"/>
    </row>
    <row r="598" spans="6:13" hidden="1" x14ac:dyDescent="0.4">
      <c r="F598" s="218">
        <v>597</v>
      </c>
      <c r="G598" s="85" t="s">
        <v>254</v>
      </c>
      <c r="H598" s="85"/>
      <c r="I598" s="82" t="s">
        <v>602</v>
      </c>
      <c r="J598" s="85" t="s">
        <v>257</v>
      </c>
      <c r="K598" s="85">
        <v>1267</v>
      </c>
      <c r="L598" s="59" t="s">
        <v>264</v>
      </c>
      <c r="M598" s="59"/>
    </row>
    <row r="599" spans="6:13" hidden="1" x14ac:dyDescent="0.4">
      <c r="F599" s="218">
        <v>598</v>
      </c>
      <c r="G599" s="85" t="s">
        <v>254</v>
      </c>
      <c r="H599" s="85"/>
      <c r="I599" s="82" t="s">
        <v>641</v>
      </c>
      <c r="J599" s="85" t="s">
        <v>257</v>
      </c>
      <c r="K599" s="85">
        <v>1047</v>
      </c>
      <c r="L599" s="59" t="s">
        <v>262</v>
      </c>
      <c r="M599" s="59"/>
    </row>
    <row r="600" spans="6:13" hidden="1" x14ac:dyDescent="0.4">
      <c r="F600" s="218">
        <v>599</v>
      </c>
      <c r="G600" s="85" t="s">
        <v>161</v>
      </c>
      <c r="H600" s="85" t="s">
        <v>188</v>
      </c>
      <c r="I600" s="68" t="s">
        <v>621</v>
      </c>
      <c r="J600" s="85" t="s">
        <v>258</v>
      </c>
      <c r="K600" s="85">
        <v>221</v>
      </c>
      <c r="L600" s="59" t="s">
        <v>269</v>
      </c>
      <c r="M600" s="59"/>
    </row>
    <row r="601" spans="6:13" hidden="1" x14ac:dyDescent="0.4">
      <c r="F601" s="218">
        <v>600</v>
      </c>
      <c r="G601" s="85" t="s">
        <v>161</v>
      </c>
      <c r="H601" s="85" t="s">
        <v>189</v>
      </c>
      <c r="I601" s="82" t="s">
        <v>611</v>
      </c>
      <c r="J601" s="85" t="s">
        <v>258</v>
      </c>
      <c r="K601" s="85">
        <v>343</v>
      </c>
      <c r="L601" s="59" t="s">
        <v>270</v>
      </c>
      <c r="M601" s="59"/>
    </row>
    <row r="602" spans="6:13" hidden="1" x14ac:dyDescent="0.4">
      <c r="F602" s="219">
        <v>601</v>
      </c>
      <c r="G602" s="85" t="s">
        <v>253</v>
      </c>
      <c r="H602" s="85" t="s">
        <v>248</v>
      </c>
      <c r="I602" s="69" t="s">
        <v>248</v>
      </c>
      <c r="J602" s="85" t="s">
        <v>258</v>
      </c>
      <c r="K602" s="85" t="s">
        <v>253</v>
      </c>
      <c r="L602" s="59" t="s">
        <v>269</v>
      </c>
      <c r="M602" s="59"/>
    </row>
    <row r="603" spans="6:13" hidden="1" x14ac:dyDescent="0.4">
      <c r="F603" s="218">
        <v>602</v>
      </c>
      <c r="G603" s="85" t="s">
        <v>161</v>
      </c>
      <c r="H603" s="85" t="s">
        <v>185</v>
      </c>
      <c r="I603" s="82" t="s">
        <v>642</v>
      </c>
      <c r="J603" s="85" t="s">
        <v>257</v>
      </c>
      <c r="K603" s="85">
        <v>1009</v>
      </c>
      <c r="L603" s="59" t="s">
        <v>262</v>
      </c>
      <c r="M603" s="59"/>
    </row>
    <row r="604" spans="6:13" hidden="1" x14ac:dyDescent="0.4">
      <c r="F604" s="218">
        <v>603</v>
      </c>
      <c r="G604" s="85" t="s">
        <v>161</v>
      </c>
      <c r="H604" s="85" t="s">
        <v>188</v>
      </c>
      <c r="I604" s="82" t="s">
        <v>625</v>
      </c>
      <c r="J604" s="85" t="s">
        <v>257</v>
      </c>
      <c r="K604" s="85">
        <v>1092</v>
      </c>
      <c r="L604" s="59" t="s">
        <v>262</v>
      </c>
      <c r="M604" s="59"/>
    </row>
    <row r="605" spans="6:13" hidden="1" x14ac:dyDescent="0.4">
      <c r="F605" s="219">
        <v>604</v>
      </c>
      <c r="G605" s="85" t="s">
        <v>253</v>
      </c>
      <c r="H605" s="85" t="s">
        <v>248</v>
      </c>
      <c r="I605" s="69" t="s">
        <v>248</v>
      </c>
      <c r="J605" s="85" t="s">
        <v>257</v>
      </c>
      <c r="K605" s="85" t="s">
        <v>253</v>
      </c>
      <c r="L605" s="59" t="s">
        <v>262</v>
      </c>
      <c r="M605" s="59"/>
    </row>
    <row r="606" spans="6:13" hidden="1" x14ac:dyDescent="0.4">
      <c r="F606" s="218">
        <v>605</v>
      </c>
      <c r="G606" s="85" t="s">
        <v>161</v>
      </c>
      <c r="H606" s="85" t="s">
        <v>188</v>
      </c>
      <c r="I606" s="2" t="s">
        <v>603</v>
      </c>
      <c r="J606" s="85" t="s">
        <v>258</v>
      </c>
      <c r="K606" s="85">
        <v>344</v>
      </c>
      <c r="L606" s="59" t="s">
        <v>269</v>
      </c>
      <c r="M606" s="59"/>
    </row>
    <row r="607" spans="6:13" hidden="1" x14ac:dyDescent="0.4">
      <c r="F607" s="218">
        <v>606</v>
      </c>
      <c r="G607" s="85" t="s">
        <v>161</v>
      </c>
      <c r="H607" s="85" t="s">
        <v>188</v>
      </c>
      <c r="I607" s="2" t="s">
        <v>603</v>
      </c>
      <c r="J607" s="85" t="s">
        <v>258</v>
      </c>
      <c r="K607" s="85">
        <v>130</v>
      </c>
      <c r="L607" s="59" t="s">
        <v>270</v>
      </c>
      <c r="M607" s="59"/>
    </row>
    <row r="608" spans="6:13" hidden="1" x14ac:dyDescent="0.4">
      <c r="F608" s="218">
        <v>607</v>
      </c>
      <c r="G608" s="85" t="s">
        <v>254</v>
      </c>
      <c r="H608" s="85" t="s">
        <v>185</v>
      </c>
      <c r="I608" s="2" t="s">
        <v>599</v>
      </c>
      <c r="J608" s="85" t="s">
        <v>257</v>
      </c>
      <c r="K608" s="85">
        <v>1048</v>
      </c>
      <c r="L608" s="59" t="s">
        <v>262</v>
      </c>
      <c r="M608" s="59"/>
    </row>
    <row r="609" spans="6:13" hidden="1" x14ac:dyDescent="0.4">
      <c r="F609" s="218">
        <v>608</v>
      </c>
      <c r="G609" s="85" t="s">
        <v>254</v>
      </c>
      <c r="H609" s="85" t="s">
        <v>189</v>
      </c>
      <c r="I609" s="2" t="s">
        <v>614</v>
      </c>
      <c r="J609" s="85" t="s">
        <v>188</v>
      </c>
      <c r="K609" s="85" t="s">
        <v>253</v>
      </c>
      <c r="L609" s="59" t="s">
        <v>263</v>
      </c>
      <c r="M609" s="59"/>
    </row>
    <row r="610" spans="6:13" hidden="1" x14ac:dyDescent="0.4">
      <c r="F610" s="219">
        <v>609</v>
      </c>
      <c r="G610" s="85" t="s">
        <v>253</v>
      </c>
      <c r="H610" s="85" t="s">
        <v>248</v>
      </c>
      <c r="I610" s="70" t="s">
        <v>248</v>
      </c>
      <c r="J610" s="85" t="s">
        <v>258</v>
      </c>
      <c r="K610" s="85" t="s">
        <v>253</v>
      </c>
      <c r="L610" s="59" t="s">
        <v>270</v>
      </c>
      <c r="M610" s="59"/>
    </row>
    <row r="611" spans="6:13" hidden="1" x14ac:dyDescent="0.4">
      <c r="F611" s="219">
        <v>610</v>
      </c>
      <c r="G611" s="85" t="s">
        <v>253</v>
      </c>
      <c r="H611" s="85" t="s">
        <v>248</v>
      </c>
      <c r="I611" s="70" t="s">
        <v>248</v>
      </c>
      <c r="J611" s="85" t="s">
        <v>258</v>
      </c>
      <c r="K611" s="85" t="s">
        <v>253</v>
      </c>
      <c r="L611" s="59" t="s">
        <v>270</v>
      </c>
      <c r="M611" s="59"/>
    </row>
    <row r="612" spans="6:13" hidden="1" x14ac:dyDescent="0.4">
      <c r="F612" s="218">
        <v>611</v>
      </c>
      <c r="G612" s="85" t="s">
        <v>254</v>
      </c>
      <c r="H612" s="85"/>
      <c r="I612" s="2" t="s">
        <v>638</v>
      </c>
      <c r="J612" s="85" t="s">
        <v>257</v>
      </c>
      <c r="K612" s="85">
        <v>1093</v>
      </c>
      <c r="L612" s="59" t="s">
        <v>262</v>
      </c>
      <c r="M612" s="59"/>
    </row>
    <row r="613" spans="6:13" hidden="1" x14ac:dyDescent="0.4">
      <c r="F613" s="218">
        <v>612</v>
      </c>
      <c r="G613" s="85" t="s">
        <v>161</v>
      </c>
      <c r="H613" s="85" t="s">
        <v>188</v>
      </c>
      <c r="I613" s="2" t="s">
        <v>608</v>
      </c>
      <c r="J613" s="85" t="s">
        <v>258</v>
      </c>
      <c r="K613" s="85">
        <v>283</v>
      </c>
      <c r="L613" s="59" t="s">
        <v>270</v>
      </c>
      <c r="M613" s="59"/>
    </row>
    <row r="614" spans="6:13" x14ac:dyDescent="0.4">
      <c r="F614" s="218">
        <v>613</v>
      </c>
      <c r="G614" s="85" t="s">
        <v>161</v>
      </c>
      <c r="H614" s="85" t="s">
        <v>186</v>
      </c>
      <c r="I614" s="2" t="s">
        <v>607</v>
      </c>
      <c r="J614" s="85" t="s">
        <v>258</v>
      </c>
      <c r="K614" s="85">
        <v>375</v>
      </c>
      <c r="L614" s="59" t="s">
        <v>269</v>
      </c>
      <c r="M614" s="59"/>
    </row>
    <row r="615" spans="6:13" hidden="1" x14ac:dyDescent="0.4">
      <c r="F615" s="218">
        <v>614</v>
      </c>
      <c r="G615" s="85" t="s">
        <v>253</v>
      </c>
      <c r="H615" s="85" t="s">
        <v>188</v>
      </c>
      <c r="I615" s="2" t="s">
        <v>600</v>
      </c>
      <c r="J615" s="85" t="s">
        <v>258</v>
      </c>
      <c r="K615" s="85">
        <v>191</v>
      </c>
      <c r="L615" s="59" t="s">
        <v>269</v>
      </c>
      <c r="M615" s="59"/>
    </row>
    <row r="616" spans="6:13" hidden="1" x14ac:dyDescent="0.4">
      <c r="F616" s="218">
        <v>615</v>
      </c>
      <c r="G616" s="85" t="s">
        <v>254</v>
      </c>
      <c r="H616" s="85" t="s">
        <v>185</v>
      </c>
      <c r="I616" s="2" t="s">
        <v>611</v>
      </c>
      <c r="J616" s="85" t="s">
        <v>258</v>
      </c>
      <c r="K616" s="85">
        <v>192</v>
      </c>
      <c r="L616" s="59" t="s">
        <v>269</v>
      </c>
      <c r="M616" s="59"/>
    </row>
    <row r="617" spans="6:13" hidden="1" x14ac:dyDescent="0.4">
      <c r="F617" s="218">
        <v>616</v>
      </c>
      <c r="G617" s="85" t="s">
        <v>161</v>
      </c>
      <c r="H617" s="85" t="s">
        <v>188</v>
      </c>
      <c r="I617" s="2" t="s">
        <v>603</v>
      </c>
      <c r="J617" s="85" t="s">
        <v>258</v>
      </c>
      <c r="K617" s="85">
        <v>131</v>
      </c>
      <c r="L617" s="59" t="s">
        <v>270</v>
      </c>
      <c r="M617" s="59"/>
    </row>
    <row r="618" spans="6:13" hidden="1" x14ac:dyDescent="0.4">
      <c r="F618" s="218">
        <v>617</v>
      </c>
      <c r="G618" s="85" t="s">
        <v>161</v>
      </c>
      <c r="H618" s="85" t="s">
        <v>188</v>
      </c>
      <c r="I618" s="2" t="s">
        <v>603</v>
      </c>
      <c r="J618" s="85" t="s">
        <v>258</v>
      </c>
      <c r="K618" s="85">
        <v>131</v>
      </c>
      <c r="L618" s="59" t="s">
        <v>270</v>
      </c>
      <c r="M618" s="59"/>
    </row>
    <row r="619" spans="6:13" hidden="1" x14ac:dyDescent="0.4">
      <c r="F619" s="218">
        <v>618</v>
      </c>
      <c r="G619" s="85" t="s">
        <v>254</v>
      </c>
      <c r="H619" s="85"/>
      <c r="I619" s="2" t="s">
        <v>602</v>
      </c>
      <c r="J619" s="85" t="s">
        <v>257</v>
      </c>
      <c r="K619" s="85">
        <v>1271</v>
      </c>
      <c r="L619" s="59" t="s">
        <v>264</v>
      </c>
      <c r="M619" s="59"/>
    </row>
    <row r="620" spans="6:13" hidden="1" x14ac:dyDescent="0.4">
      <c r="F620" s="218">
        <v>619</v>
      </c>
      <c r="G620" s="85" t="s">
        <v>161</v>
      </c>
      <c r="H620" s="85" t="s">
        <v>186</v>
      </c>
      <c r="I620" s="82" t="s">
        <v>623</v>
      </c>
      <c r="J620" s="85" t="s">
        <v>258</v>
      </c>
      <c r="K620" s="85">
        <v>254</v>
      </c>
      <c r="L620" s="59" t="s">
        <v>269</v>
      </c>
      <c r="M620" s="59"/>
    </row>
    <row r="621" spans="6:13" hidden="1" x14ac:dyDescent="0.4">
      <c r="F621" s="219">
        <v>620</v>
      </c>
      <c r="G621" s="85" t="s">
        <v>253</v>
      </c>
      <c r="H621" s="85" t="s">
        <v>248</v>
      </c>
      <c r="I621" s="69" t="s">
        <v>248</v>
      </c>
      <c r="J621" s="85" t="e">
        <v>#N/A</v>
      </c>
      <c r="K621" s="85" t="e">
        <v>#N/A</v>
      </c>
      <c r="L621" s="59" t="e">
        <v>#N/A</v>
      </c>
      <c r="M621" s="59"/>
    </row>
    <row r="622" spans="6:13" hidden="1" x14ac:dyDescent="0.4">
      <c r="F622" s="218">
        <v>621</v>
      </c>
      <c r="G622" s="85" t="s">
        <v>161</v>
      </c>
      <c r="H622" s="85" t="s">
        <v>186</v>
      </c>
      <c r="I622" s="2" t="s">
        <v>624</v>
      </c>
      <c r="J622" s="85" t="s">
        <v>258</v>
      </c>
      <c r="K622" s="85">
        <v>285</v>
      </c>
      <c r="L622" s="59" t="s">
        <v>270</v>
      </c>
      <c r="M622" s="59"/>
    </row>
    <row r="623" spans="6:13" hidden="1" x14ac:dyDescent="0.4">
      <c r="F623" s="218">
        <v>622</v>
      </c>
      <c r="G623" s="85" t="s">
        <v>161</v>
      </c>
      <c r="H623" s="85" t="s">
        <v>188</v>
      </c>
      <c r="I623" s="82" t="s">
        <v>603</v>
      </c>
      <c r="J623" s="85" t="s">
        <v>258</v>
      </c>
      <c r="K623" s="85">
        <v>407</v>
      </c>
      <c r="L623" s="59" t="s">
        <v>270</v>
      </c>
      <c r="M623" s="59"/>
    </row>
    <row r="624" spans="6:13" hidden="1" x14ac:dyDescent="0.4">
      <c r="F624" s="218">
        <v>623</v>
      </c>
      <c r="G624" s="85" t="s">
        <v>254</v>
      </c>
      <c r="H624" s="85"/>
      <c r="I624" s="82" t="s">
        <v>603</v>
      </c>
      <c r="J624" s="85" t="s">
        <v>258</v>
      </c>
      <c r="K624" s="85">
        <v>164</v>
      </c>
      <c r="L624" s="59" t="s">
        <v>270</v>
      </c>
      <c r="M624" s="59"/>
    </row>
    <row r="625" spans="6:13" hidden="1" x14ac:dyDescent="0.4">
      <c r="F625" s="218">
        <v>624</v>
      </c>
      <c r="G625" s="85" t="s">
        <v>254</v>
      </c>
      <c r="H625" s="85" t="s">
        <v>188</v>
      </c>
      <c r="I625" s="82" t="s">
        <v>615</v>
      </c>
      <c r="J625" s="85" t="s">
        <v>258</v>
      </c>
      <c r="K625" s="85">
        <v>347</v>
      </c>
      <c r="L625" s="59" t="s">
        <v>269</v>
      </c>
      <c r="M625" s="59"/>
    </row>
    <row r="626" spans="6:13" hidden="1" x14ac:dyDescent="0.4">
      <c r="F626" s="218">
        <v>625</v>
      </c>
      <c r="G626" s="85" t="s">
        <v>161</v>
      </c>
      <c r="H626" s="85" t="s">
        <v>185</v>
      </c>
      <c r="I626" s="82" t="s">
        <v>602</v>
      </c>
      <c r="J626" s="85" t="s">
        <v>258</v>
      </c>
      <c r="K626" s="85">
        <v>255</v>
      </c>
      <c r="L626" s="59" t="s">
        <v>270</v>
      </c>
      <c r="M626" s="59"/>
    </row>
    <row r="627" spans="6:13" hidden="1" x14ac:dyDescent="0.4">
      <c r="F627" s="218">
        <v>626</v>
      </c>
      <c r="G627" s="85" t="s">
        <v>254</v>
      </c>
      <c r="H627" s="85" t="s">
        <v>185</v>
      </c>
      <c r="I627" s="82" t="s">
        <v>604</v>
      </c>
      <c r="J627" s="85" t="s">
        <v>257</v>
      </c>
      <c r="K627" s="85">
        <v>1275</v>
      </c>
      <c r="L627" s="59" t="s">
        <v>264</v>
      </c>
      <c r="M627" s="59"/>
    </row>
    <row r="628" spans="6:13" hidden="1" x14ac:dyDescent="0.4">
      <c r="F628" s="218">
        <v>627</v>
      </c>
      <c r="G628" s="85" t="s">
        <v>161</v>
      </c>
      <c r="H628" s="85" t="s">
        <v>187</v>
      </c>
      <c r="I628" s="82" t="s">
        <v>624</v>
      </c>
      <c r="J628" s="85" t="s">
        <v>258</v>
      </c>
      <c r="K628" s="85">
        <v>225</v>
      </c>
      <c r="L628" s="59" t="s">
        <v>269</v>
      </c>
      <c r="M628" s="59"/>
    </row>
    <row r="629" spans="6:13" hidden="1" x14ac:dyDescent="0.4">
      <c r="F629" s="218">
        <v>628</v>
      </c>
      <c r="G629" s="85" t="s">
        <v>161</v>
      </c>
      <c r="H629" s="85" t="s">
        <v>185</v>
      </c>
      <c r="I629" s="82" t="s">
        <v>642</v>
      </c>
      <c r="J629" s="85" t="s">
        <v>257</v>
      </c>
      <c r="K629" s="85">
        <v>1013</v>
      </c>
      <c r="L629" s="59" t="s">
        <v>262</v>
      </c>
      <c r="M629" s="59"/>
    </row>
    <row r="630" spans="6:13" hidden="1" x14ac:dyDescent="0.4">
      <c r="F630" s="218">
        <v>629</v>
      </c>
      <c r="G630" s="85" t="s">
        <v>161</v>
      </c>
      <c r="H630" s="85" t="s">
        <v>189</v>
      </c>
      <c r="I630" s="2" t="s">
        <v>606</v>
      </c>
      <c r="J630" s="85" t="s">
        <v>257</v>
      </c>
      <c r="K630" s="85">
        <v>1051</v>
      </c>
      <c r="L630" s="59" t="s">
        <v>262</v>
      </c>
      <c r="M630" s="59"/>
    </row>
    <row r="631" spans="6:13" hidden="1" x14ac:dyDescent="0.4">
      <c r="F631" s="218">
        <v>630</v>
      </c>
      <c r="G631" s="85" t="s">
        <v>254</v>
      </c>
      <c r="H631" s="85"/>
      <c r="I631" s="82" t="s">
        <v>602</v>
      </c>
      <c r="J631" s="85" t="s">
        <v>257</v>
      </c>
      <c r="K631" s="85">
        <v>1270</v>
      </c>
      <c r="L631" s="59" t="s">
        <v>264</v>
      </c>
      <c r="M631" s="59"/>
    </row>
    <row r="632" spans="6:13" hidden="1" x14ac:dyDescent="0.4">
      <c r="F632" s="218">
        <v>631</v>
      </c>
      <c r="G632" s="85" t="s">
        <v>253</v>
      </c>
      <c r="H632" s="85" t="s">
        <v>188</v>
      </c>
      <c r="I632" s="82" t="s">
        <v>604</v>
      </c>
      <c r="J632" s="85" t="s">
        <v>257</v>
      </c>
      <c r="K632" s="85">
        <v>1095</v>
      </c>
      <c r="L632" s="59" t="s">
        <v>262</v>
      </c>
      <c r="M632" s="59"/>
    </row>
    <row r="633" spans="6:13" hidden="1" x14ac:dyDescent="0.4">
      <c r="F633" s="219">
        <v>632</v>
      </c>
      <c r="G633" s="85" t="s">
        <v>253</v>
      </c>
      <c r="H633" s="85" t="s">
        <v>248</v>
      </c>
      <c r="I633" s="2" t="s">
        <v>248</v>
      </c>
      <c r="J633" s="85" t="s">
        <v>258</v>
      </c>
      <c r="K633" s="85" t="s">
        <v>253</v>
      </c>
      <c r="L633" s="59" t="s">
        <v>270</v>
      </c>
      <c r="M633" s="59"/>
    </row>
    <row r="634" spans="6:13" hidden="1" x14ac:dyDescent="0.4">
      <c r="F634" s="218">
        <v>633</v>
      </c>
      <c r="G634" s="85" t="s">
        <v>161</v>
      </c>
      <c r="H634" s="85" t="s">
        <v>188</v>
      </c>
      <c r="I634" s="82" t="s">
        <v>625</v>
      </c>
      <c r="J634" s="85" t="s">
        <v>257</v>
      </c>
      <c r="K634" s="85">
        <v>1095</v>
      </c>
      <c r="L634" s="59" t="s">
        <v>262</v>
      </c>
      <c r="M634" s="59"/>
    </row>
    <row r="635" spans="6:13" hidden="1" x14ac:dyDescent="0.4">
      <c r="F635" s="218">
        <v>634</v>
      </c>
      <c r="G635" s="85" t="s">
        <v>161</v>
      </c>
      <c r="H635" s="85" t="s">
        <v>189</v>
      </c>
      <c r="I635" s="82" t="s">
        <v>609</v>
      </c>
      <c r="J635" s="85" t="s">
        <v>258</v>
      </c>
      <c r="K635" s="85">
        <v>224</v>
      </c>
      <c r="L635" s="59" t="s">
        <v>270</v>
      </c>
      <c r="M635" s="59"/>
    </row>
    <row r="636" spans="6:13" hidden="1" x14ac:dyDescent="0.4">
      <c r="F636" s="218">
        <v>635</v>
      </c>
      <c r="G636" s="85" t="s">
        <v>161</v>
      </c>
      <c r="H636" s="85" t="s">
        <v>185</v>
      </c>
      <c r="I636" s="82" t="s">
        <v>610</v>
      </c>
      <c r="J636" s="85" t="s">
        <v>258</v>
      </c>
      <c r="K636" s="85">
        <v>224</v>
      </c>
      <c r="L636" s="59" t="s">
        <v>270</v>
      </c>
      <c r="M636" s="59"/>
    </row>
    <row r="637" spans="6:13" hidden="1" x14ac:dyDescent="0.4">
      <c r="F637" s="218">
        <v>636</v>
      </c>
      <c r="G637" s="85" t="s">
        <v>161</v>
      </c>
      <c r="H637" s="85" t="s">
        <v>187</v>
      </c>
      <c r="I637" s="82" t="s">
        <v>624</v>
      </c>
      <c r="J637" s="85" t="s">
        <v>258</v>
      </c>
      <c r="K637" s="85">
        <v>468</v>
      </c>
      <c r="L637" s="59" t="s">
        <v>265</v>
      </c>
      <c r="M637" s="59"/>
    </row>
    <row r="638" spans="6:13" hidden="1" x14ac:dyDescent="0.4">
      <c r="F638" s="213">
        <v>637</v>
      </c>
      <c r="G638" s="85" t="s">
        <v>161</v>
      </c>
      <c r="H638" s="85" t="s">
        <v>189</v>
      </c>
      <c r="I638" s="2" t="s">
        <v>611</v>
      </c>
      <c r="J638" s="85" t="s">
        <v>258</v>
      </c>
      <c r="K638" s="85">
        <v>288</v>
      </c>
      <c r="L638" s="59" t="s">
        <v>270</v>
      </c>
      <c r="M638" s="59"/>
    </row>
    <row r="639" spans="6:13" hidden="1" x14ac:dyDescent="0.4">
      <c r="F639" s="215">
        <v>638</v>
      </c>
      <c r="G639" s="85" t="s">
        <v>253</v>
      </c>
      <c r="H639" s="85" t="s">
        <v>248</v>
      </c>
      <c r="I639" s="70" t="s">
        <v>248</v>
      </c>
      <c r="J639" s="85" t="s">
        <v>258</v>
      </c>
      <c r="K639" s="85" t="s">
        <v>253</v>
      </c>
      <c r="L639" s="59" t="s">
        <v>270</v>
      </c>
      <c r="M639" s="59"/>
    </row>
    <row r="640" spans="6:13" hidden="1" x14ac:dyDescent="0.4">
      <c r="F640" s="213">
        <v>639</v>
      </c>
      <c r="G640" s="85" t="s">
        <v>254</v>
      </c>
      <c r="H640" s="85" t="s">
        <v>188</v>
      </c>
      <c r="I640" s="82" t="s">
        <v>615</v>
      </c>
      <c r="J640" s="85" t="s">
        <v>258</v>
      </c>
      <c r="K640" s="85">
        <v>227</v>
      </c>
      <c r="L640" s="59" t="s">
        <v>270</v>
      </c>
      <c r="M640" s="59"/>
    </row>
    <row r="641" spans="6:13" hidden="1" x14ac:dyDescent="0.4">
      <c r="F641" s="215">
        <v>640</v>
      </c>
      <c r="G641" s="85" t="s">
        <v>253</v>
      </c>
      <c r="H641" s="85" t="s">
        <v>248</v>
      </c>
      <c r="I641" s="69" t="s">
        <v>248</v>
      </c>
      <c r="J641" s="85" t="s">
        <v>258</v>
      </c>
      <c r="K641" s="85" t="s">
        <v>253</v>
      </c>
      <c r="L641" s="59" t="s">
        <v>270</v>
      </c>
      <c r="M641" s="59"/>
    </row>
    <row r="642" spans="6:13" hidden="1" x14ac:dyDescent="0.4">
      <c r="F642" s="218">
        <v>641</v>
      </c>
      <c r="G642" s="85" t="s">
        <v>161</v>
      </c>
      <c r="H642" s="85" t="s">
        <v>188</v>
      </c>
      <c r="I642" s="68" t="s">
        <v>621</v>
      </c>
      <c r="J642" s="85" t="s">
        <v>258</v>
      </c>
      <c r="K642" s="85">
        <v>257</v>
      </c>
      <c r="L642" s="59" t="s">
        <v>270</v>
      </c>
      <c r="M642" s="59"/>
    </row>
    <row r="643" spans="6:13" hidden="1" x14ac:dyDescent="0.4">
      <c r="F643" s="218">
        <v>642</v>
      </c>
      <c r="G643" s="85" t="s">
        <v>253</v>
      </c>
      <c r="H643" s="85"/>
      <c r="I643" s="82" t="s">
        <v>614</v>
      </c>
      <c r="J643" s="85" t="s">
        <v>258</v>
      </c>
      <c r="K643" s="85">
        <v>228</v>
      </c>
      <c r="L643" s="59" t="s">
        <v>270</v>
      </c>
      <c r="M643" s="59"/>
    </row>
    <row r="644" spans="6:13" hidden="1" x14ac:dyDescent="0.4">
      <c r="F644" s="213">
        <v>643</v>
      </c>
      <c r="G644" s="85" t="s">
        <v>254</v>
      </c>
      <c r="H644" s="85"/>
      <c r="I644" s="2" t="s">
        <v>615</v>
      </c>
      <c r="J644" s="85" t="s">
        <v>258</v>
      </c>
      <c r="K644" s="85">
        <v>290</v>
      </c>
      <c r="L644" s="59" t="s">
        <v>270</v>
      </c>
      <c r="M644" s="59"/>
    </row>
    <row r="645" spans="6:13" hidden="1" x14ac:dyDescent="0.4">
      <c r="F645" s="213">
        <v>644</v>
      </c>
      <c r="G645" s="85" t="s">
        <v>161</v>
      </c>
      <c r="H645" s="85" t="s">
        <v>188</v>
      </c>
      <c r="I645" s="2" t="s">
        <v>613</v>
      </c>
      <c r="J645" s="85" t="s">
        <v>257</v>
      </c>
      <c r="K645" s="85">
        <v>1114</v>
      </c>
      <c r="L645" s="59" t="s">
        <v>262</v>
      </c>
      <c r="M645" s="59"/>
    </row>
    <row r="646" spans="6:13" hidden="1" x14ac:dyDescent="0.4">
      <c r="F646" s="218">
        <v>645</v>
      </c>
      <c r="G646" s="85" t="s">
        <v>161</v>
      </c>
      <c r="H646" s="85" t="s">
        <v>189</v>
      </c>
      <c r="I646" s="3" t="s">
        <v>609</v>
      </c>
      <c r="J646" s="85" t="s">
        <v>258</v>
      </c>
      <c r="K646" s="85">
        <v>502</v>
      </c>
      <c r="L646" s="59" t="s">
        <v>265</v>
      </c>
      <c r="M646" s="59"/>
    </row>
    <row r="647" spans="6:13" hidden="1" x14ac:dyDescent="0.4">
      <c r="F647" s="218">
        <v>646</v>
      </c>
      <c r="G647" s="85" t="s">
        <v>254</v>
      </c>
      <c r="H647" s="85" t="s">
        <v>189</v>
      </c>
      <c r="I647" s="2" t="s">
        <v>614</v>
      </c>
      <c r="J647" s="85" t="s">
        <v>257</v>
      </c>
      <c r="K647" s="85">
        <v>1126</v>
      </c>
      <c r="L647" s="59" t="s">
        <v>262</v>
      </c>
      <c r="M647" s="59"/>
    </row>
    <row r="648" spans="6:13" hidden="1" x14ac:dyDescent="0.4">
      <c r="F648" s="218">
        <v>647</v>
      </c>
      <c r="G648" s="85" t="s">
        <v>254</v>
      </c>
      <c r="H648" s="85"/>
      <c r="I648" s="82" t="s">
        <v>638</v>
      </c>
      <c r="J648" s="85" t="s">
        <v>257</v>
      </c>
      <c r="K648" s="85">
        <v>1101</v>
      </c>
      <c r="L648" s="59" t="s">
        <v>262</v>
      </c>
      <c r="M648" s="59"/>
    </row>
    <row r="649" spans="6:13" hidden="1" x14ac:dyDescent="0.4">
      <c r="F649" s="218">
        <v>648</v>
      </c>
      <c r="G649" s="85" t="s">
        <v>161</v>
      </c>
      <c r="H649" s="85" t="s">
        <v>188</v>
      </c>
      <c r="I649" s="82" t="s">
        <v>625</v>
      </c>
      <c r="J649" s="85" t="s">
        <v>257</v>
      </c>
      <c r="K649" s="85">
        <v>1101</v>
      </c>
      <c r="L649" s="59" t="s">
        <v>262</v>
      </c>
      <c r="M649" s="59"/>
    </row>
    <row r="650" spans="6:13" hidden="1" x14ac:dyDescent="0.4">
      <c r="F650" s="218">
        <v>649</v>
      </c>
      <c r="G650" s="85" t="s">
        <v>253</v>
      </c>
      <c r="H650" s="85" t="s">
        <v>188</v>
      </c>
      <c r="I650" s="82" t="s">
        <v>624</v>
      </c>
      <c r="J650" s="85" t="s">
        <v>257</v>
      </c>
      <c r="K650" s="85">
        <v>1101</v>
      </c>
      <c r="L650" s="59" t="s">
        <v>262</v>
      </c>
      <c r="M650" s="59"/>
    </row>
    <row r="651" spans="6:13" hidden="1" x14ac:dyDescent="0.4">
      <c r="F651" s="218">
        <v>650</v>
      </c>
      <c r="G651" s="85" t="s">
        <v>254</v>
      </c>
      <c r="H651" s="85" t="s">
        <v>185</v>
      </c>
      <c r="I651" s="2" t="s">
        <v>600</v>
      </c>
      <c r="J651" s="85" t="s">
        <v>258</v>
      </c>
      <c r="K651" s="85">
        <v>322</v>
      </c>
      <c r="L651" s="59" t="s">
        <v>270</v>
      </c>
      <c r="M651" s="59"/>
    </row>
    <row r="652" spans="6:13" hidden="1" x14ac:dyDescent="0.4">
      <c r="F652" s="213">
        <v>651</v>
      </c>
      <c r="G652" s="85" t="s">
        <v>161</v>
      </c>
      <c r="H652" s="85" t="s">
        <v>189</v>
      </c>
      <c r="I652" s="3" t="s">
        <v>609</v>
      </c>
      <c r="J652" s="85" t="s">
        <v>258</v>
      </c>
      <c r="K652" s="85">
        <v>294</v>
      </c>
      <c r="L652" s="59" t="s">
        <v>270</v>
      </c>
      <c r="M652" s="59"/>
    </row>
    <row r="653" spans="6:13" hidden="1" x14ac:dyDescent="0.4">
      <c r="F653" s="215">
        <v>652</v>
      </c>
      <c r="G653" s="85" t="s">
        <v>253</v>
      </c>
      <c r="H653" s="85" t="s">
        <v>248</v>
      </c>
      <c r="I653" s="69" t="s">
        <v>248</v>
      </c>
      <c r="J653" s="85" t="s">
        <v>258</v>
      </c>
      <c r="K653" s="85" t="s">
        <v>253</v>
      </c>
      <c r="L653" s="59" t="s">
        <v>270</v>
      </c>
      <c r="M653" s="59"/>
    </row>
    <row r="654" spans="6:13" hidden="1" x14ac:dyDescent="0.4">
      <c r="F654" s="213">
        <v>653</v>
      </c>
      <c r="G654" s="85" t="s">
        <v>253</v>
      </c>
      <c r="H654" s="85"/>
      <c r="I654" s="2" t="s">
        <v>600</v>
      </c>
      <c r="J654" s="85" t="s">
        <v>258</v>
      </c>
      <c r="K654" s="85">
        <v>292</v>
      </c>
      <c r="L654" s="59" t="s">
        <v>270</v>
      </c>
      <c r="M654" s="59"/>
    </row>
    <row r="655" spans="6:13" hidden="1" x14ac:dyDescent="0.4">
      <c r="F655" s="213">
        <v>654</v>
      </c>
      <c r="G655" s="85" t="s">
        <v>254</v>
      </c>
      <c r="H655" s="85" t="s">
        <v>188</v>
      </c>
      <c r="I655" s="82" t="s">
        <v>615</v>
      </c>
      <c r="J655" s="85" t="s">
        <v>258</v>
      </c>
      <c r="K655" s="85">
        <v>262</v>
      </c>
      <c r="L655" s="59" t="s">
        <v>270</v>
      </c>
      <c r="M655" s="59"/>
    </row>
    <row r="656" spans="6:13" hidden="1" x14ac:dyDescent="0.4">
      <c r="F656" s="215">
        <v>655</v>
      </c>
      <c r="G656" s="85" t="s">
        <v>253</v>
      </c>
      <c r="H656" s="85" t="s">
        <v>248</v>
      </c>
      <c r="I656" s="69" t="s">
        <v>248</v>
      </c>
      <c r="J656" s="85" t="s">
        <v>258</v>
      </c>
      <c r="K656" s="85" t="s">
        <v>253</v>
      </c>
      <c r="L656" s="59" t="s">
        <v>265</v>
      </c>
      <c r="M656" s="59"/>
    </row>
    <row r="657" spans="6:13" hidden="1" x14ac:dyDescent="0.4">
      <c r="F657" s="215">
        <v>656</v>
      </c>
      <c r="G657" s="85" t="s">
        <v>253</v>
      </c>
      <c r="H657" s="85" t="s">
        <v>248</v>
      </c>
      <c r="I657" s="69" t="s">
        <v>248</v>
      </c>
      <c r="J657" s="85" t="s">
        <v>258</v>
      </c>
      <c r="K657" s="85" t="s">
        <v>253</v>
      </c>
      <c r="L657" s="59" t="s">
        <v>270</v>
      </c>
      <c r="M657" s="59"/>
    </row>
    <row r="658" spans="6:13" hidden="1" x14ac:dyDescent="0.4">
      <c r="F658" s="213">
        <v>657</v>
      </c>
      <c r="G658" s="85" t="s">
        <v>161</v>
      </c>
      <c r="H658" s="85" t="s">
        <v>186</v>
      </c>
      <c r="I658" s="2" t="s">
        <v>624</v>
      </c>
      <c r="J658" s="85" t="s">
        <v>258</v>
      </c>
      <c r="K658" s="85">
        <v>447</v>
      </c>
      <c r="L658" s="59" t="s">
        <v>265</v>
      </c>
      <c r="M658" s="59"/>
    </row>
    <row r="659" spans="6:13" hidden="1" x14ac:dyDescent="0.4">
      <c r="F659" s="213">
        <v>658</v>
      </c>
      <c r="G659" s="85" t="s">
        <v>254</v>
      </c>
      <c r="H659" s="85"/>
      <c r="I659" s="2" t="s">
        <v>682</v>
      </c>
      <c r="J659" s="85" t="s">
        <v>258</v>
      </c>
      <c r="K659" s="85">
        <v>263</v>
      </c>
      <c r="L659" s="59" t="s">
        <v>270</v>
      </c>
      <c r="M659" s="59"/>
    </row>
    <row r="660" spans="6:13" hidden="1" x14ac:dyDescent="0.4">
      <c r="F660" s="213">
        <v>659</v>
      </c>
      <c r="G660" s="85" t="s">
        <v>161</v>
      </c>
      <c r="H660" s="85" t="s">
        <v>185</v>
      </c>
      <c r="I660" s="2" t="s">
        <v>602</v>
      </c>
      <c r="J660" s="85" t="s">
        <v>258</v>
      </c>
      <c r="K660" s="85">
        <v>263</v>
      </c>
      <c r="L660" s="59" t="s">
        <v>270</v>
      </c>
      <c r="M660" s="59"/>
    </row>
    <row r="661" spans="6:13" hidden="1" x14ac:dyDescent="0.4">
      <c r="F661" s="213">
        <v>660</v>
      </c>
      <c r="G661" s="85" t="s">
        <v>161</v>
      </c>
      <c r="H661" s="85" t="s">
        <v>188</v>
      </c>
      <c r="I661" s="68" t="s">
        <v>621</v>
      </c>
      <c r="J661" s="85" t="s">
        <v>258</v>
      </c>
      <c r="K661" s="85">
        <v>263</v>
      </c>
      <c r="L661" s="59" t="s">
        <v>270</v>
      </c>
      <c r="M661" s="59"/>
    </row>
    <row r="662" spans="6:13" hidden="1" x14ac:dyDescent="0.4">
      <c r="F662" s="213">
        <v>661</v>
      </c>
      <c r="G662" s="85" t="s">
        <v>161</v>
      </c>
      <c r="H662" s="85" t="s">
        <v>189</v>
      </c>
      <c r="I662" s="3" t="s">
        <v>609</v>
      </c>
      <c r="J662" s="85" t="s">
        <v>258</v>
      </c>
      <c r="K662" s="85">
        <v>233</v>
      </c>
      <c r="L662" s="59" t="s">
        <v>270</v>
      </c>
      <c r="M662" s="59"/>
    </row>
    <row r="663" spans="6:13" hidden="1" x14ac:dyDescent="0.4">
      <c r="F663" s="213">
        <v>662</v>
      </c>
      <c r="G663" s="85" t="s">
        <v>254</v>
      </c>
      <c r="H663" s="85" t="s">
        <v>185</v>
      </c>
      <c r="I663" s="82" t="s">
        <v>630</v>
      </c>
      <c r="J663" s="85" t="s">
        <v>258</v>
      </c>
      <c r="K663" s="85">
        <v>293</v>
      </c>
      <c r="L663" s="59" t="s">
        <v>270</v>
      </c>
      <c r="M663" s="59"/>
    </row>
    <row r="664" spans="6:13" hidden="1" x14ac:dyDescent="0.4">
      <c r="F664" s="213">
        <v>663</v>
      </c>
      <c r="G664" s="85" t="s">
        <v>161</v>
      </c>
      <c r="H664" s="85" t="s">
        <v>186</v>
      </c>
      <c r="I664" s="82" t="s">
        <v>602</v>
      </c>
      <c r="J664" s="85" t="s">
        <v>258</v>
      </c>
      <c r="K664" s="85">
        <v>474</v>
      </c>
      <c r="L664" s="59" t="s">
        <v>265</v>
      </c>
      <c r="M664" s="59"/>
    </row>
    <row r="665" spans="6:13" hidden="1" x14ac:dyDescent="0.4">
      <c r="F665" s="218">
        <v>664</v>
      </c>
      <c r="G665" s="85" t="s">
        <v>161</v>
      </c>
      <c r="H665" s="85" t="s">
        <v>185</v>
      </c>
      <c r="I665" s="2" t="s">
        <v>602</v>
      </c>
      <c r="J665" s="85" t="s">
        <v>258</v>
      </c>
      <c r="K665" s="85">
        <v>264</v>
      </c>
      <c r="L665" s="59" t="s">
        <v>270</v>
      </c>
      <c r="M665" s="59"/>
    </row>
    <row r="666" spans="6:13" hidden="1" x14ac:dyDescent="0.4">
      <c r="F666" s="218">
        <v>665</v>
      </c>
      <c r="G666" s="85" t="s">
        <v>161</v>
      </c>
      <c r="H666" s="85" t="s">
        <v>189</v>
      </c>
      <c r="I666" s="3" t="s">
        <v>609</v>
      </c>
      <c r="J666" s="85" t="s">
        <v>258</v>
      </c>
      <c r="K666" s="85">
        <v>294</v>
      </c>
      <c r="L666" s="59" t="s">
        <v>270</v>
      </c>
      <c r="M666" s="59"/>
    </row>
    <row r="667" spans="6:13" hidden="1" x14ac:dyDescent="0.4">
      <c r="F667" s="218">
        <v>666</v>
      </c>
      <c r="G667" s="85" t="s">
        <v>161</v>
      </c>
      <c r="H667" s="85" t="s">
        <v>188</v>
      </c>
      <c r="I667" s="2" t="s">
        <v>603</v>
      </c>
      <c r="J667" s="85" t="s">
        <v>258</v>
      </c>
      <c r="K667" s="85">
        <v>295</v>
      </c>
      <c r="L667" s="59" t="s">
        <v>269</v>
      </c>
      <c r="M667" s="59"/>
    </row>
    <row r="668" spans="6:13" hidden="1" x14ac:dyDescent="0.4">
      <c r="F668" s="218">
        <v>667</v>
      </c>
      <c r="G668" s="85" t="s">
        <v>161</v>
      </c>
      <c r="H668" s="85" t="s">
        <v>189</v>
      </c>
      <c r="I668" s="2" t="s">
        <v>602</v>
      </c>
      <c r="J668" s="85" t="s">
        <v>258</v>
      </c>
      <c r="K668" s="85">
        <v>173</v>
      </c>
      <c r="L668" s="59" t="s">
        <v>269</v>
      </c>
      <c r="M668" s="59"/>
    </row>
    <row r="669" spans="6:13" hidden="1" x14ac:dyDescent="0.4">
      <c r="F669" s="218">
        <v>668</v>
      </c>
      <c r="G669" s="85" t="s">
        <v>161</v>
      </c>
      <c r="H669" s="85" t="s">
        <v>185</v>
      </c>
      <c r="I669" s="2" t="s">
        <v>599</v>
      </c>
      <c r="J669" s="85" t="s">
        <v>258</v>
      </c>
      <c r="K669" s="85">
        <v>448</v>
      </c>
      <c r="L669" s="59" t="s">
        <v>265</v>
      </c>
      <c r="M669" s="59"/>
    </row>
    <row r="670" spans="6:13" hidden="1" x14ac:dyDescent="0.4">
      <c r="F670" s="219">
        <v>669</v>
      </c>
      <c r="G670" s="85" t="s">
        <v>253</v>
      </c>
      <c r="H670" s="85" t="s">
        <v>248</v>
      </c>
      <c r="I670" s="70" t="s">
        <v>248</v>
      </c>
      <c r="J670" s="85" t="s">
        <v>258</v>
      </c>
      <c r="K670" s="85" t="s">
        <v>253</v>
      </c>
      <c r="L670" s="59" t="s">
        <v>270</v>
      </c>
      <c r="M670" s="59"/>
    </row>
    <row r="671" spans="6:13" hidden="1" x14ac:dyDescent="0.4">
      <c r="F671" s="218">
        <v>670</v>
      </c>
      <c r="G671" s="85" t="s">
        <v>161</v>
      </c>
      <c r="H671" s="85" t="s">
        <v>188</v>
      </c>
      <c r="I671" s="2" t="s">
        <v>613</v>
      </c>
      <c r="J671" s="85" t="s">
        <v>257</v>
      </c>
      <c r="K671" s="85">
        <v>1120</v>
      </c>
      <c r="L671" s="59" t="s">
        <v>262</v>
      </c>
      <c r="M671" s="59"/>
    </row>
    <row r="672" spans="6:13" hidden="1" x14ac:dyDescent="0.4">
      <c r="F672" s="219">
        <v>671</v>
      </c>
      <c r="G672" s="85" t="s">
        <v>253</v>
      </c>
      <c r="H672" s="85" t="s">
        <v>248</v>
      </c>
      <c r="I672" s="70" t="s">
        <v>248</v>
      </c>
      <c r="J672" s="85" t="s">
        <v>257</v>
      </c>
      <c r="K672" s="85" t="s">
        <v>253</v>
      </c>
      <c r="L672" s="59" t="s">
        <v>262</v>
      </c>
      <c r="M672" s="59"/>
    </row>
    <row r="673" spans="6:13" hidden="1" x14ac:dyDescent="0.4">
      <c r="F673" s="219">
        <v>672</v>
      </c>
      <c r="G673" s="85" t="s">
        <v>253</v>
      </c>
      <c r="H673" s="85" t="s">
        <v>248</v>
      </c>
      <c r="I673" s="69" t="s">
        <v>248</v>
      </c>
      <c r="J673" s="85" t="s">
        <v>258</v>
      </c>
      <c r="K673" s="85" t="s">
        <v>253</v>
      </c>
      <c r="L673" s="59" t="s">
        <v>270</v>
      </c>
      <c r="M673" s="59"/>
    </row>
    <row r="674" spans="6:13" hidden="1" x14ac:dyDescent="0.4">
      <c r="F674" s="218">
        <v>673</v>
      </c>
      <c r="G674" s="85" t="s">
        <v>253</v>
      </c>
      <c r="H674" s="85" t="s">
        <v>248</v>
      </c>
      <c r="I674" s="69" t="s">
        <v>248</v>
      </c>
      <c r="J674" s="85" t="s">
        <v>258</v>
      </c>
      <c r="K674" s="85" t="s">
        <v>253</v>
      </c>
      <c r="L674" s="59" t="s">
        <v>270</v>
      </c>
      <c r="M674" s="59"/>
    </row>
    <row r="675" spans="6:13" hidden="1" x14ac:dyDescent="0.4">
      <c r="F675" s="218">
        <v>674</v>
      </c>
      <c r="G675" s="85" t="s">
        <v>253</v>
      </c>
      <c r="H675" s="85"/>
      <c r="I675" s="82" t="s">
        <v>643</v>
      </c>
      <c r="J675" s="85" t="s">
        <v>258</v>
      </c>
      <c r="K675" s="85">
        <v>295</v>
      </c>
      <c r="L675" s="59" t="s">
        <v>270</v>
      </c>
      <c r="M675" s="59"/>
    </row>
    <row r="676" spans="6:13" hidden="1" x14ac:dyDescent="0.4">
      <c r="F676" s="218">
        <v>675</v>
      </c>
      <c r="G676" s="85" t="s">
        <v>254</v>
      </c>
      <c r="H676" s="85" t="s">
        <v>185</v>
      </c>
      <c r="I676" s="82" t="s">
        <v>630</v>
      </c>
      <c r="J676" s="85" t="s">
        <v>258</v>
      </c>
      <c r="K676" s="85">
        <v>295</v>
      </c>
      <c r="L676" s="59" t="s">
        <v>270</v>
      </c>
      <c r="M676" s="59"/>
    </row>
    <row r="677" spans="6:13" hidden="1" x14ac:dyDescent="0.4">
      <c r="F677" s="218">
        <v>676</v>
      </c>
      <c r="G677" s="85" t="s">
        <v>254</v>
      </c>
      <c r="H677" s="85"/>
      <c r="I677" s="82" t="s">
        <v>607</v>
      </c>
      <c r="J677" s="85" t="s">
        <v>257</v>
      </c>
      <c r="K677" s="85">
        <v>1120</v>
      </c>
      <c r="L677" s="59" t="s">
        <v>262</v>
      </c>
      <c r="M677" s="59"/>
    </row>
    <row r="678" spans="6:13" hidden="1" x14ac:dyDescent="0.4">
      <c r="F678" s="218">
        <v>677</v>
      </c>
      <c r="G678" s="85" t="s">
        <v>161</v>
      </c>
      <c r="H678" s="85" t="s">
        <v>188</v>
      </c>
      <c r="I678" s="2" t="s">
        <v>613</v>
      </c>
      <c r="J678" s="85" t="s">
        <v>257</v>
      </c>
      <c r="K678" s="85">
        <v>1120</v>
      </c>
      <c r="L678" s="59" t="s">
        <v>262</v>
      </c>
      <c r="M678" s="59"/>
    </row>
    <row r="679" spans="6:13" hidden="1" x14ac:dyDescent="0.4">
      <c r="F679" s="218">
        <v>678</v>
      </c>
      <c r="G679" s="85" t="s">
        <v>161</v>
      </c>
      <c r="H679" s="85" t="s">
        <v>188</v>
      </c>
      <c r="I679" s="82" t="s">
        <v>621</v>
      </c>
      <c r="J679" s="85" t="s">
        <v>258</v>
      </c>
      <c r="K679" s="85">
        <v>357</v>
      </c>
      <c r="L679" s="59" t="s">
        <v>269</v>
      </c>
      <c r="M679" s="59"/>
    </row>
    <row r="680" spans="6:13" hidden="1" x14ac:dyDescent="0.4">
      <c r="F680" s="218">
        <v>679</v>
      </c>
      <c r="G680" s="85" t="s">
        <v>161</v>
      </c>
      <c r="H680" s="85" t="s">
        <v>185</v>
      </c>
      <c r="I680" s="82" t="s">
        <v>602</v>
      </c>
      <c r="J680" s="85" t="s">
        <v>258</v>
      </c>
      <c r="K680" s="85">
        <v>265</v>
      </c>
      <c r="L680" s="59" t="s">
        <v>270</v>
      </c>
      <c r="M680" s="59"/>
    </row>
    <row r="681" spans="6:13" hidden="1" x14ac:dyDescent="0.4">
      <c r="F681" s="219">
        <v>680</v>
      </c>
      <c r="G681" s="85" t="s">
        <v>253</v>
      </c>
      <c r="H681" s="85" t="s">
        <v>248</v>
      </c>
      <c r="I681" s="69" t="s">
        <v>248</v>
      </c>
      <c r="J681" s="85" t="e">
        <v>#N/A</v>
      </c>
      <c r="K681" s="85" t="e">
        <v>#N/A</v>
      </c>
      <c r="L681" s="59" t="e">
        <v>#N/A</v>
      </c>
      <c r="M681" s="59"/>
    </row>
    <row r="682" spans="6:13" hidden="1" x14ac:dyDescent="0.4">
      <c r="F682" s="212">
        <v>681</v>
      </c>
      <c r="G682" s="85" t="s">
        <v>253</v>
      </c>
      <c r="H682" s="85" t="s">
        <v>185</v>
      </c>
      <c r="I682" s="82" t="s">
        <v>607</v>
      </c>
      <c r="J682" s="85" t="s">
        <v>258</v>
      </c>
      <c r="K682" s="85">
        <v>175</v>
      </c>
      <c r="L682" s="59" t="s">
        <v>270</v>
      </c>
      <c r="M682" s="59"/>
    </row>
    <row r="683" spans="6:13" hidden="1" x14ac:dyDescent="0.4">
      <c r="F683" s="216">
        <v>682</v>
      </c>
      <c r="G683" s="85" t="s">
        <v>253</v>
      </c>
      <c r="H683" s="85" t="s">
        <v>248</v>
      </c>
      <c r="I683" s="69" t="s">
        <v>248</v>
      </c>
      <c r="J683" s="85" t="s">
        <v>258</v>
      </c>
      <c r="K683" s="85" t="s">
        <v>253</v>
      </c>
      <c r="L683" s="59" t="s">
        <v>270</v>
      </c>
      <c r="M683" s="59"/>
    </row>
    <row r="684" spans="6:13" hidden="1" x14ac:dyDescent="0.4">
      <c r="F684" s="216">
        <v>683</v>
      </c>
      <c r="G684" s="85" t="s">
        <v>253</v>
      </c>
      <c r="H684" s="85" t="s">
        <v>248</v>
      </c>
      <c r="I684" s="69" t="s">
        <v>248</v>
      </c>
      <c r="J684" s="85" t="s">
        <v>258</v>
      </c>
      <c r="K684" s="85" t="s">
        <v>253</v>
      </c>
      <c r="L684" s="59" t="s">
        <v>270</v>
      </c>
      <c r="M684" s="59"/>
    </row>
    <row r="685" spans="6:13" hidden="1" x14ac:dyDescent="0.4">
      <c r="F685" s="216">
        <v>684</v>
      </c>
      <c r="G685" s="85" t="s">
        <v>253</v>
      </c>
      <c r="H685" s="85" t="s">
        <v>248</v>
      </c>
      <c r="I685" s="70" t="s">
        <v>248</v>
      </c>
      <c r="J685" s="85" t="s">
        <v>258</v>
      </c>
      <c r="K685" s="85" t="s">
        <v>253</v>
      </c>
      <c r="L685" s="59" t="s">
        <v>270</v>
      </c>
      <c r="M685" s="59"/>
    </row>
    <row r="686" spans="6:13" hidden="1" x14ac:dyDescent="0.4">
      <c r="F686" s="216">
        <v>685</v>
      </c>
      <c r="G686" s="85" t="s">
        <v>253</v>
      </c>
      <c r="H686" s="85" t="s">
        <v>248</v>
      </c>
      <c r="I686" s="70" t="s">
        <v>248</v>
      </c>
      <c r="J686" s="85" t="s">
        <v>258</v>
      </c>
      <c r="K686" s="85" t="s">
        <v>253</v>
      </c>
      <c r="L686" s="59" t="s">
        <v>270</v>
      </c>
      <c r="M686" s="59"/>
    </row>
    <row r="687" spans="6:13" hidden="1" x14ac:dyDescent="0.4">
      <c r="F687" s="212">
        <v>686</v>
      </c>
      <c r="G687" s="85" t="s">
        <v>161</v>
      </c>
      <c r="H687" s="85" t="s">
        <v>187</v>
      </c>
      <c r="I687" s="82" t="s">
        <v>624</v>
      </c>
      <c r="J687" s="85" t="s">
        <v>258</v>
      </c>
      <c r="K687" s="85">
        <v>477</v>
      </c>
      <c r="L687" s="59" t="s">
        <v>265</v>
      </c>
      <c r="M687" s="59"/>
    </row>
    <row r="688" spans="6:13" hidden="1" x14ac:dyDescent="0.4">
      <c r="F688" s="212">
        <v>687</v>
      </c>
      <c r="G688" s="85" t="s">
        <v>161</v>
      </c>
      <c r="H688" s="85" t="s">
        <v>186</v>
      </c>
      <c r="I688" s="82" t="s">
        <v>602</v>
      </c>
      <c r="J688" s="85" t="s">
        <v>258</v>
      </c>
      <c r="K688" s="85">
        <v>477</v>
      </c>
      <c r="L688" s="59" t="s">
        <v>265</v>
      </c>
      <c r="M688" s="59"/>
    </row>
    <row r="689" spans="6:13" hidden="1" x14ac:dyDescent="0.4">
      <c r="F689" s="212">
        <v>688</v>
      </c>
      <c r="G689" s="85" t="s">
        <v>161</v>
      </c>
      <c r="H689" s="85" t="s">
        <v>185</v>
      </c>
      <c r="I689" s="82" t="s">
        <v>599</v>
      </c>
      <c r="J689" s="85" t="s">
        <v>258</v>
      </c>
      <c r="K689" s="85">
        <v>478</v>
      </c>
      <c r="L689" s="59" t="s">
        <v>265</v>
      </c>
      <c r="M689" s="59"/>
    </row>
    <row r="690" spans="6:13" hidden="1" x14ac:dyDescent="0.4">
      <c r="F690" s="212">
        <v>689</v>
      </c>
      <c r="G690" s="85" t="s">
        <v>161</v>
      </c>
      <c r="H690" s="85" t="s">
        <v>188</v>
      </c>
      <c r="I690" s="68" t="s">
        <v>621</v>
      </c>
      <c r="J690" s="85" t="s">
        <v>258</v>
      </c>
      <c r="K690" s="85">
        <v>451</v>
      </c>
      <c r="L690" s="59" t="s">
        <v>265</v>
      </c>
      <c r="M690" s="59"/>
    </row>
    <row r="691" spans="6:13" hidden="1" x14ac:dyDescent="0.4">
      <c r="F691" s="212">
        <v>690</v>
      </c>
      <c r="G691" s="85" t="s">
        <v>254</v>
      </c>
      <c r="H691" s="85" t="s">
        <v>188</v>
      </c>
      <c r="I691" s="82" t="s">
        <v>615</v>
      </c>
      <c r="J691" s="85" t="s">
        <v>258</v>
      </c>
      <c r="K691" s="85">
        <v>267</v>
      </c>
      <c r="L691" s="59" t="s">
        <v>270</v>
      </c>
      <c r="M691" s="59"/>
    </row>
    <row r="692" spans="6:13" hidden="1" x14ac:dyDescent="0.4">
      <c r="F692" s="212">
        <v>691</v>
      </c>
      <c r="G692" s="85" t="s">
        <v>161</v>
      </c>
      <c r="H692" s="85" t="s">
        <v>186</v>
      </c>
      <c r="I692" s="2" t="s">
        <v>624</v>
      </c>
      <c r="J692" s="85" t="s">
        <v>258</v>
      </c>
      <c r="K692" s="85">
        <v>299</v>
      </c>
      <c r="L692" s="59" t="s">
        <v>269</v>
      </c>
      <c r="M692" s="59"/>
    </row>
    <row r="693" spans="6:13" hidden="1" x14ac:dyDescent="0.4">
      <c r="F693" s="212">
        <v>692</v>
      </c>
      <c r="G693" s="85" t="s">
        <v>161</v>
      </c>
      <c r="H693" s="85" t="s">
        <v>186</v>
      </c>
      <c r="I693" s="2" t="s">
        <v>624</v>
      </c>
      <c r="J693" s="85" t="s">
        <v>258</v>
      </c>
      <c r="K693" s="85">
        <v>147</v>
      </c>
      <c r="L693" s="59" t="s">
        <v>270</v>
      </c>
      <c r="M693" s="59"/>
    </row>
    <row r="694" spans="6:13" hidden="1" x14ac:dyDescent="0.4">
      <c r="F694" s="216">
        <v>693</v>
      </c>
      <c r="G694" s="85" t="s">
        <v>253</v>
      </c>
      <c r="H694" s="85" t="s">
        <v>248</v>
      </c>
      <c r="I694" s="69" t="s">
        <v>248</v>
      </c>
      <c r="J694" s="85" t="s">
        <v>258</v>
      </c>
      <c r="K694" s="85" t="s">
        <v>253</v>
      </c>
      <c r="L694" s="59" t="s">
        <v>270</v>
      </c>
      <c r="M694" s="59"/>
    </row>
    <row r="695" spans="6:13" hidden="1" x14ac:dyDescent="0.4">
      <c r="F695" s="216">
        <v>694</v>
      </c>
      <c r="G695" s="85" t="s">
        <v>253</v>
      </c>
      <c r="H695" s="85" t="s">
        <v>248</v>
      </c>
      <c r="I695" s="70" t="s">
        <v>248</v>
      </c>
      <c r="J695" s="85" t="s">
        <v>258</v>
      </c>
      <c r="K695" s="85" t="s">
        <v>253</v>
      </c>
      <c r="L695" s="59" t="s">
        <v>270</v>
      </c>
      <c r="M695" s="59"/>
    </row>
    <row r="696" spans="6:13" hidden="1" x14ac:dyDescent="0.4">
      <c r="F696" s="212">
        <v>695</v>
      </c>
      <c r="G696" s="85" t="s">
        <v>253</v>
      </c>
      <c r="H696" s="85" t="s">
        <v>248</v>
      </c>
      <c r="I696" s="69" t="s">
        <v>248</v>
      </c>
      <c r="J696" s="85" t="s">
        <v>258</v>
      </c>
      <c r="K696" s="85" t="s">
        <v>253</v>
      </c>
      <c r="L696" s="59" t="s">
        <v>270</v>
      </c>
      <c r="M696" s="59"/>
    </row>
    <row r="697" spans="6:13" hidden="1" x14ac:dyDescent="0.4">
      <c r="F697" s="212">
        <v>696</v>
      </c>
      <c r="G697" s="85" t="s">
        <v>253</v>
      </c>
      <c r="H697" s="85" t="s">
        <v>188</v>
      </c>
      <c r="I697" s="82" t="s">
        <v>627</v>
      </c>
      <c r="J697" s="85" t="s">
        <v>258</v>
      </c>
      <c r="K697" s="85">
        <v>207</v>
      </c>
      <c r="L697" s="59" t="s">
        <v>270</v>
      </c>
      <c r="M697" s="59"/>
    </row>
    <row r="698" spans="6:13" hidden="1" x14ac:dyDescent="0.4">
      <c r="F698" s="216">
        <v>697</v>
      </c>
      <c r="G698" s="85" t="s">
        <v>253</v>
      </c>
      <c r="H698" s="85" t="s">
        <v>248</v>
      </c>
      <c r="I698" s="70" t="s">
        <v>248</v>
      </c>
      <c r="J698" s="85" t="s">
        <v>258</v>
      </c>
      <c r="K698" s="85" t="s">
        <v>253</v>
      </c>
      <c r="L698" s="59" t="s">
        <v>270</v>
      </c>
      <c r="M698" s="59"/>
    </row>
    <row r="699" spans="6:13" hidden="1" x14ac:dyDescent="0.4">
      <c r="F699" s="212">
        <v>698</v>
      </c>
      <c r="G699" s="85" t="s">
        <v>161</v>
      </c>
      <c r="H699" s="85" t="s">
        <v>188</v>
      </c>
      <c r="I699" s="82" t="s">
        <v>624</v>
      </c>
      <c r="J699" s="85" t="s">
        <v>258</v>
      </c>
      <c r="K699" s="85">
        <v>238</v>
      </c>
      <c r="L699" s="59" t="s">
        <v>270</v>
      </c>
      <c r="M699" s="59"/>
    </row>
    <row r="700" spans="6:13" hidden="1" x14ac:dyDescent="0.4">
      <c r="F700" s="216">
        <v>699</v>
      </c>
      <c r="G700" s="85" t="s">
        <v>253</v>
      </c>
      <c r="H700" s="85" t="s">
        <v>248</v>
      </c>
      <c r="I700" s="69" t="s">
        <v>248</v>
      </c>
      <c r="J700" s="85" t="s">
        <v>257</v>
      </c>
      <c r="K700" s="85" t="s">
        <v>253</v>
      </c>
      <c r="L700" s="59" t="s">
        <v>264</v>
      </c>
      <c r="M700" s="59"/>
    </row>
    <row r="701" spans="6:13" hidden="1" x14ac:dyDescent="0.4">
      <c r="F701" s="212">
        <v>700</v>
      </c>
      <c r="G701" s="85" t="s">
        <v>254</v>
      </c>
      <c r="H701" s="85" t="s">
        <v>188</v>
      </c>
      <c r="I701" s="82" t="s">
        <v>610</v>
      </c>
      <c r="J701" s="85" t="s">
        <v>258</v>
      </c>
      <c r="K701" s="85">
        <v>211</v>
      </c>
      <c r="L701" s="59" t="s">
        <v>270</v>
      </c>
      <c r="M701" s="59"/>
    </row>
    <row r="702" spans="6:13" hidden="1" x14ac:dyDescent="0.4">
      <c r="F702" s="212">
        <v>701</v>
      </c>
      <c r="G702" s="85" t="s">
        <v>254</v>
      </c>
      <c r="H702" s="85" t="s">
        <v>185</v>
      </c>
      <c r="I702" s="82" t="s">
        <v>636</v>
      </c>
      <c r="J702" s="85" t="s">
        <v>258</v>
      </c>
      <c r="K702" s="85">
        <v>149</v>
      </c>
      <c r="L702" s="59" t="s">
        <v>269</v>
      </c>
      <c r="M702" s="59"/>
    </row>
    <row r="703" spans="6:13" hidden="1" x14ac:dyDescent="0.4">
      <c r="F703" s="212">
        <v>702</v>
      </c>
      <c r="G703" s="85" t="s">
        <v>161</v>
      </c>
      <c r="H703" s="85" t="s">
        <v>185</v>
      </c>
      <c r="I703" s="82" t="s">
        <v>610</v>
      </c>
      <c r="J703" s="85" t="s">
        <v>258</v>
      </c>
      <c r="K703" s="85">
        <v>302</v>
      </c>
      <c r="L703" s="59" t="s">
        <v>270</v>
      </c>
      <c r="M703" s="59"/>
    </row>
    <row r="704" spans="6:13" hidden="1" x14ac:dyDescent="0.4">
      <c r="F704" s="212">
        <v>703</v>
      </c>
      <c r="G704" s="85" t="s">
        <v>161</v>
      </c>
      <c r="H704" s="85" t="s">
        <v>186</v>
      </c>
      <c r="I704" s="2" t="s">
        <v>624</v>
      </c>
      <c r="J704" s="85" t="s">
        <v>257</v>
      </c>
      <c r="K704" s="85">
        <v>1279</v>
      </c>
      <c r="L704" s="59" t="s">
        <v>264</v>
      </c>
      <c r="M704" s="59"/>
    </row>
    <row r="705" spans="6:13" hidden="1" x14ac:dyDescent="0.4">
      <c r="F705" s="212">
        <v>704</v>
      </c>
      <c r="G705" s="85" t="s">
        <v>161</v>
      </c>
      <c r="H705" s="85" t="s">
        <v>186</v>
      </c>
      <c r="I705" s="2" t="s">
        <v>624</v>
      </c>
      <c r="J705" s="85" t="s">
        <v>258</v>
      </c>
      <c r="K705" s="85">
        <v>457</v>
      </c>
      <c r="L705" s="59" t="s">
        <v>265</v>
      </c>
      <c r="M705" s="59"/>
    </row>
    <row r="706" spans="6:13" hidden="1" x14ac:dyDescent="0.4">
      <c r="F706" s="212">
        <v>705</v>
      </c>
      <c r="G706" s="85" t="s">
        <v>254</v>
      </c>
      <c r="H706" s="85" t="s">
        <v>188</v>
      </c>
      <c r="I706" s="82" t="s">
        <v>615</v>
      </c>
      <c r="J706" s="85" t="s">
        <v>258</v>
      </c>
      <c r="K706" s="85">
        <v>457</v>
      </c>
      <c r="L706" s="59" t="s">
        <v>265</v>
      </c>
      <c r="M706" s="59"/>
    </row>
    <row r="707" spans="6:13" hidden="1" x14ac:dyDescent="0.4">
      <c r="F707" s="212">
        <v>706</v>
      </c>
      <c r="G707" s="85" t="s">
        <v>254</v>
      </c>
      <c r="H707" s="85" t="s">
        <v>186</v>
      </c>
      <c r="I707" s="82" t="s">
        <v>602</v>
      </c>
      <c r="J707" s="85" t="s">
        <v>258</v>
      </c>
      <c r="K707" s="85">
        <v>457</v>
      </c>
      <c r="L707" s="59" t="s">
        <v>265</v>
      </c>
      <c r="M707" s="59"/>
    </row>
    <row r="708" spans="6:13" hidden="1" x14ac:dyDescent="0.4">
      <c r="F708" s="212">
        <v>707</v>
      </c>
      <c r="G708" s="85" t="s">
        <v>254</v>
      </c>
      <c r="H708" s="85" t="s">
        <v>185</v>
      </c>
      <c r="I708" s="82" t="s">
        <v>630</v>
      </c>
      <c r="J708" s="85" t="s">
        <v>258</v>
      </c>
      <c r="K708" s="85">
        <v>334</v>
      </c>
      <c r="L708" s="59" t="s">
        <v>270</v>
      </c>
      <c r="M708" s="59"/>
    </row>
    <row r="709" spans="6:13" hidden="1" x14ac:dyDescent="0.4">
      <c r="F709" s="212">
        <v>708</v>
      </c>
      <c r="G709" s="85" t="s">
        <v>254</v>
      </c>
      <c r="H709" s="85" t="s">
        <v>185</v>
      </c>
      <c r="I709" s="82" t="s">
        <v>634</v>
      </c>
      <c r="J709" s="85" t="s">
        <v>258</v>
      </c>
      <c r="K709" s="85">
        <v>151</v>
      </c>
      <c r="L709" s="59" t="s">
        <v>270</v>
      </c>
      <c r="M709" s="59"/>
    </row>
    <row r="710" spans="6:13" hidden="1" x14ac:dyDescent="0.4">
      <c r="F710" s="211">
        <v>709</v>
      </c>
      <c r="G710" s="85" t="s">
        <v>254</v>
      </c>
      <c r="H710" s="85"/>
      <c r="I710" s="2"/>
      <c r="J710" s="85" t="s">
        <v>257</v>
      </c>
      <c r="K710" s="85">
        <v>1281</v>
      </c>
      <c r="L710" s="59" t="s">
        <v>264</v>
      </c>
      <c r="M710" s="59"/>
    </row>
    <row r="711" spans="6:13" hidden="1" x14ac:dyDescent="0.4">
      <c r="F711" s="211">
        <v>710</v>
      </c>
      <c r="G711" s="85" t="s">
        <v>161</v>
      </c>
      <c r="H711" s="85" t="s">
        <v>189</v>
      </c>
      <c r="I711" s="3" t="s">
        <v>609</v>
      </c>
      <c r="J711" s="85" t="s">
        <v>258</v>
      </c>
      <c r="K711" s="85">
        <v>304</v>
      </c>
      <c r="L711" s="59" t="s">
        <v>269</v>
      </c>
      <c r="M711" s="59"/>
    </row>
    <row r="712" spans="6:13" hidden="1" x14ac:dyDescent="0.4">
      <c r="F712" s="211">
        <v>711</v>
      </c>
      <c r="G712" s="85" t="s">
        <v>161</v>
      </c>
      <c r="H712" s="85" t="s">
        <v>185</v>
      </c>
      <c r="I712" s="2" t="s">
        <v>624</v>
      </c>
      <c r="J712" s="85" t="s">
        <v>257</v>
      </c>
      <c r="K712" s="85">
        <v>1294</v>
      </c>
      <c r="L712" s="59" t="s">
        <v>264</v>
      </c>
      <c r="M712" s="59"/>
    </row>
    <row r="713" spans="6:13" hidden="1" x14ac:dyDescent="0.4">
      <c r="F713" s="211">
        <v>712</v>
      </c>
      <c r="G713" s="85" t="s">
        <v>254</v>
      </c>
      <c r="H713" s="85"/>
      <c r="I713" s="2" t="s">
        <v>603</v>
      </c>
      <c r="J713" s="85" t="s">
        <v>258</v>
      </c>
      <c r="K713" s="85">
        <v>244</v>
      </c>
      <c r="L713" s="59" t="s">
        <v>270</v>
      </c>
      <c r="M713" s="59"/>
    </row>
    <row r="714" spans="6:13" hidden="1" x14ac:dyDescent="0.4">
      <c r="F714" s="211">
        <v>713</v>
      </c>
      <c r="G714" s="85" t="s">
        <v>253</v>
      </c>
      <c r="H714" s="85" t="s">
        <v>188</v>
      </c>
      <c r="I714" s="2" t="s">
        <v>607</v>
      </c>
      <c r="J714" s="85" t="s">
        <v>258</v>
      </c>
      <c r="K714" s="85">
        <v>213</v>
      </c>
      <c r="L714" s="59" t="s">
        <v>269</v>
      </c>
      <c r="M714" s="59"/>
    </row>
    <row r="715" spans="6:13" hidden="1" x14ac:dyDescent="0.4">
      <c r="F715" s="211">
        <v>714</v>
      </c>
      <c r="G715" s="85" t="s">
        <v>254</v>
      </c>
      <c r="H715" s="85"/>
      <c r="I715" s="2" t="s">
        <v>607</v>
      </c>
      <c r="J715" s="85" t="s">
        <v>257</v>
      </c>
      <c r="K715" s="85">
        <v>1032</v>
      </c>
      <c r="L715" s="59" t="s">
        <v>262</v>
      </c>
      <c r="M715" s="59"/>
    </row>
    <row r="716" spans="6:13" hidden="1" x14ac:dyDescent="0.4">
      <c r="F716" s="218">
        <v>715</v>
      </c>
      <c r="G716" s="85" t="s">
        <v>254</v>
      </c>
      <c r="H716" s="85" t="s">
        <v>185</v>
      </c>
      <c r="I716" s="82" t="s">
        <v>630</v>
      </c>
      <c r="J716" s="85" t="s">
        <v>258</v>
      </c>
      <c r="K716" s="85">
        <v>307</v>
      </c>
      <c r="L716" s="59" t="s">
        <v>270</v>
      </c>
      <c r="M716" s="59"/>
    </row>
    <row r="717" spans="6:13" hidden="1" x14ac:dyDescent="0.4">
      <c r="F717" s="219">
        <v>716</v>
      </c>
      <c r="G717" s="85" t="s">
        <v>253</v>
      </c>
      <c r="H717" s="85" t="s">
        <v>248</v>
      </c>
      <c r="I717" s="70" t="s">
        <v>248</v>
      </c>
      <c r="J717" s="85" t="s">
        <v>258</v>
      </c>
      <c r="K717" s="85" t="s">
        <v>253</v>
      </c>
      <c r="L717" s="59" t="s">
        <v>270</v>
      </c>
      <c r="M717" s="59"/>
    </row>
    <row r="718" spans="6:13" hidden="1" x14ac:dyDescent="0.4">
      <c r="F718" s="218">
        <v>717</v>
      </c>
      <c r="G718" s="85" t="s">
        <v>254</v>
      </c>
      <c r="H718" s="85" t="s">
        <v>188</v>
      </c>
      <c r="I718" s="82" t="s">
        <v>615</v>
      </c>
      <c r="J718" s="85" t="s">
        <v>258</v>
      </c>
      <c r="K718" s="85">
        <v>459</v>
      </c>
      <c r="L718" s="59" t="s">
        <v>265</v>
      </c>
      <c r="M718" s="59"/>
    </row>
    <row r="719" spans="6:13" hidden="1" x14ac:dyDescent="0.4">
      <c r="F719" s="218">
        <v>718</v>
      </c>
      <c r="G719" s="85" t="s">
        <v>254</v>
      </c>
      <c r="H719" s="85"/>
      <c r="I719" s="82" t="s">
        <v>602</v>
      </c>
      <c r="J719" s="85" t="s">
        <v>257</v>
      </c>
      <c r="K719" s="85">
        <v>1106</v>
      </c>
      <c r="L719" s="59" t="s">
        <v>262</v>
      </c>
      <c r="M719" s="59"/>
    </row>
    <row r="720" spans="6:13" hidden="1" x14ac:dyDescent="0.4">
      <c r="F720" s="218">
        <v>719</v>
      </c>
      <c r="G720" s="85" t="s">
        <v>161</v>
      </c>
      <c r="H720" s="85" t="s">
        <v>189</v>
      </c>
      <c r="I720" s="82" t="s">
        <v>610</v>
      </c>
      <c r="J720" s="85" t="s">
        <v>258</v>
      </c>
      <c r="K720" s="85">
        <v>245</v>
      </c>
      <c r="L720" s="59" t="s">
        <v>270</v>
      </c>
      <c r="M720" s="59"/>
    </row>
    <row r="721" spans="6:13" hidden="1" x14ac:dyDescent="0.4">
      <c r="F721" s="218">
        <v>720</v>
      </c>
      <c r="G721" s="85" t="s">
        <v>161</v>
      </c>
      <c r="H721" s="85" t="s">
        <v>189</v>
      </c>
      <c r="I721" s="68" t="s">
        <v>624</v>
      </c>
      <c r="J721" s="85" t="s">
        <v>258</v>
      </c>
      <c r="K721" s="85">
        <v>245</v>
      </c>
      <c r="L721" s="59" t="s">
        <v>269</v>
      </c>
      <c r="M721" s="59"/>
    </row>
    <row r="722" spans="6:13" x14ac:dyDescent="0.4">
      <c r="F722" s="218">
        <v>721</v>
      </c>
      <c r="G722" s="85" t="s">
        <v>161</v>
      </c>
      <c r="H722" s="85" t="s">
        <v>186</v>
      </c>
      <c r="I722" s="82" t="s">
        <v>607</v>
      </c>
      <c r="J722" s="85" t="s">
        <v>258</v>
      </c>
      <c r="K722" s="85">
        <v>245</v>
      </c>
      <c r="L722" s="59" t="s">
        <v>270</v>
      </c>
      <c r="M722" s="59"/>
    </row>
    <row r="723" spans="6:13" hidden="1" x14ac:dyDescent="0.4">
      <c r="F723" s="218">
        <v>722</v>
      </c>
      <c r="G723" s="85" t="s">
        <v>161</v>
      </c>
      <c r="H723" s="85" t="s">
        <v>187</v>
      </c>
      <c r="I723" s="82" t="s">
        <v>604</v>
      </c>
      <c r="J723" s="85" t="s">
        <v>258</v>
      </c>
      <c r="K723" s="85">
        <v>518</v>
      </c>
      <c r="L723" s="59" t="s">
        <v>265</v>
      </c>
      <c r="M723" s="59"/>
    </row>
    <row r="724" spans="6:13" hidden="1" x14ac:dyDescent="0.4">
      <c r="F724" s="219">
        <v>723</v>
      </c>
      <c r="G724" s="85" t="s">
        <v>253</v>
      </c>
      <c r="H724" s="85" t="s">
        <v>248</v>
      </c>
      <c r="I724" s="70" t="s">
        <v>248</v>
      </c>
      <c r="J724" s="85" t="s">
        <v>258</v>
      </c>
      <c r="K724" s="85" t="s">
        <v>253</v>
      </c>
      <c r="L724" s="59" t="s">
        <v>270</v>
      </c>
      <c r="M724" s="59"/>
    </row>
    <row r="725" spans="6:13" hidden="1" x14ac:dyDescent="0.4">
      <c r="F725" s="218">
        <v>724</v>
      </c>
      <c r="G725" s="85" t="s">
        <v>253</v>
      </c>
      <c r="H725" s="85" t="s">
        <v>188</v>
      </c>
      <c r="I725" s="82" t="s">
        <v>602</v>
      </c>
      <c r="J725" s="85" t="s">
        <v>258</v>
      </c>
      <c r="K725" s="85">
        <v>429</v>
      </c>
      <c r="L725" s="59" t="s">
        <v>270</v>
      </c>
      <c r="M725" s="59"/>
    </row>
    <row r="726" spans="6:13" hidden="1" x14ac:dyDescent="0.4">
      <c r="F726" s="219">
        <v>725</v>
      </c>
      <c r="G726" s="85" t="s">
        <v>253</v>
      </c>
      <c r="H726" s="85" t="s">
        <v>248</v>
      </c>
      <c r="I726" s="69" t="s">
        <v>248</v>
      </c>
      <c r="J726" s="85" t="s">
        <v>258</v>
      </c>
      <c r="K726" s="85" t="s">
        <v>253</v>
      </c>
      <c r="L726" s="59" t="s">
        <v>270</v>
      </c>
      <c r="M726" s="59"/>
    </row>
    <row r="727" spans="6:13" hidden="1" x14ac:dyDescent="0.4">
      <c r="F727" s="219">
        <v>726</v>
      </c>
      <c r="G727" s="85" t="s">
        <v>253</v>
      </c>
      <c r="H727" s="85" t="s">
        <v>248</v>
      </c>
      <c r="I727" s="70" t="s">
        <v>248</v>
      </c>
      <c r="J727" s="85" t="s">
        <v>258</v>
      </c>
      <c r="K727" s="85" t="s">
        <v>253</v>
      </c>
      <c r="L727" s="59" t="s">
        <v>270</v>
      </c>
      <c r="M727" s="59"/>
    </row>
    <row r="728" spans="6:13" hidden="1" x14ac:dyDescent="0.4">
      <c r="F728" s="218">
        <v>727</v>
      </c>
      <c r="G728" s="85" t="s">
        <v>161</v>
      </c>
      <c r="H728" s="85" t="s">
        <v>185</v>
      </c>
      <c r="I728" s="82" t="s">
        <v>615</v>
      </c>
      <c r="J728" s="85" t="s">
        <v>258</v>
      </c>
      <c r="K728" s="85">
        <v>371</v>
      </c>
      <c r="L728" s="59" t="s">
        <v>270</v>
      </c>
      <c r="M728" s="59"/>
    </row>
    <row r="729" spans="6:13" hidden="1" x14ac:dyDescent="0.4">
      <c r="F729" s="218">
        <v>728</v>
      </c>
      <c r="G729" s="85" t="s">
        <v>161</v>
      </c>
      <c r="H729" s="85" t="s">
        <v>186</v>
      </c>
      <c r="I729" s="82" t="s">
        <v>602</v>
      </c>
      <c r="J729" s="85" t="s">
        <v>258</v>
      </c>
      <c r="K729" s="85">
        <v>430</v>
      </c>
      <c r="L729" s="59" t="s">
        <v>270</v>
      </c>
      <c r="M729" s="59"/>
    </row>
    <row r="730" spans="6:13" hidden="1" x14ac:dyDescent="0.4">
      <c r="F730" s="218">
        <v>729</v>
      </c>
      <c r="G730" s="85" t="s">
        <v>254</v>
      </c>
      <c r="H730" s="85" t="s">
        <v>185</v>
      </c>
      <c r="I730" s="82" t="s">
        <v>630</v>
      </c>
      <c r="J730" s="85" t="s">
        <v>258</v>
      </c>
      <c r="K730" s="85">
        <v>309</v>
      </c>
      <c r="L730" s="59" t="s">
        <v>270</v>
      </c>
      <c r="M730" s="59"/>
    </row>
    <row r="731" spans="6:13" hidden="1" x14ac:dyDescent="0.4">
      <c r="F731" s="218">
        <v>730</v>
      </c>
      <c r="G731" s="85" t="s">
        <v>161</v>
      </c>
      <c r="H731" s="85" t="s">
        <v>187</v>
      </c>
      <c r="I731" s="82" t="s">
        <v>607</v>
      </c>
      <c r="J731" s="85" t="s">
        <v>258</v>
      </c>
      <c r="K731" s="85">
        <v>431</v>
      </c>
      <c r="L731" s="59" t="s">
        <v>270</v>
      </c>
      <c r="M731" s="59"/>
    </row>
    <row r="732" spans="6:13" hidden="1" x14ac:dyDescent="0.4">
      <c r="F732" s="218">
        <v>731</v>
      </c>
      <c r="G732" s="85" t="s">
        <v>253</v>
      </c>
      <c r="H732" s="85" t="s">
        <v>188</v>
      </c>
      <c r="I732" s="82" t="s">
        <v>627</v>
      </c>
      <c r="J732" s="85" t="s">
        <v>258</v>
      </c>
      <c r="K732" s="85">
        <v>309</v>
      </c>
      <c r="L732" s="59" t="s">
        <v>270</v>
      </c>
      <c r="M732" s="59"/>
    </row>
    <row r="733" spans="6:13" hidden="1" x14ac:dyDescent="0.4">
      <c r="F733" s="218">
        <v>732</v>
      </c>
      <c r="G733" s="85" t="s">
        <v>253</v>
      </c>
      <c r="H733" s="132" t="s">
        <v>248</v>
      </c>
      <c r="I733" s="2" t="s">
        <v>248</v>
      </c>
      <c r="J733" s="85" t="s">
        <v>258</v>
      </c>
      <c r="K733" s="85" t="s">
        <v>253</v>
      </c>
      <c r="L733" s="59" t="s">
        <v>270</v>
      </c>
      <c r="M733" s="59"/>
    </row>
    <row r="734" spans="6:13" hidden="1" x14ac:dyDescent="0.4">
      <c r="F734" s="218">
        <v>733</v>
      </c>
      <c r="G734" s="85" t="s">
        <v>161</v>
      </c>
      <c r="H734" s="82" t="s">
        <v>186</v>
      </c>
      <c r="I734" s="69" t="s">
        <v>624</v>
      </c>
      <c r="J734" s="85" t="s">
        <v>258</v>
      </c>
      <c r="K734" s="85">
        <v>187</v>
      </c>
      <c r="L734" s="59" t="s">
        <v>270</v>
      </c>
      <c r="M734" s="59"/>
    </row>
    <row r="735" spans="6:13" hidden="1" x14ac:dyDescent="0.4">
      <c r="F735" s="218">
        <v>734</v>
      </c>
      <c r="G735" s="85" t="s">
        <v>161</v>
      </c>
      <c r="H735" s="85" t="s">
        <v>186</v>
      </c>
      <c r="I735" s="82" t="s">
        <v>602</v>
      </c>
      <c r="J735" s="85" t="s">
        <v>258</v>
      </c>
      <c r="K735" s="85">
        <v>278</v>
      </c>
      <c r="L735" s="59" t="s">
        <v>270</v>
      </c>
      <c r="M735" s="59"/>
    </row>
    <row r="736" spans="6:13" hidden="1" x14ac:dyDescent="0.4">
      <c r="F736" s="218">
        <v>735</v>
      </c>
      <c r="G736" s="85" t="s">
        <v>254</v>
      </c>
      <c r="H736" s="85"/>
      <c r="I736" s="82"/>
      <c r="J736" s="85" t="s">
        <v>258</v>
      </c>
      <c r="K736" s="85">
        <v>522</v>
      </c>
      <c r="L736" s="59" t="s">
        <v>265</v>
      </c>
      <c r="M736" s="59"/>
    </row>
    <row r="737" spans="6:13" hidden="1" x14ac:dyDescent="0.4">
      <c r="F737" s="218">
        <v>736</v>
      </c>
      <c r="G737" s="85" t="s">
        <v>254</v>
      </c>
      <c r="H737" s="85" t="s">
        <v>185</v>
      </c>
      <c r="I737" s="82" t="s">
        <v>615</v>
      </c>
      <c r="J737" s="85" t="s">
        <v>258</v>
      </c>
      <c r="K737" s="85">
        <v>310</v>
      </c>
      <c r="L737" s="59" t="s">
        <v>269</v>
      </c>
      <c r="M737" s="59"/>
    </row>
    <row r="738" spans="6:13" hidden="1" x14ac:dyDescent="0.4">
      <c r="F738" s="219">
        <v>737</v>
      </c>
      <c r="G738" s="85" t="s">
        <v>253</v>
      </c>
      <c r="H738" s="85" t="s">
        <v>248</v>
      </c>
      <c r="I738" s="69" t="s">
        <v>248</v>
      </c>
      <c r="J738" s="85" t="s">
        <v>258</v>
      </c>
      <c r="K738" s="85" t="s">
        <v>253</v>
      </c>
      <c r="L738" s="59" t="s">
        <v>265</v>
      </c>
      <c r="M738" s="59"/>
    </row>
    <row r="739" spans="6:13" hidden="1" x14ac:dyDescent="0.4">
      <c r="F739" s="218">
        <v>738</v>
      </c>
      <c r="G739" s="85" t="s">
        <v>161</v>
      </c>
      <c r="H739" s="85" t="s">
        <v>189</v>
      </c>
      <c r="I739" s="3" t="s">
        <v>609</v>
      </c>
      <c r="J739" s="85" t="s">
        <v>258</v>
      </c>
      <c r="K739" s="85">
        <v>220</v>
      </c>
      <c r="L739" s="59" t="s">
        <v>269</v>
      </c>
      <c r="M739" s="59"/>
    </row>
    <row r="740" spans="6:13" x14ac:dyDescent="0.4">
      <c r="F740" s="218">
        <v>739</v>
      </c>
      <c r="G740" s="85" t="s">
        <v>161</v>
      </c>
      <c r="H740" s="85" t="s">
        <v>186</v>
      </c>
      <c r="I740" s="82" t="s">
        <v>607</v>
      </c>
      <c r="J740" s="85" t="s">
        <v>258</v>
      </c>
      <c r="K740" s="85">
        <v>465</v>
      </c>
      <c r="L740" s="59" t="s">
        <v>265</v>
      </c>
      <c r="M740" s="59"/>
    </row>
    <row r="741" spans="6:13" hidden="1" x14ac:dyDescent="0.4">
      <c r="F741" s="219">
        <v>740</v>
      </c>
      <c r="G741" s="85" t="s">
        <v>253</v>
      </c>
      <c r="H741" s="85" t="s">
        <v>248</v>
      </c>
      <c r="I741" s="69" t="s">
        <v>248</v>
      </c>
      <c r="J741" s="85" t="s">
        <v>258</v>
      </c>
      <c r="K741" s="85" t="s">
        <v>253</v>
      </c>
      <c r="L741" s="59" t="s">
        <v>265</v>
      </c>
      <c r="M741" s="59"/>
    </row>
    <row r="742" spans="6:13" hidden="1" x14ac:dyDescent="0.4">
      <c r="F742" s="218">
        <v>741</v>
      </c>
      <c r="G742" s="85" t="s">
        <v>253</v>
      </c>
      <c r="H742" s="85" t="s">
        <v>248</v>
      </c>
      <c r="I742" s="2" t="s">
        <v>248</v>
      </c>
      <c r="J742" s="85" t="s">
        <v>258</v>
      </c>
      <c r="K742" s="85" t="s">
        <v>253</v>
      </c>
      <c r="L742" s="59" t="s">
        <v>270</v>
      </c>
      <c r="M742" s="59"/>
    </row>
    <row r="743" spans="6:13" hidden="1" x14ac:dyDescent="0.4">
      <c r="F743" s="219">
        <v>742</v>
      </c>
      <c r="G743" s="85" t="s">
        <v>253</v>
      </c>
      <c r="H743" s="85" t="s">
        <v>248</v>
      </c>
      <c r="I743" s="2" t="s">
        <v>248</v>
      </c>
      <c r="J743" s="85" t="s">
        <v>258</v>
      </c>
      <c r="K743" s="85" t="s">
        <v>253</v>
      </c>
      <c r="L743" s="59" t="s">
        <v>270</v>
      </c>
      <c r="M743" s="59"/>
    </row>
    <row r="744" spans="6:13" hidden="1" x14ac:dyDescent="0.4">
      <c r="F744" s="218">
        <v>743</v>
      </c>
      <c r="G744" s="85" t="s">
        <v>161</v>
      </c>
      <c r="H744" s="85" t="s">
        <v>186</v>
      </c>
      <c r="I744" s="82" t="s">
        <v>602</v>
      </c>
      <c r="J744" s="85" t="s">
        <v>257</v>
      </c>
      <c r="K744" s="85">
        <v>1137</v>
      </c>
      <c r="L744" s="59" t="s">
        <v>262</v>
      </c>
      <c r="M744" s="59"/>
    </row>
    <row r="745" spans="6:13" hidden="1" x14ac:dyDescent="0.4">
      <c r="F745" s="218">
        <v>744</v>
      </c>
      <c r="G745" s="85" t="s">
        <v>254</v>
      </c>
      <c r="H745" s="85" t="s">
        <v>187</v>
      </c>
      <c r="I745" s="82" t="s">
        <v>644</v>
      </c>
      <c r="J745" s="85" t="s">
        <v>258</v>
      </c>
      <c r="K745" s="85">
        <v>344</v>
      </c>
      <c r="L745" s="59" t="s">
        <v>270</v>
      </c>
      <c r="M745" s="59"/>
    </row>
    <row r="746" spans="6:13" hidden="1" x14ac:dyDescent="0.4">
      <c r="F746" s="218">
        <v>745</v>
      </c>
      <c r="G746" s="85" t="s">
        <v>161</v>
      </c>
      <c r="H746" s="85" t="s">
        <v>187</v>
      </c>
      <c r="I746" s="82" t="s">
        <v>645</v>
      </c>
      <c r="J746" s="85" t="s">
        <v>258</v>
      </c>
      <c r="K746" s="85">
        <v>344</v>
      </c>
      <c r="L746" s="59" t="s">
        <v>270</v>
      </c>
      <c r="M746" s="59"/>
    </row>
    <row r="747" spans="6:13" hidden="1" x14ac:dyDescent="0.4">
      <c r="F747" s="218">
        <v>746</v>
      </c>
      <c r="G747" s="85" t="s">
        <v>254</v>
      </c>
      <c r="H747" s="85" t="s">
        <v>186</v>
      </c>
      <c r="I747" s="82" t="s">
        <v>607</v>
      </c>
      <c r="J747" s="85" t="s">
        <v>257</v>
      </c>
      <c r="K747" s="85">
        <v>1298</v>
      </c>
      <c r="L747" s="59" t="s">
        <v>264</v>
      </c>
      <c r="M747" s="59"/>
    </row>
    <row r="748" spans="6:13" hidden="1" x14ac:dyDescent="0.4">
      <c r="F748" s="218">
        <v>747</v>
      </c>
      <c r="G748" s="85" t="s">
        <v>254</v>
      </c>
      <c r="H748" s="85" t="s">
        <v>188</v>
      </c>
      <c r="I748" s="82" t="s">
        <v>610</v>
      </c>
      <c r="J748" s="85" t="s">
        <v>258</v>
      </c>
      <c r="K748" s="85">
        <v>252</v>
      </c>
      <c r="L748" s="59" t="s">
        <v>270</v>
      </c>
      <c r="M748" s="59"/>
    </row>
    <row r="749" spans="6:13" hidden="1" x14ac:dyDescent="0.4">
      <c r="F749" s="219">
        <v>748</v>
      </c>
      <c r="G749" s="85" t="s">
        <v>253</v>
      </c>
      <c r="H749" s="85" t="s">
        <v>248</v>
      </c>
      <c r="I749" s="69" t="s">
        <v>248</v>
      </c>
      <c r="J749" s="85" t="s">
        <v>258</v>
      </c>
      <c r="K749" s="85" t="s">
        <v>253</v>
      </c>
      <c r="L749" s="59" t="s">
        <v>270</v>
      </c>
      <c r="M749" s="59"/>
    </row>
    <row r="750" spans="6:13" hidden="1" x14ac:dyDescent="0.4">
      <c r="F750" s="219">
        <v>749</v>
      </c>
      <c r="G750" s="85" t="s">
        <v>253</v>
      </c>
      <c r="H750" s="85" t="s">
        <v>248</v>
      </c>
      <c r="I750" s="69" t="s">
        <v>248</v>
      </c>
      <c r="J750" s="85" t="s">
        <v>258</v>
      </c>
      <c r="K750" s="85" t="s">
        <v>253</v>
      </c>
      <c r="L750" s="59" t="s">
        <v>270</v>
      </c>
      <c r="M750" s="59"/>
    </row>
    <row r="751" spans="6:13" hidden="1" x14ac:dyDescent="0.4">
      <c r="F751" s="218">
        <v>750</v>
      </c>
      <c r="G751" s="85" t="s">
        <v>161</v>
      </c>
      <c r="H751" s="85" t="s">
        <v>188</v>
      </c>
      <c r="I751" s="82" t="s">
        <v>603</v>
      </c>
      <c r="J751" s="85" t="s">
        <v>258</v>
      </c>
      <c r="K751" s="85">
        <v>528</v>
      </c>
      <c r="L751" s="59" t="s">
        <v>265</v>
      </c>
      <c r="M751" s="59"/>
    </row>
    <row r="752" spans="6:13" hidden="1" x14ac:dyDescent="0.4">
      <c r="F752" s="218">
        <v>751</v>
      </c>
      <c r="G752" s="85" t="s">
        <v>254</v>
      </c>
      <c r="H752" s="85" t="s">
        <v>186</v>
      </c>
      <c r="I752" s="82" t="s">
        <v>607</v>
      </c>
      <c r="J752" s="85" t="s">
        <v>257</v>
      </c>
      <c r="K752" s="85">
        <v>1301</v>
      </c>
      <c r="L752" s="59" t="s">
        <v>264</v>
      </c>
      <c r="M752" s="59"/>
    </row>
    <row r="753" spans="6:13" hidden="1" x14ac:dyDescent="0.4">
      <c r="F753" s="219">
        <v>752</v>
      </c>
      <c r="G753" s="85" t="s">
        <v>253</v>
      </c>
      <c r="H753" s="85" t="s">
        <v>248</v>
      </c>
      <c r="I753" s="69" t="s">
        <v>248</v>
      </c>
      <c r="J753" s="85" t="s">
        <v>258</v>
      </c>
      <c r="K753" s="85" t="s">
        <v>253</v>
      </c>
      <c r="L753" s="59" t="s">
        <v>265</v>
      </c>
      <c r="M753" s="59"/>
    </row>
    <row r="754" spans="6:13" hidden="1" x14ac:dyDescent="0.4">
      <c r="F754" s="218">
        <v>753</v>
      </c>
      <c r="G754" s="85" t="s">
        <v>161</v>
      </c>
      <c r="H754" s="85" t="s">
        <v>185</v>
      </c>
      <c r="I754" s="82" t="s">
        <v>607</v>
      </c>
      <c r="J754" s="85" t="s">
        <v>258</v>
      </c>
      <c r="K754" s="85">
        <v>194</v>
      </c>
      <c r="L754" s="59" t="s">
        <v>270</v>
      </c>
      <c r="M754" s="59"/>
    </row>
    <row r="755" spans="6:13" hidden="1" x14ac:dyDescent="0.4">
      <c r="F755" s="218">
        <v>754</v>
      </c>
      <c r="G755" s="85" t="s">
        <v>161</v>
      </c>
      <c r="H755" s="85" t="s">
        <v>186</v>
      </c>
      <c r="I755" s="2" t="s">
        <v>624</v>
      </c>
      <c r="J755" s="85" t="s">
        <v>258</v>
      </c>
      <c r="K755" s="85">
        <v>194</v>
      </c>
      <c r="L755" s="59" t="s">
        <v>270</v>
      </c>
      <c r="M755" s="59"/>
    </row>
    <row r="756" spans="6:13" hidden="1" x14ac:dyDescent="0.4">
      <c r="F756" s="218">
        <v>755</v>
      </c>
      <c r="G756" s="85" t="s">
        <v>161</v>
      </c>
      <c r="H756" s="85" t="s">
        <v>188</v>
      </c>
      <c r="I756" s="2" t="s">
        <v>638</v>
      </c>
      <c r="J756" s="85" t="s">
        <v>258</v>
      </c>
      <c r="K756" s="85">
        <v>347</v>
      </c>
      <c r="L756" s="59" t="s">
        <v>269</v>
      </c>
      <c r="M756" s="59"/>
    </row>
    <row r="757" spans="6:13" hidden="1" x14ac:dyDescent="0.4">
      <c r="F757" s="218">
        <v>756</v>
      </c>
      <c r="G757" s="85" t="s">
        <v>253</v>
      </c>
      <c r="H757" s="85" t="s">
        <v>248</v>
      </c>
      <c r="I757" s="2" t="s">
        <v>248</v>
      </c>
      <c r="J757" s="85" t="s">
        <v>258</v>
      </c>
      <c r="K757" s="85" t="s">
        <v>253</v>
      </c>
      <c r="L757" s="59" t="s">
        <v>270</v>
      </c>
      <c r="M757" s="59"/>
    </row>
    <row r="758" spans="6:13" hidden="1" x14ac:dyDescent="0.4">
      <c r="F758" s="218">
        <v>757</v>
      </c>
      <c r="G758" s="85" t="s">
        <v>253</v>
      </c>
      <c r="H758" s="85" t="s">
        <v>188</v>
      </c>
      <c r="I758" s="2" t="s">
        <v>624</v>
      </c>
      <c r="J758" s="85" t="s">
        <v>188</v>
      </c>
      <c r="K758" s="85" t="s">
        <v>253</v>
      </c>
      <c r="L758" s="59" t="s">
        <v>263</v>
      </c>
      <c r="M758" s="59"/>
    </row>
    <row r="759" spans="6:13" hidden="1" x14ac:dyDescent="0.4">
      <c r="F759" s="218">
        <v>758</v>
      </c>
      <c r="G759" s="85" t="s">
        <v>253</v>
      </c>
      <c r="H759" s="85"/>
      <c r="I759" s="82"/>
      <c r="J759" s="85" t="s">
        <v>258</v>
      </c>
      <c r="K759" s="85">
        <v>529</v>
      </c>
      <c r="L759" s="59" t="s">
        <v>265</v>
      </c>
      <c r="M759" s="59"/>
    </row>
    <row r="760" spans="6:13" hidden="1" x14ac:dyDescent="0.4">
      <c r="F760" s="218">
        <v>759</v>
      </c>
      <c r="G760" s="85" t="s">
        <v>253</v>
      </c>
      <c r="H760" s="85"/>
      <c r="I760" s="82" t="s">
        <v>624</v>
      </c>
      <c r="J760" s="85" t="s">
        <v>258</v>
      </c>
      <c r="K760" s="85">
        <v>318</v>
      </c>
      <c r="L760" s="59" t="s">
        <v>270</v>
      </c>
      <c r="M760" s="59"/>
    </row>
    <row r="761" spans="6:13" hidden="1" x14ac:dyDescent="0.4">
      <c r="F761" s="218">
        <v>760</v>
      </c>
      <c r="G761" s="85" t="s">
        <v>254</v>
      </c>
      <c r="H761" s="85" t="s">
        <v>185</v>
      </c>
      <c r="I761" s="82" t="s">
        <v>611</v>
      </c>
      <c r="J761" s="85" t="s">
        <v>258</v>
      </c>
      <c r="K761" s="85">
        <v>472</v>
      </c>
      <c r="L761" s="59" t="s">
        <v>265</v>
      </c>
      <c r="M761" s="59"/>
    </row>
    <row r="762" spans="6:13" hidden="1" x14ac:dyDescent="0.4">
      <c r="F762" s="218">
        <v>761</v>
      </c>
      <c r="G762" s="85" t="s">
        <v>161</v>
      </c>
      <c r="H762" s="85" t="s">
        <v>187</v>
      </c>
      <c r="I762" s="82" t="s">
        <v>604</v>
      </c>
      <c r="J762" s="85" t="s">
        <v>258</v>
      </c>
      <c r="K762" s="85">
        <v>319</v>
      </c>
      <c r="L762" s="59" t="s">
        <v>270</v>
      </c>
      <c r="M762" s="59"/>
    </row>
    <row r="763" spans="6:13" hidden="1" x14ac:dyDescent="0.4">
      <c r="F763" s="218">
        <v>762</v>
      </c>
      <c r="G763" s="85" t="s">
        <v>254</v>
      </c>
      <c r="H763" s="85"/>
      <c r="I763" s="82" t="s">
        <v>625</v>
      </c>
      <c r="J763" s="85" t="s">
        <v>258</v>
      </c>
      <c r="K763" s="85">
        <v>200</v>
      </c>
      <c r="L763" s="59" t="s">
        <v>270</v>
      </c>
      <c r="M763" s="59"/>
    </row>
    <row r="764" spans="6:13" hidden="1" x14ac:dyDescent="0.4">
      <c r="F764" s="219">
        <v>763</v>
      </c>
      <c r="G764" s="85" t="s">
        <v>253</v>
      </c>
      <c r="H764" s="85" t="s">
        <v>248</v>
      </c>
      <c r="I764" s="69" t="s">
        <v>248</v>
      </c>
      <c r="J764" s="85" t="s">
        <v>258</v>
      </c>
      <c r="K764" s="85" t="s">
        <v>253</v>
      </c>
      <c r="L764" s="59" t="s">
        <v>270</v>
      </c>
      <c r="M764" s="59"/>
    </row>
    <row r="765" spans="6:13" hidden="1" x14ac:dyDescent="0.4">
      <c r="F765" s="218">
        <v>764</v>
      </c>
      <c r="G765" s="85" t="s">
        <v>254</v>
      </c>
      <c r="H765" s="85" t="s">
        <v>185</v>
      </c>
      <c r="I765" s="82" t="s">
        <v>642</v>
      </c>
      <c r="J765" s="85" t="s">
        <v>258</v>
      </c>
      <c r="K765" s="85">
        <v>289</v>
      </c>
      <c r="L765" s="59" t="s">
        <v>270</v>
      </c>
      <c r="M765" s="59"/>
    </row>
    <row r="766" spans="6:13" hidden="1" x14ac:dyDescent="0.4">
      <c r="F766" s="218">
        <v>765</v>
      </c>
      <c r="G766" s="85" t="s">
        <v>253</v>
      </c>
      <c r="H766" s="85"/>
      <c r="I766" s="82" t="s">
        <v>621</v>
      </c>
      <c r="J766" s="85" t="s">
        <v>258</v>
      </c>
      <c r="K766" s="85">
        <v>168</v>
      </c>
      <c r="L766" s="59" t="s">
        <v>270</v>
      </c>
      <c r="M766" s="59"/>
    </row>
    <row r="767" spans="6:13" hidden="1" x14ac:dyDescent="0.4">
      <c r="F767" s="218">
        <v>766</v>
      </c>
      <c r="G767" s="85" t="s">
        <v>254</v>
      </c>
      <c r="H767" s="85"/>
      <c r="I767" s="82"/>
      <c r="J767" s="85" t="s">
        <v>258</v>
      </c>
      <c r="K767" s="85">
        <v>474</v>
      </c>
      <c r="L767" s="59" t="s">
        <v>265</v>
      </c>
      <c r="M767" s="59"/>
    </row>
    <row r="768" spans="6:13" hidden="1" x14ac:dyDescent="0.4">
      <c r="F768" s="218">
        <v>767</v>
      </c>
      <c r="G768" s="85" t="s">
        <v>161</v>
      </c>
      <c r="H768" s="85" t="s">
        <v>189</v>
      </c>
      <c r="I768" s="3" t="s">
        <v>609</v>
      </c>
      <c r="J768" s="85" t="s">
        <v>257</v>
      </c>
      <c r="K768" s="85">
        <v>1170</v>
      </c>
      <c r="L768" s="59" t="s">
        <v>262</v>
      </c>
      <c r="M768" s="59"/>
    </row>
    <row r="769" spans="6:13" hidden="1" x14ac:dyDescent="0.4">
      <c r="F769" s="218">
        <v>768</v>
      </c>
      <c r="G769" s="85" t="s">
        <v>161</v>
      </c>
      <c r="H769" s="85" t="s">
        <v>186</v>
      </c>
      <c r="I769" s="82" t="s">
        <v>602</v>
      </c>
      <c r="J769" s="85" t="s">
        <v>258</v>
      </c>
      <c r="K769" s="85">
        <v>261</v>
      </c>
      <c r="L769" s="59" t="s">
        <v>270</v>
      </c>
      <c r="M769" s="59"/>
    </row>
    <row r="770" spans="6:13" hidden="1" x14ac:dyDescent="0.4">
      <c r="F770" s="218">
        <v>769</v>
      </c>
      <c r="G770" s="85" t="s">
        <v>161</v>
      </c>
      <c r="H770" s="85" t="s">
        <v>185</v>
      </c>
      <c r="I770" s="82" t="s">
        <v>611</v>
      </c>
      <c r="J770" s="85" t="s">
        <v>258</v>
      </c>
      <c r="K770" s="85">
        <v>475</v>
      </c>
      <c r="L770" s="59" t="s">
        <v>265</v>
      </c>
      <c r="M770" s="59"/>
    </row>
    <row r="771" spans="6:13" hidden="1" x14ac:dyDescent="0.4">
      <c r="F771" s="218">
        <v>770</v>
      </c>
      <c r="G771" s="85" t="s">
        <v>161</v>
      </c>
      <c r="H771" s="85" t="s">
        <v>188</v>
      </c>
      <c r="I771" s="82" t="s">
        <v>603</v>
      </c>
      <c r="J771" s="85" t="s">
        <v>188</v>
      </c>
      <c r="K771" s="85" t="s">
        <v>253</v>
      </c>
      <c r="L771" s="59" t="s">
        <v>263</v>
      </c>
      <c r="M771" s="59"/>
    </row>
    <row r="772" spans="6:13" hidden="1" x14ac:dyDescent="0.4">
      <c r="F772" s="218">
        <v>771</v>
      </c>
      <c r="G772" s="85" t="s">
        <v>254</v>
      </c>
      <c r="H772" s="85" t="s">
        <v>189</v>
      </c>
      <c r="I772" s="82" t="s">
        <v>614</v>
      </c>
      <c r="J772" s="85" t="s">
        <v>257</v>
      </c>
      <c r="K772" s="85">
        <v>1172</v>
      </c>
      <c r="L772" s="59" t="s">
        <v>262</v>
      </c>
      <c r="M772" s="59"/>
    </row>
    <row r="773" spans="6:13" hidden="1" x14ac:dyDescent="0.4">
      <c r="F773" s="218">
        <v>772</v>
      </c>
      <c r="G773" s="85" t="s">
        <v>161</v>
      </c>
      <c r="H773" s="85" t="s">
        <v>189</v>
      </c>
      <c r="I773" s="82" t="s">
        <v>609</v>
      </c>
      <c r="J773" s="85" t="s">
        <v>257</v>
      </c>
      <c r="K773" s="85">
        <v>1308</v>
      </c>
      <c r="L773" s="59" t="s">
        <v>264</v>
      </c>
      <c r="M773" s="59"/>
    </row>
    <row r="774" spans="6:13" hidden="1" x14ac:dyDescent="0.4">
      <c r="F774" s="218">
        <v>773</v>
      </c>
      <c r="G774" s="85" t="s">
        <v>161</v>
      </c>
      <c r="H774" s="85" t="s">
        <v>188</v>
      </c>
      <c r="I774" s="82" t="s">
        <v>602</v>
      </c>
      <c r="J774" s="85" t="s">
        <v>258</v>
      </c>
      <c r="K774" s="85">
        <v>536</v>
      </c>
      <c r="L774" s="59" t="s">
        <v>265</v>
      </c>
      <c r="M774" s="59"/>
    </row>
    <row r="775" spans="6:13" hidden="1" x14ac:dyDescent="0.4">
      <c r="F775" s="219">
        <v>774</v>
      </c>
      <c r="G775" s="85" t="s">
        <v>253</v>
      </c>
      <c r="H775" s="85" t="s">
        <v>248</v>
      </c>
      <c r="I775" s="69" t="s">
        <v>248</v>
      </c>
      <c r="J775" s="85" t="s">
        <v>258</v>
      </c>
      <c r="K775" s="85" t="s">
        <v>253</v>
      </c>
      <c r="L775" s="59" t="s">
        <v>269</v>
      </c>
      <c r="M775" s="59"/>
    </row>
    <row r="776" spans="6:13" hidden="1" x14ac:dyDescent="0.4">
      <c r="F776" s="218">
        <v>775</v>
      </c>
      <c r="G776" s="85" t="s">
        <v>161</v>
      </c>
      <c r="H776" s="85" t="s">
        <v>189</v>
      </c>
      <c r="I776" s="3" t="s">
        <v>609</v>
      </c>
      <c r="J776" s="85" t="s">
        <v>257</v>
      </c>
      <c r="K776" s="85">
        <v>1173</v>
      </c>
      <c r="L776" s="59" t="s">
        <v>262</v>
      </c>
      <c r="M776" s="59"/>
    </row>
    <row r="777" spans="6:13" hidden="1" x14ac:dyDescent="0.4">
      <c r="F777" s="218">
        <v>776</v>
      </c>
      <c r="G777" s="85" t="s">
        <v>254</v>
      </c>
      <c r="H777" s="85" t="s">
        <v>185</v>
      </c>
      <c r="I777" s="2" t="s">
        <v>634</v>
      </c>
      <c r="J777" s="85" t="s">
        <v>258</v>
      </c>
      <c r="K777" s="85">
        <v>293</v>
      </c>
      <c r="L777" s="59" t="s">
        <v>270</v>
      </c>
      <c r="M777" s="59"/>
    </row>
    <row r="778" spans="6:13" hidden="1" x14ac:dyDescent="0.4">
      <c r="F778" s="218">
        <v>777</v>
      </c>
      <c r="G778" s="85" t="s">
        <v>161</v>
      </c>
      <c r="H778" s="85" t="s">
        <v>185</v>
      </c>
      <c r="I778" s="2" t="s">
        <v>624</v>
      </c>
      <c r="J778" s="85" t="s">
        <v>258</v>
      </c>
      <c r="K778" s="85">
        <v>386</v>
      </c>
      <c r="L778" s="59" t="s">
        <v>270</v>
      </c>
      <c r="M778" s="59"/>
    </row>
    <row r="779" spans="6:13" hidden="1" x14ac:dyDescent="0.4">
      <c r="F779" s="218">
        <v>778</v>
      </c>
      <c r="G779" s="85" t="s">
        <v>254</v>
      </c>
      <c r="H779" s="85"/>
      <c r="I779" s="2" t="s">
        <v>601</v>
      </c>
      <c r="J779" s="85" t="s">
        <v>258</v>
      </c>
      <c r="K779" s="85">
        <v>386</v>
      </c>
      <c r="L779" s="59" t="s">
        <v>270</v>
      </c>
      <c r="M779" s="59"/>
    </row>
    <row r="780" spans="6:13" x14ac:dyDescent="0.4">
      <c r="F780" s="218">
        <v>779</v>
      </c>
      <c r="G780" s="85" t="s">
        <v>161</v>
      </c>
      <c r="H780" s="85" t="s">
        <v>186</v>
      </c>
      <c r="I780" s="2" t="s">
        <v>607</v>
      </c>
      <c r="J780" s="85" t="s">
        <v>258</v>
      </c>
      <c r="K780" s="85">
        <v>386</v>
      </c>
      <c r="L780" s="59" t="s">
        <v>270</v>
      </c>
      <c r="M780" s="59"/>
    </row>
    <row r="781" spans="6:13" hidden="1" x14ac:dyDescent="0.4">
      <c r="F781" s="218">
        <v>780</v>
      </c>
      <c r="G781" s="85" t="s">
        <v>254</v>
      </c>
      <c r="H781" s="85"/>
      <c r="I781" s="2" t="s">
        <v>610</v>
      </c>
      <c r="J781" s="85" t="s">
        <v>258</v>
      </c>
      <c r="K781" s="85">
        <v>324</v>
      </c>
      <c r="L781" s="59" t="s">
        <v>270</v>
      </c>
      <c r="M781" s="59"/>
    </row>
    <row r="782" spans="6:13" hidden="1" x14ac:dyDescent="0.4">
      <c r="F782" s="218">
        <v>781</v>
      </c>
      <c r="G782" s="85" t="s">
        <v>254</v>
      </c>
      <c r="H782" s="85" t="s">
        <v>186</v>
      </c>
      <c r="I782" s="2" t="s">
        <v>607</v>
      </c>
      <c r="J782" s="85" t="s">
        <v>258</v>
      </c>
      <c r="K782" s="85">
        <v>293</v>
      </c>
      <c r="L782" s="59" t="s">
        <v>269</v>
      </c>
      <c r="M782" s="59"/>
    </row>
    <row r="783" spans="6:13" hidden="1" x14ac:dyDescent="0.4">
      <c r="F783" s="218">
        <v>782</v>
      </c>
      <c r="G783" s="85" t="s">
        <v>254</v>
      </c>
      <c r="H783" s="85" t="s">
        <v>188</v>
      </c>
      <c r="I783" s="82" t="s">
        <v>615</v>
      </c>
      <c r="J783" s="85" t="s">
        <v>258</v>
      </c>
      <c r="K783" s="85">
        <v>478</v>
      </c>
      <c r="L783" s="59" t="s">
        <v>265</v>
      </c>
      <c r="M783" s="59"/>
    </row>
    <row r="784" spans="6:13" hidden="1" x14ac:dyDescent="0.4">
      <c r="F784" s="218">
        <v>783</v>
      </c>
      <c r="G784" s="85" t="s">
        <v>254</v>
      </c>
      <c r="H784" s="85"/>
      <c r="I784" s="2" t="s">
        <v>601</v>
      </c>
      <c r="J784" s="85" t="s">
        <v>258</v>
      </c>
      <c r="K784" s="85">
        <v>386</v>
      </c>
      <c r="L784" s="59" t="s">
        <v>270</v>
      </c>
      <c r="M784" s="59"/>
    </row>
    <row r="785" spans="6:13" hidden="1" x14ac:dyDescent="0.4">
      <c r="F785" s="218">
        <v>784</v>
      </c>
      <c r="G785" s="85" t="s">
        <v>254</v>
      </c>
      <c r="H785" s="85" t="s">
        <v>189</v>
      </c>
      <c r="I785" s="2" t="s">
        <v>630</v>
      </c>
      <c r="J785" s="85" t="s">
        <v>258</v>
      </c>
      <c r="K785" s="85">
        <v>447</v>
      </c>
      <c r="L785" s="59" t="s">
        <v>270</v>
      </c>
      <c r="M785" s="59"/>
    </row>
    <row r="786" spans="6:13" hidden="1" x14ac:dyDescent="0.4">
      <c r="F786" s="218">
        <v>785</v>
      </c>
      <c r="G786" s="85" t="s">
        <v>161</v>
      </c>
      <c r="H786" s="85" t="s">
        <v>185</v>
      </c>
      <c r="I786" s="2" t="s">
        <v>646</v>
      </c>
      <c r="J786" s="85" t="s">
        <v>257</v>
      </c>
      <c r="K786" s="85">
        <v>1094</v>
      </c>
      <c r="L786" s="59" t="s">
        <v>262</v>
      </c>
      <c r="M786" s="59"/>
    </row>
    <row r="787" spans="6:13" hidden="1" x14ac:dyDescent="0.4">
      <c r="F787" s="218">
        <v>786</v>
      </c>
      <c r="G787" s="85" t="s">
        <v>254</v>
      </c>
      <c r="H787" s="85"/>
      <c r="I787" s="82" t="s">
        <v>625</v>
      </c>
      <c r="J787" s="85" t="s">
        <v>258</v>
      </c>
      <c r="K787" s="85">
        <v>266</v>
      </c>
      <c r="L787" s="59" t="s">
        <v>270</v>
      </c>
      <c r="M787" s="59"/>
    </row>
    <row r="788" spans="6:13" hidden="1" x14ac:dyDescent="0.4">
      <c r="F788" s="218">
        <v>787</v>
      </c>
      <c r="G788" s="85" t="s">
        <v>253</v>
      </c>
      <c r="H788" s="85"/>
      <c r="I788" s="2"/>
      <c r="J788" s="85" t="s">
        <v>258</v>
      </c>
      <c r="K788" s="85">
        <v>296</v>
      </c>
      <c r="L788" s="59" t="s">
        <v>270</v>
      </c>
      <c r="M788" s="59"/>
    </row>
    <row r="789" spans="6:13" hidden="1" x14ac:dyDescent="0.4">
      <c r="F789" s="218">
        <v>788</v>
      </c>
      <c r="G789" s="85" t="s">
        <v>161</v>
      </c>
      <c r="H789" s="85" t="s">
        <v>185</v>
      </c>
      <c r="I789" s="2" t="s">
        <v>611</v>
      </c>
      <c r="J789" s="85" t="s">
        <v>258</v>
      </c>
      <c r="K789" s="85">
        <v>480</v>
      </c>
      <c r="L789" s="59" t="s">
        <v>265</v>
      </c>
      <c r="M789" s="59"/>
    </row>
    <row r="790" spans="6:13" hidden="1" x14ac:dyDescent="0.4">
      <c r="F790" s="218">
        <v>789</v>
      </c>
      <c r="G790" s="85" t="s">
        <v>254</v>
      </c>
      <c r="H790" s="85" t="s">
        <v>185</v>
      </c>
      <c r="I790" s="2" t="s">
        <v>615</v>
      </c>
      <c r="J790" s="85" t="s">
        <v>258</v>
      </c>
      <c r="K790" s="85">
        <v>389</v>
      </c>
      <c r="L790" s="59" t="s">
        <v>270</v>
      </c>
      <c r="M790" s="59"/>
    </row>
    <row r="791" spans="6:13" hidden="1" x14ac:dyDescent="0.4">
      <c r="F791" s="218">
        <v>790</v>
      </c>
      <c r="G791" s="85" t="s">
        <v>254</v>
      </c>
      <c r="H791" s="85" t="s">
        <v>185</v>
      </c>
      <c r="I791" s="2" t="s">
        <v>647</v>
      </c>
      <c r="J791" s="85" t="s">
        <v>258</v>
      </c>
      <c r="K791" s="85">
        <v>450</v>
      </c>
      <c r="L791" s="59" t="s">
        <v>270</v>
      </c>
      <c r="M791" s="59"/>
    </row>
    <row r="792" spans="6:13" hidden="1" x14ac:dyDescent="0.4">
      <c r="F792" s="218">
        <v>791</v>
      </c>
      <c r="G792" s="85" t="s">
        <v>254</v>
      </c>
      <c r="H792" s="85" t="s">
        <v>186</v>
      </c>
      <c r="I792" s="2" t="s">
        <v>607</v>
      </c>
      <c r="J792" s="85" t="s">
        <v>258</v>
      </c>
      <c r="K792" s="85">
        <v>267</v>
      </c>
      <c r="L792" s="59" t="s">
        <v>269</v>
      </c>
      <c r="M792" s="59"/>
    </row>
    <row r="793" spans="6:13" hidden="1" x14ac:dyDescent="0.4">
      <c r="F793" s="218">
        <v>792</v>
      </c>
      <c r="G793" s="85" t="s">
        <v>161</v>
      </c>
      <c r="H793" s="85" t="s">
        <v>186</v>
      </c>
      <c r="I793" s="2" t="s">
        <v>624</v>
      </c>
      <c r="J793" s="85" t="s">
        <v>258</v>
      </c>
      <c r="K793" s="85">
        <v>237</v>
      </c>
      <c r="L793" s="59" t="s">
        <v>270</v>
      </c>
      <c r="M793" s="59"/>
    </row>
    <row r="794" spans="6:13" hidden="1" x14ac:dyDescent="0.4">
      <c r="F794" s="218">
        <v>793</v>
      </c>
      <c r="G794" s="85" t="s">
        <v>254</v>
      </c>
      <c r="H794" s="85" t="s">
        <v>185</v>
      </c>
      <c r="I794" s="2" t="s">
        <v>607</v>
      </c>
      <c r="J794" s="85" t="s">
        <v>258</v>
      </c>
      <c r="K794" s="85">
        <v>451</v>
      </c>
      <c r="L794" s="59" t="s">
        <v>270</v>
      </c>
      <c r="M794" s="59"/>
    </row>
    <row r="795" spans="6:13" hidden="1" x14ac:dyDescent="0.4">
      <c r="F795" s="218">
        <v>794</v>
      </c>
      <c r="G795" s="85" t="s">
        <v>254</v>
      </c>
      <c r="H795" s="85" t="s">
        <v>185</v>
      </c>
      <c r="I795" s="2" t="s">
        <v>614</v>
      </c>
      <c r="J795" s="85" t="s">
        <v>258</v>
      </c>
      <c r="K795" s="85">
        <v>360</v>
      </c>
      <c r="L795" s="59" t="s">
        <v>270</v>
      </c>
      <c r="M795" s="59"/>
    </row>
    <row r="796" spans="6:13" hidden="1" x14ac:dyDescent="0.4">
      <c r="F796" s="218">
        <v>795</v>
      </c>
      <c r="G796" s="85" t="s">
        <v>253</v>
      </c>
      <c r="H796" s="85" t="s">
        <v>188</v>
      </c>
      <c r="I796" s="2" t="s">
        <v>600</v>
      </c>
      <c r="J796" s="85" t="s">
        <v>258</v>
      </c>
      <c r="K796" s="85">
        <v>388</v>
      </c>
      <c r="L796" s="59" t="s">
        <v>270</v>
      </c>
      <c r="M796" s="59"/>
    </row>
    <row r="797" spans="6:13" hidden="1" x14ac:dyDescent="0.4">
      <c r="F797" s="218">
        <v>796</v>
      </c>
      <c r="G797" s="85" t="s">
        <v>254</v>
      </c>
      <c r="H797" s="85" t="s">
        <v>187</v>
      </c>
      <c r="I797" s="2" t="s">
        <v>610</v>
      </c>
      <c r="J797" s="85" t="s">
        <v>258</v>
      </c>
      <c r="K797" s="85">
        <v>177</v>
      </c>
      <c r="L797" s="59" t="s">
        <v>270</v>
      </c>
      <c r="M797" s="59"/>
    </row>
    <row r="798" spans="6:13" hidden="1" x14ac:dyDescent="0.4">
      <c r="F798" s="218">
        <v>797</v>
      </c>
      <c r="G798" s="85" t="s">
        <v>254</v>
      </c>
      <c r="H798" s="85"/>
      <c r="I798" s="2" t="s">
        <v>621</v>
      </c>
      <c r="J798" s="85" t="s">
        <v>258</v>
      </c>
      <c r="K798" s="85">
        <v>511</v>
      </c>
      <c r="L798" s="59" t="s">
        <v>265</v>
      </c>
      <c r="M798" s="59"/>
    </row>
    <row r="799" spans="6:13" hidden="1" x14ac:dyDescent="0.4">
      <c r="F799" s="218">
        <v>798</v>
      </c>
      <c r="G799" s="85" t="s">
        <v>254</v>
      </c>
      <c r="H799" s="85"/>
      <c r="I799" s="2"/>
      <c r="J799" s="85" t="s">
        <v>258</v>
      </c>
      <c r="K799" s="85">
        <v>511</v>
      </c>
      <c r="L799" s="59" t="s">
        <v>265</v>
      </c>
      <c r="M799" s="59"/>
    </row>
    <row r="800" spans="6:13" hidden="1" x14ac:dyDescent="0.4">
      <c r="F800" s="218">
        <v>799</v>
      </c>
      <c r="G800" s="85" t="s">
        <v>161</v>
      </c>
      <c r="H800" s="85" t="s">
        <v>189</v>
      </c>
      <c r="I800" s="2" t="s">
        <v>648</v>
      </c>
      <c r="J800" s="85" t="s">
        <v>258</v>
      </c>
      <c r="K800" s="85">
        <v>361</v>
      </c>
      <c r="L800" s="59" t="s">
        <v>270</v>
      </c>
      <c r="M800" s="59"/>
    </row>
    <row r="801" spans="6:13" hidden="1" x14ac:dyDescent="0.4">
      <c r="F801" s="218">
        <v>800</v>
      </c>
      <c r="G801" s="85" t="s">
        <v>253</v>
      </c>
      <c r="H801" s="85" t="s">
        <v>188</v>
      </c>
      <c r="I801" s="2" t="s">
        <v>623</v>
      </c>
      <c r="J801" s="85" t="s">
        <v>258</v>
      </c>
      <c r="K801" s="85">
        <v>298</v>
      </c>
      <c r="L801" s="59" t="s">
        <v>270</v>
      </c>
      <c r="M801" s="59"/>
    </row>
    <row r="802" spans="6:13" hidden="1" x14ac:dyDescent="0.4">
      <c r="F802" s="218">
        <v>801</v>
      </c>
      <c r="G802" s="85" t="s">
        <v>161</v>
      </c>
      <c r="H802" s="85" t="s">
        <v>186</v>
      </c>
      <c r="I802" s="2" t="s">
        <v>600</v>
      </c>
      <c r="J802" s="85" t="s">
        <v>258</v>
      </c>
      <c r="K802" s="85">
        <v>269</v>
      </c>
      <c r="L802" s="59" t="s">
        <v>269</v>
      </c>
      <c r="M802" s="59"/>
    </row>
    <row r="803" spans="6:13" hidden="1" x14ac:dyDescent="0.4">
      <c r="F803" s="218">
        <v>802</v>
      </c>
      <c r="G803" s="85" t="s">
        <v>254</v>
      </c>
      <c r="H803" s="85" t="s">
        <v>185</v>
      </c>
      <c r="I803" s="82" t="s">
        <v>614</v>
      </c>
      <c r="J803" s="85" t="s">
        <v>258</v>
      </c>
      <c r="K803" s="85">
        <v>87</v>
      </c>
      <c r="L803" s="59" t="s">
        <v>269</v>
      </c>
      <c r="M803" s="59"/>
    </row>
    <row r="804" spans="6:13" hidden="1" x14ac:dyDescent="0.4">
      <c r="F804" s="218">
        <v>803</v>
      </c>
      <c r="G804" s="85" t="s">
        <v>254</v>
      </c>
      <c r="H804" s="85" t="s">
        <v>188</v>
      </c>
      <c r="I804" s="82" t="s">
        <v>615</v>
      </c>
      <c r="J804" s="85" t="s">
        <v>258</v>
      </c>
      <c r="K804" s="85">
        <v>483</v>
      </c>
      <c r="L804" s="59" t="s">
        <v>265</v>
      </c>
      <c r="M804" s="59"/>
    </row>
    <row r="805" spans="6:13" hidden="1" x14ac:dyDescent="0.4">
      <c r="F805" s="218">
        <v>804</v>
      </c>
      <c r="G805" s="85" t="s">
        <v>161</v>
      </c>
      <c r="H805" s="85" t="s">
        <v>186</v>
      </c>
      <c r="I805" s="82" t="s">
        <v>602</v>
      </c>
      <c r="J805" s="85" t="s">
        <v>258</v>
      </c>
      <c r="K805" s="85">
        <v>270</v>
      </c>
      <c r="L805" s="59" t="s">
        <v>270</v>
      </c>
      <c r="M805" s="59"/>
    </row>
    <row r="806" spans="6:13" hidden="1" x14ac:dyDescent="0.4">
      <c r="F806" s="218">
        <v>805</v>
      </c>
      <c r="G806" s="85" t="s">
        <v>254</v>
      </c>
      <c r="H806" s="85" t="s">
        <v>186</v>
      </c>
      <c r="I806" s="82" t="s">
        <v>607</v>
      </c>
      <c r="J806" s="85" t="s">
        <v>258</v>
      </c>
      <c r="K806" s="85">
        <v>484</v>
      </c>
      <c r="L806" s="59" t="s">
        <v>265</v>
      </c>
      <c r="M806" s="59"/>
    </row>
    <row r="807" spans="6:13" hidden="1" x14ac:dyDescent="0.4">
      <c r="F807" s="218">
        <v>806</v>
      </c>
      <c r="G807" s="85" t="s">
        <v>253</v>
      </c>
      <c r="H807" s="85"/>
      <c r="I807" s="82" t="s">
        <v>632</v>
      </c>
      <c r="J807" s="85" t="s">
        <v>258</v>
      </c>
      <c r="K807" s="85">
        <v>239</v>
      </c>
      <c r="L807" s="59" t="s">
        <v>270</v>
      </c>
      <c r="M807" s="59"/>
    </row>
    <row r="808" spans="6:13" hidden="1" x14ac:dyDescent="0.4">
      <c r="F808" s="219">
        <v>807</v>
      </c>
      <c r="G808" s="85" t="s">
        <v>253</v>
      </c>
      <c r="H808" s="85" t="s">
        <v>248</v>
      </c>
      <c r="I808" s="69" t="s">
        <v>248</v>
      </c>
      <c r="J808" s="85" t="s">
        <v>258</v>
      </c>
      <c r="K808" s="85" t="s">
        <v>253</v>
      </c>
      <c r="L808" s="59" t="s">
        <v>270</v>
      </c>
      <c r="M808" s="59"/>
    </row>
    <row r="809" spans="6:13" hidden="1" x14ac:dyDescent="0.4">
      <c r="F809" s="218">
        <v>808</v>
      </c>
      <c r="G809" s="85" t="s">
        <v>254</v>
      </c>
      <c r="H809" s="85" t="s">
        <v>186</v>
      </c>
      <c r="I809" s="82" t="s">
        <v>607</v>
      </c>
      <c r="J809" s="85" t="s">
        <v>258</v>
      </c>
      <c r="K809" s="85">
        <v>210</v>
      </c>
      <c r="L809" s="59" t="s">
        <v>270</v>
      </c>
      <c r="M809" s="59"/>
    </row>
    <row r="810" spans="6:13" hidden="1" x14ac:dyDescent="0.4">
      <c r="F810" s="218">
        <v>809</v>
      </c>
      <c r="G810" s="85" t="s">
        <v>254</v>
      </c>
      <c r="H810" s="85"/>
      <c r="I810" s="82"/>
      <c r="J810" s="85" t="s">
        <v>258</v>
      </c>
      <c r="K810" s="85">
        <v>179</v>
      </c>
      <c r="L810" s="59" t="s">
        <v>270</v>
      </c>
      <c r="M810" s="59"/>
    </row>
    <row r="811" spans="6:13" hidden="1" x14ac:dyDescent="0.4">
      <c r="F811" s="218">
        <v>810</v>
      </c>
      <c r="G811" s="85" t="s">
        <v>161</v>
      </c>
      <c r="H811" s="85" t="s">
        <v>185</v>
      </c>
      <c r="I811" s="82" t="s">
        <v>624</v>
      </c>
      <c r="J811" s="85" t="s">
        <v>258</v>
      </c>
      <c r="K811" s="85">
        <v>393</v>
      </c>
      <c r="L811" s="59" t="s">
        <v>269</v>
      </c>
      <c r="M811" s="59"/>
    </row>
    <row r="812" spans="6:13" hidden="1" x14ac:dyDescent="0.4">
      <c r="F812" s="218">
        <v>811</v>
      </c>
      <c r="G812" s="85" t="s">
        <v>253</v>
      </c>
      <c r="H812" s="85" t="s">
        <v>188</v>
      </c>
      <c r="I812" s="82" t="s">
        <v>607</v>
      </c>
      <c r="J812" s="85" t="s">
        <v>258</v>
      </c>
      <c r="K812" s="85">
        <v>271</v>
      </c>
      <c r="L812" s="59" t="s">
        <v>269</v>
      </c>
      <c r="M812" s="59"/>
    </row>
    <row r="813" spans="6:13" hidden="1" x14ac:dyDescent="0.4">
      <c r="F813" s="219">
        <v>812</v>
      </c>
      <c r="G813" s="85" t="s">
        <v>253</v>
      </c>
      <c r="H813" s="85" t="s">
        <v>248</v>
      </c>
      <c r="I813" s="69" t="s">
        <v>248</v>
      </c>
      <c r="J813" s="85" t="s">
        <v>258</v>
      </c>
      <c r="K813" s="85" t="s">
        <v>253</v>
      </c>
      <c r="L813" s="59" t="s">
        <v>265</v>
      </c>
      <c r="M813" s="59"/>
    </row>
    <row r="814" spans="6:13" hidden="1" x14ac:dyDescent="0.4">
      <c r="F814" s="218">
        <v>813</v>
      </c>
      <c r="G814" s="85" t="s">
        <v>161</v>
      </c>
      <c r="H814" s="85" t="s">
        <v>189</v>
      </c>
      <c r="I814" s="3" t="s">
        <v>609</v>
      </c>
      <c r="J814" s="85" t="s">
        <v>257</v>
      </c>
      <c r="K814" s="85">
        <v>1158</v>
      </c>
      <c r="L814" s="59" t="s">
        <v>262</v>
      </c>
      <c r="M814" s="59"/>
    </row>
    <row r="815" spans="6:13" hidden="1" x14ac:dyDescent="0.4">
      <c r="F815" s="218">
        <v>814</v>
      </c>
      <c r="G815" s="85" t="s">
        <v>253</v>
      </c>
      <c r="H815" s="85" t="s">
        <v>188</v>
      </c>
      <c r="I815" s="82" t="s">
        <v>623</v>
      </c>
      <c r="J815" s="85" t="s">
        <v>258</v>
      </c>
      <c r="K815" s="85">
        <v>302</v>
      </c>
      <c r="L815" s="59" t="s">
        <v>270</v>
      </c>
      <c r="M815" s="59"/>
    </row>
    <row r="816" spans="6:13" hidden="1" x14ac:dyDescent="0.4">
      <c r="F816" s="218">
        <v>815</v>
      </c>
      <c r="G816" s="85" t="s">
        <v>253</v>
      </c>
      <c r="H816" s="85"/>
      <c r="I816" s="2" t="s">
        <v>682</v>
      </c>
      <c r="J816" s="85" t="s">
        <v>258</v>
      </c>
      <c r="K816" s="85">
        <v>517</v>
      </c>
      <c r="L816" s="59" t="s">
        <v>265</v>
      </c>
      <c r="M816" s="59"/>
    </row>
    <row r="817" spans="6:13" hidden="1" x14ac:dyDescent="0.4">
      <c r="F817" s="218">
        <v>816</v>
      </c>
      <c r="G817" s="85" t="s">
        <v>254</v>
      </c>
      <c r="H817" s="85"/>
      <c r="I817" s="3" t="s">
        <v>609</v>
      </c>
      <c r="J817" s="85" t="s">
        <v>257</v>
      </c>
      <c r="K817" s="85">
        <v>1183</v>
      </c>
      <c r="L817" s="59" t="s">
        <v>262</v>
      </c>
      <c r="M817" s="59"/>
    </row>
    <row r="818" spans="6:13" hidden="1" x14ac:dyDescent="0.4">
      <c r="F818" s="218">
        <v>817</v>
      </c>
      <c r="G818" s="85" t="s">
        <v>254</v>
      </c>
      <c r="H818" s="85"/>
      <c r="I818" s="2"/>
      <c r="J818" s="85" t="s">
        <v>257</v>
      </c>
      <c r="K818" s="85">
        <v>1184</v>
      </c>
      <c r="L818" s="59" t="s">
        <v>262</v>
      </c>
      <c r="M818" s="59"/>
    </row>
    <row r="819" spans="6:13" hidden="1" x14ac:dyDescent="0.4">
      <c r="F819" s="218">
        <v>818</v>
      </c>
      <c r="G819" s="85" t="s">
        <v>253</v>
      </c>
      <c r="H819" s="85" t="s">
        <v>187</v>
      </c>
      <c r="I819" s="1" t="s">
        <v>614</v>
      </c>
      <c r="J819" s="85" t="s">
        <v>258</v>
      </c>
      <c r="K819" s="85">
        <v>517</v>
      </c>
      <c r="L819" s="59" t="s">
        <v>265</v>
      </c>
      <c r="M819" s="59"/>
    </row>
    <row r="820" spans="6:13" hidden="1" x14ac:dyDescent="0.4">
      <c r="F820" s="218">
        <v>819</v>
      </c>
      <c r="G820" s="85" t="s">
        <v>253</v>
      </c>
      <c r="H820" s="85" t="s">
        <v>248</v>
      </c>
      <c r="I820" s="1" t="s">
        <v>248</v>
      </c>
      <c r="J820" s="85" t="s">
        <v>258</v>
      </c>
      <c r="K820" s="85" t="s">
        <v>253</v>
      </c>
      <c r="L820" s="59" t="s">
        <v>265</v>
      </c>
      <c r="M820" s="59"/>
    </row>
    <row r="821" spans="6:13" hidden="1" x14ac:dyDescent="0.4">
      <c r="F821" s="218">
        <v>820</v>
      </c>
      <c r="G821" s="85" t="s">
        <v>253</v>
      </c>
      <c r="H821" s="85" t="s">
        <v>187</v>
      </c>
      <c r="I821" s="1" t="s">
        <v>614</v>
      </c>
      <c r="J821" s="85" t="s">
        <v>258</v>
      </c>
      <c r="K821" s="85">
        <v>518</v>
      </c>
      <c r="L821" s="59" t="s">
        <v>265</v>
      </c>
      <c r="M821" s="59"/>
    </row>
    <row r="822" spans="6:13" hidden="1" x14ac:dyDescent="0.4">
      <c r="F822" s="218">
        <v>821</v>
      </c>
      <c r="G822" s="85" t="s">
        <v>253</v>
      </c>
      <c r="H822" s="85" t="s">
        <v>248</v>
      </c>
      <c r="I822" s="1" t="s">
        <v>248</v>
      </c>
      <c r="J822" s="85" t="s">
        <v>258</v>
      </c>
      <c r="K822" s="85" t="s">
        <v>253</v>
      </c>
      <c r="L822" s="59" t="s">
        <v>265</v>
      </c>
      <c r="M822" s="59"/>
    </row>
    <row r="823" spans="6:13" hidden="1" x14ac:dyDescent="0.4">
      <c r="F823" s="218">
        <v>822</v>
      </c>
      <c r="G823" s="85" t="s">
        <v>253</v>
      </c>
      <c r="H823" s="85"/>
      <c r="I823" s="56" t="s">
        <v>682</v>
      </c>
      <c r="J823" s="85" t="s">
        <v>258</v>
      </c>
      <c r="K823" s="85">
        <v>519</v>
      </c>
      <c r="L823" s="59" t="s">
        <v>265</v>
      </c>
      <c r="M823" s="59"/>
    </row>
    <row r="824" spans="6:13" hidden="1" x14ac:dyDescent="0.4">
      <c r="F824" s="218">
        <v>823</v>
      </c>
      <c r="G824" s="85" t="s">
        <v>254</v>
      </c>
      <c r="H824" s="85"/>
      <c r="I824" s="56"/>
      <c r="J824" s="85" t="s">
        <v>258</v>
      </c>
      <c r="K824" s="85">
        <v>338</v>
      </c>
      <c r="L824" s="59" t="s">
        <v>270</v>
      </c>
      <c r="M824" s="59"/>
    </row>
    <row r="825" spans="6:13" hidden="1" x14ac:dyDescent="0.4">
      <c r="F825" s="218">
        <v>824</v>
      </c>
      <c r="G825" s="85" t="s">
        <v>161</v>
      </c>
      <c r="H825" s="85" t="s">
        <v>185</v>
      </c>
      <c r="I825" s="56" t="s">
        <v>610</v>
      </c>
      <c r="J825" s="85" t="s">
        <v>258</v>
      </c>
      <c r="K825" s="85">
        <v>246</v>
      </c>
      <c r="L825" s="59" t="s">
        <v>270</v>
      </c>
      <c r="M825" s="59"/>
    </row>
    <row r="826" spans="6:13" hidden="1" x14ac:dyDescent="0.4">
      <c r="F826" s="218">
        <v>825</v>
      </c>
      <c r="G826" s="85" t="s">
        <v>254</v>
      </c>
      <c r="H826" s="85" t="s">
        <v>185</v>
      </c>
      <c r="I826" s="56" t="s">
        <v>614</v>
      </c>
      <c r="J826" s="85" t="s">
        <v>258</v>
      </c>
      <c r="K826" s="85">
        <v>519</v>
      </c>
      <c r="L826" s="59" t="s">
        <v>265</v>
      </c>
      <c r="M826" s="59"/>
    </row>
    <row r="827" spans="6:13" hidden="1" x14ac:dyDescent="0.4">
      <c r="F827" s="218">
        <v>826</v>
      </c>
      <c r="G827" s="85" t="s">
        <v>161</v>
      </c>
      <c r="H827" s="82" t="s">
        <v>188</v>
      </c>
      <c r="I827" s="56" t="s">
        <v>607</v>
      </c>
      <c r="J827" s="85" t="s">
        <v>258</v>
      </c>
      <c r="K827" s="85">
        <v>551</v>
      </c>
      <c r="L827" s="59" t="s">
        <v>265</v>
      </c>
      <c r="M827" s="59"/>
    </row>
    <row r="828" spans="6:13" hidden="1" x14ac:dyDescent="0.4">
      <c r="F828" s="219">
        <v>827</v>
      </c>
      <c r="G828" s="85" t="s">
        <v>253</v>
      </c>
      <c r="H828" s="85" t="s">
        <v>248</v>
      </c>
      <c r="I828" s="85" t="s">
        <v>248</v>
      </c>
      <c r="J828" s="85" t="s">
        <v>258</v>
      </c>
      <c r="K828" s="85" t="s">
        <v>253</v>
      </c>
      <c r="L828" s="59" t="s">
        <v>270</v>
      </c>
      <c r="M828" s="59"/>
    </row>
    <row r="829" spans="6:13" hidden="1" x14ac:dyDescent="0.4">
      <c r="F829" s="218">
        <v>828</v>
      </c>
      <c r="G829" s="85" t="s">
        <v>253</v>
      </c>
      <c r="H829" s="85"/>
      <c r="I829" s="85"/>
      <c r="J829" s="85" t="s">
        <v>258</v>
      </c>
      <c r="K829" s="85">
        <v>492</v>
      </c>
      <c r="L829" s="59" t="s">
        <v>265</v>
      </c>
      <c r="M829" s="59"/>
    </row>
    <row r="830" spans="6:13" hidden="1" x14ac:dyDescent="0.4">
      <c r="F830" s="218">
        <v>829</v>
      </c>
      <c r="G830" s="85" t="s">
        <v>254</v>
      </c>
      <c r="H830" s="85" t="s">
        <v>185</v>
      </c>
      <c r="I830" s="85" t="s">
        <v>600</v>
      </c>
      <c r="J830" s="85" t="s">
        <v>258</v>
      </c>
      <c r="K830" s="85">
        <v>128</v>
      </c>
      <c r="L830" s="59" t="s">
        <v>270</v>
      </c>
      <c r="M830" s="59"/>
    </row>
    <row r="831" spans="6:13" hidden="1" x14ac:dyDescent="0.4">
      <c r="F831" s="218">
        <v>830</v>
      </c>
      <c r="G831" s="85" t="s">
        <v>254</v>
      </c>
      <c r="H831" s="85"/>
      <c r="I831" s="85" t="s">
        <v>682</v>
      </c>
      <c r="J831" s="85" t="s">
        <v>258</v>
      </c>
      <c r="K831" s="85">
        <v>128</v>
      </c>
      <c r="L831" s="59" t="s">
        <v>270</v>
      </c>
      <c r="M831" s="59"/>
    </row>
    <row r="832" spans="6:13" hidden="1" x14ac:dyDescent="0.4">
      <c r="F832" s="218">
        <v>831</v>
      </c>
      <c r="G832" s="85" t="s">
        <v>254</v>
      </c>
      <c r="H832" s="85"/>
      <c r="I832" s="85"/>
      <c r="J832" s="85" t="s">
        <v>257</v>
      </c>
      <c r="K832" s="85">
        <v>1176</v>
      </c>
      <c r="L832" s="59" t="s">
        <v>262</v>
      </c>
      <c r="M832" s="59"/>
    </row>
    <row r="833" spans="6:13" hidden="1" x14ac:dyDescent="0.4">
      <c r="F833" s="218">
        <v>832</v>
      </c>
      <c r="G833" s="85" t="s">
        <v>254</v>
      </c>
      <c r="H833" s="85" t="s">
        <v>185</v>
      </c>
      <c r="I833" s="85" t="s">
        <v>634</v>
      </c>
      <c r="J833" s="85" t="s">
        <v>258</v>
      </c>
      <c r="K833" s="85">
        <v>521</v>
      </c>
      <c r="L833" s="59" t="s">
        <v>265</v>
      </c>
      <c r="M833" s="59"/>
    </row>
    <row r="834" spans="6:13" hidden="1" x14ac:dyDescent="0.4">
      <c r="F834" s="218">
        <v>833</v>
      </c>
      <c r="G834" s="85" t="s">
        <v>254</v>
      </c>
      <c r="H834" s="85" t="s">
        <v>185</v>
      </c>
      <c r="I834" s="85" t="s">
        <v>683</v>
      </c>
      <c r="J834" s="85" t="s">
        <v>257</v>
      </c>
      <c r="K834" s="85">
        <v>1165</v>
      </c>
      <c r="L834" s="59" t="s">
        <v>262</v>
      </c>
      <c r="M834" s="59"/>
    </row>
    <row r="835" spans="6:13" hidden="1" x14ac:dyDescent="0.4">
      <c r="F835" s="218">
        <v>834</v>
      </c>
      <c r="G835" s="85" t="s">
        <v>253</v>
      </c>
      <c r="H835" s="85"/>
      <c r="I835" s="85" t="s">
        <v>682</v>
      </c>
      <c r="J835" s="85" t="s">
        <v>257</v>
      </c>
      <c r="K835" s="85">
        <v>1165</v>
      </c>
      <c r="L835" s="59" t="s">
        <v>262</v>
      </c>
      <c r="M835" s="59"/>
    </row>
    <row r="836" spans="6:13" hidden="1" x14ac:dyDescent="0.4">
      <c r="F836" s="218">
        <v>835</v>
      </c>
      <c r="G836" s="85" t="s">
        <v>161</v>
      </c>
      <c r="H836" s="85" t="s">
        <v>188</v>
      </c>
      <c r="I836" s="85" t="s">
        <v>603</v>
      </c>
      <c r="J836" s="85" t="s">
        <v>258</v>
      </c>
      <c r="K836" s="85">
        <v>552</v>
      </c>
      <c r="L836" s="59" t="s">
        <v>265</v>
      </c>
      <c r="M836" s="59"/>
    </row>
    <row r="837" spans="6:13" hidden="1" x14ac:dyDescent="0.4">
      <c r="F837" s="218">
        <v>836</v>
      </c>
      <c r="G837" s="85" t="s">
        <v>254</v>
      </c>
      <c r="H837" s="85" t="s">
        <v>188</v>
      </c>
      <c r="I837" s="85" t="s">
        <v>602</v>
      </c>
      <c r="J837" s="85" t="s">
        <v>258</v>
      </c>
      <c r="K837" s="85">
        <v>372</v>
      </c>
      <c r="L837" s="59" t="s">
        <v>269</v>
      </c>
      <c r="M837" s="59"/>
    </row>
    <row r="838" spans="6:13" hidden="1" x14ac:dyDescent="0.4">
      <c r="F838" s="218">
        <v>837</v>
      </c>
      <c r="G838" s="85" t="s">
        <v>253</v>
      </c>
      <c r="H838" s="85"/>
      <c r="I838" s="85"/>
      <c r="J838" s="85" t="s">
        <v>188</v>
      </c>
      <c r="K838" s="85" t="s">
        <v>253</v>
      </c>
      <c r="L838" s="59" t="s">
        <v>263</v>
      </c>
      <c r="M838" s="59"/>
    </row>
    <row r="839" spans="6:13" hidden="1" x14ac:dyDescent="0.4">
      <c r="F839" s="218">
        <v>838</v>
      </c>
      <c r="G839" s="85" t="s">
        <v>254</v>
      </c>
      <c r="H839" s="85" t="s">
        <v>185</v>
      </c>
      <c r="I839" s="85" t="s">
        <v>600</v>
      </c>
      <c r="J839" s="85" t="s">
        <v>258</v>
      </c>
      <c r="K839" s="85">
        <v>433</v>
      </c>
      <c r="L839" s="59" t="s">
        <v>269</v>
      </c>
      <c r="M839" s="59"/>
    </row>
    <row r="840" spans="6:13" hidden="1" x14ac:dyDescent="0.4">
      <c r="F840" s="218">
        <v>839</v>
      </c>
      <c r="G840" s="85" t="s">
        <v>161</v>
      </c>
      <c r="H840" s="85" t="s">
        <v>189</v>
      </c>
      <c r="I840" s="85" t="s">
        <v>609</v>
      </c>
      <c r="J840" s="85" t="s">
        <v>257</v>
      </c>
      <c r="K840" s="85">
        <v>1190</v>
      </c>
      <c r="L840" s="59" t="s">
        <v>262</v>
      </c>
      <c r="M840" s="59"/>
    </row>
    <row r="841" spans="6:13" hidden="1" x14ac:dyDescent="0.4">
      <c r="F841" s="218">
        <v>840</v>
      </c>
      <c r="G841" s="85" t="s">
        <v>254</v>
      </c>
      <c r="H841" s="85"/>
      <c r="I841" s="85"/>
      <c r="J841" s="85" t="s">
        <v>257</v>
      </c>
      <c r="K841" s="85">
        <v>1178</v>
      </c>
      <c r="L841" s="59" t="s">
        <v>262</v>
      </c>
      <c r="M841" s="59"/>
    </row>
    <row r="842" spans="6:13" x14ac:dyDescent="0.4">
      <c r="F842" s="218">
        <v>841</v>
      </c>
      <c r="G842" s="85" t="s">
        <v>161</v>
      </c>
      <c r="H842" s="85" t="s">
        <v>186</v>
      </c>
      <c r="I842" s="85" t="s">
        <v>607</v>
      </c>
      <c r="J842" s="85" t="s">
        <v>258</v>
      </c>
      <c r="K842" s="85">
        <v>496</v>
      </c>
      <c r="L842" s="59" t="s">
        <v>265</v>
      </c>
      <c r="M842" s="59"/>
    </row>
    <row r="843" spans="6:13" x14ac:dyDescent="0.4">
      <c r="F843" s="218">
        <v>842</v>
      </c>
      <c r="G843" s="85" t="s">
        <v>161</v>
      </c>
      <c r="H843" s="85" t="s">
        <v>186</v>
      </c>
      <c r="I843" s="85" t="s">
        <v>607</v>
      </c>
      <c r="J843" s="85" t="s">
        <v>258</v>
      </c>
      <c r="K843" s="85">
        <v>220</v>
      </c>
      <c r="L843" s="59" t="s">
        <v>270</v>
      </c>
      <c r="M843" s="59"/>
    </row>
    <row r="844" spans="6:13" hidden="1" x14ac:dyDescent="0.4">
      <c r="F844" s="218">
        <v>843</v>
      </c>
      <c r="G844" s="85" t="s">
        <v>161</v>
      </c>
      <c r="H844" s="85" t="s">
        <v>186</v>
      </c>
      <c r="I844" s="85" t="s">
        <v>623</v>
      </c>
      <c r="J844" s="85" t="s">
        <v>258</v>
      </c>
      <c r="K844" s="85">
        <v>281</v>
      </c>
      <c r="L844" s="59" t="s">
        <v>270</v>
      </c>
      <c r="M844" s="59"/>
    </row>
    <row r="845" spans="6:13" hidden="1" x14ac:dyDescent="0.4">
      <c r="F845" s="218">
        <v>844</v>
      </c>
      <c r="G845" s="85" t="s">
        <v>254</v>
      </c>
      <c r="H845" s="85"/>
      <c r="I845" s="85"/>
      <c r="J845" s="85" t="s">
        <v>258</v>
      </c>
      <c r="K845" s="85">
        <v>496</v>
      </c>
      <c r="L845" s="59" t="s">
        <v>265</v>
      </c>
      <c r="M845" s="59"/>
    </row>
    <row r="846" spans="6:13" hidden="1" x14ac:dyDescent="0.4">
      <c r="F846" s="218">
        <v>845</v>
      </c>
      <c r="G846" s="85" t="s">
        <v>254</v>
      </c>
      <c r="H846" s="85"/>
      <c r="I846" s="85"/>
      <c r="J846" s="85" t="s">
        <v>258</v>
      </c>
      <c r="K846" s="85">
        <v>498</v>
      </c>
      <c r="L846" s="59" t="s">
        <v>265</v>
      </c>
      <c r="M846" s="59"/>
    </row>
    <row r="847" spans="6:13" hidden="1" x14ac:dyDescent="0.4">
      <c r="F847" s="218">
        <v>846</v>
      </c>
      <c r="G847" s="85" t="s">
        <v>254</v>
      </c>
      <c r="H847" s="85"/>
      <c r="I847" s="85"/>
      <c r="J847" s="85" t="s">
        <v>258</v>
      </c>
      <c r="K847" s="85">
        <v>498</v>
      </c>
      <c r="L847" s="59" t="s">
        <v>265</v>
      </c>
      <c r="M847" s="59"/>
    </row>
    <row r="848" spans="6:13" hidden="1" x14ac:dyDescent="0.4">
      <c r="F848" s="218">
        <v>847</v>
      </c>
      <c r="G848" s="85" t="s">
        <v>253</v>
      </c>
      <c r="H848" s="85"/>
      <c r="I848" s="85"/>
      <c r="J848" s="85" t="s">
        <v>258</v>
      </c>
      <c r="K848" s="85">
        <v>285</v>
      </c>
      <c r="L848" s="59" t="s">
        <v>270</v>
      </c>
      <c r="M848" s="59"/>
    </row>
    <row r="849" spans="6:13" hidden="1" x14ac:dyDescent="0.4">
      <c r="F849" s="218">
        <v>848</v>
      </c>
      <c r="G849" s="85" t="s">
        <v>254</v>
      </c>
      <c r="H849" s="85"/>
      <c r="I849" s="85"/>
      <c r="J849" s="85" t="s">
        <v>258</v>
      </c>
      <c r="K849" s="85">
        <v>285</v>
      </c>
      <c r="L849" s="59" t="s">
        <v>270</v>
      </c>
      <c r="M849" s="59"/>
    </row>
    <row r="850" spans="6:13" hidden="1" x14ac:dyDescent="0.4">
      <c r="F850" s="218">
        <v>849</v>
      </c>
      <c r="G850" s="85" t="s">
        <v>253</v>
      </c>
      <c r="H850" s="85"/>
      <c r="I850" s="85"/>
      <c r="J850" s="85" t="s">
        <v>258</v>
      </c>
      <c r="K850" s="85">
        <v>285</v>
      </c>
      <c r="L850" s="59" t="s">
        <v>270</v>
      </c>
      <c r="M850" s="59"/>
    </row>
    <row r="851" spans="6:13" hidden="1" x14ac:dyDescent="0.4">
      <c r="F851" s="218">
        <v>850</v>
      </c>
      <c r="G851" s="85" t="s">
        <v>254</v>
      </c>
      <c r="H851" s="85" t="s">
        <v>188</v>
      </c>
      <c r="I851" s="85" t="s">
        <v>615</v>
      </c>
      <c r="J851" s="85" t="s">
        <v>258</v>
      </c>
      <c r="K851" s="85">
        <v>527</v>
      </c>
      <c r="L851" s="59" t="s">
        <v>265</v>
      </c>
      <c r="M851" s="59"/>
    </row>
    <row r="852" spans="6:13" hidden="1" x14ac:dyDescent="0.4">
      <c r="F852" s="218">
        <v>851</v>
      </c>
      <c r="G852" s="85" t="s">
        <v>253</v>
      </c>
      <c r="H852" s="85" t="s">
        <v>248</v>
      </c>
      <c r="I852" s="85" t="s">
        <v>248</v>
      </c>
      <c r="J852" s="85" t="s">
        <v>258</v>
      </c>
      <c r="K852" s="85" t="s">
        <v>253</v>
      </c>
      <c r="L852" s="59" t="s">
        <v>265</v>
      </c>
      <c r="M852" s="59"/>
    </row>
    <row r="853" spans="6:13" hidden="1" x14ac:dyDescent="0.4">
      <c r="F853" s="218">
        <v>852</v>
      </c>
      <c r="G853" s="85" t="s">
        <v>254</v>
      </c>
      <c r="H853" s="85"/>
      <c r="I853" s="85"/>
      <c r="J853" s="85" t="s">
        <v>258</v>
      </c>
      <c r="K853" s="85">
        <v>162</v>
      </c>
      <c r="L853" s="59" t="s">
        <v>270</v>
      </c>
      <c r="M853" s="59"/>
    </row>
    <row r="854" spans="6:13" hidden="1" x14ac:dyDescent="0.4">
      <c r="F854" s="218">
        <v>853</v>
      </c>
      <c r="G854" s="85" t="s">
        <v>161</v>
      </c>
      <c r="H854" s="85" t="s">
        <v>185</v>
      </c>
      <c r="I854" s="85" t="s">
        <v>610</v>
      </c>
      <c r="J854" s="85" t="s">
        <v>258</v>
      </c>
      <c r="K854" s="85">
        <v>255</v>
      </c>
      <c r="L854" s="59" t="s">
        <v>270</v>
      </c>
      <c r="M854" s="59"/>
    </row>
    <row r="855" spans="6:13" hidden="1" x14ac:dyDescent="0.4">
      <c r="F855" s="213">
        <v>854</v>
      </c>
      <c r="G855" s="85" t="s">
        <v>161</v>
      </c>
      <c r="H855" s="85" t="s">
        <v>185</v>
      </c>
      <c r="I855" s="85" t="s">
        <v>602</v>
      </c>
      <c r="J855" s="85" t="s">
        <v>257</v>
      </c>
      <c r="K855" s="85">
        <v>1160</v>
      </c>
      <c r="L855" s="59" t="s">
        <v>262</v>
      </c>
      <c r="M855" s="59"/>
    </row>
    <row r="856" spans="6:13" hidden="1" x14ac:dyDescent="0.4">
      <c r="F856" s="213">
        <v>855</v>
      </c>
      <c r="G856" s="85" t="s">
        <v>253</v>
      </c>
      <c r="H856" s="85"/>
      <c r="I856" s="85"/>
      <c r="J856" s="85" t="s">
        <v>257</v>
      </c>
      <c r="K856" s="85">
        <v>1186</v>
      </c>
      <c r="L856" s="59" t="s">
        <v>262</v>
      </c>
      <c r="M856" s="59"/>
    </row>
    <row r="857" spans="6:13" hidden="1" x14ac:dyDescent="0.4">
      <c r="F857" s="213">
        <v>856</v>
      </c>
      <c r="G857" s="85" t="s">
        <v>254</v>
      </c>
      <c r="H857" s="85"/>
      <c r="I857" s="85" t="s">
        <v>602</v>
      </c>
      <c r="J857" s="85" t="s">
        <v>258</v>
      </c>
      <c r="K857" s="85">
        <v>381</v>
      </c>
      <c r="L857" s="59" t="s">
        <v>270</v>
      </c>
      <c r="M857" s="59"/>
    </row>
    <row r="858" spans="6:13" hidden="1" x14ac:dyDescent="0.4">
      <c r="F858" s="213">
        <v>857</v>
      </c>
      <c r="G858" s="85" t="s">
        <v>253</v>
      </c>
      <c r="H858" s="85"/>
      <c r="I858" s="85"/>
      <c r="J858" s="85" t="s">
        <v>258</v>
      </c>
      <c r="K858" s="85">
        <v>378</v>
      </c>
      <c r="L858" s="59" t="s">
        <v>270</v>
      </c>
      <c r="M858" s="59"/>
    </row>
    <row r="859" spans="6:13" x14ac:dyDescent="0.4">
      <c r="F859" s="213">
        <v>858</v>
      </c>
      <c r="G859" s="85" t="s">
        <v>161</v>
      </c>
      <c r="H859" s="85" t="s">
        <v>186</v>
      </c>
      <c r="I859" s="85" t="s">
        <v>607</v>
      </c>
      <c r="J859" s="85" t="s">
        <v>258</v>
      </c>
      <c r="K859" s="85">
        <v>501</v>
      </c>
      <c r="L859" s="59" t="s">
        <v>265</v>
      </c>
      <c r="M859" s="59"/>
    </row>
    <row r="860" spans="6:13" hidden="1" x14ac:dyDescent="0.4">
      <c r="F860" s="213">
        <v>859</v>
      </c>
      <c r="G860" s="85" t="s">
        <v>254</v>
      </c>
      <c r="H860" s="85" t="s">
        <v>185</v>
      </c>
      <c r="I860" s="85" t="s">
        <v>600</v>
      </c>
      <c r="J860" s="85" t="s">
        <v>258</v>
      </c>
      <c r="K860" s="85">
        <v>379</v>
      </c>
      <c r="L860" s="59" t="s">
        <v>269</v>
      </c>
      <c r="M860" s="59"/>
    </row>
    <row r="861" spans="6:13" hidden="1" x14ac:dyDescent="0.4">
      <c r="F861" s="213">
        <v>860</v>
      </c>
      <c r="G861" s="85" t="s">
        <v>253</v>
      </c>
      <c r="H861" s="85" t="s">
        <v>248</v>
      </c>
      <c r="I861" s="85" t="s">
        <v>248</v>
      </c>
      <c r="J861" s="85" t="s">
        <v>257</v>
      </c>
      <c r="K861" s="85" t="s">
        <v>253</v>
      </c>
      <c r="L861" s="59" t="s">
        <v>262</v>
      </c>
      <c r="M861" s="59"/>
    </row>
    <row r="862" spans="6:13" hidden="1" x14ac:dyDescent="0.4">
      <c r="F862" s="213">
        <v>861</v>
      </c>
      <c r="G862" s="85" t="s">
        <v>254</v>
      </c>
      <c r="H862" s="85"/>
      <c r="I862" s="85"/>
      <c r="J862" s="85" t="s">
        <v>258</v>
      </c>
      <c r="K862" s="85">
        <v>257</v>
      </c>
      <c r="L862" s="59" t="s">
        <v>270</v>
      </c>
      <c r="M862" s="59"/>
    </row>
    <row r="863" spans="6:13" hidden="1" x14ac:dyDescent="0.4">
      <c r="F863" s="213">
        <v>862</v>
      </c>
      <c r="G863" s="85" t="s">
        <v>254</v>
      </c>
      <c r="H863" s="85"/>
      <c r="I863" s="85"/>
      <c r="J863" s="85" t="s">
        <v>258</v>
      </c>
      <c r="K863" s="85">
        <v>501</v>
      </c>
      <c r="L863" s="59" t="s">
        <v>265</v>
      </c>
      <c r="M863" s="59"/>
    </row>
    <row r="864" spans="6:13" hidden="1" x14ac:dyDescent="0.4">
      <c r="F864" s="213">
        <v>863</v>
      </c>
      <c r="G864" s="85" t="s">
        <v>253</v>
      </c>
      <c r="H864" s="85"/>
      <c r="I864" s="85"/>
      <c r="J864" s="85" t="s">
        <v>258</v>
      </c>
      <c r="K864" s="85">
        <v>501</v>
      </c>
      <c r="L864" s="59" t="s">
        <v>265</v>
      </c>
      <c r="M864" s="59"/>
    </row>
    <row r="865" spans="6:13" hidden="1" x14ac:dyDescent="0.4">
      <c r="F865" s="213">
        <v>864</v>
      </c>
      <c r="G865" s="85" t="s">
        <v>254</v>
      </c>
      <c r="H865" s="85" t="s">
        <v>188</v>
      </c>
      <c r="I865" s="85" t="s">
        <v>614</v>
      </c>
      <c r="J865" s="85" t="s">
        <v>258</v>
      </c>
      <c r="K865" s="85">
        <v>501</v>
      </c>
      <c r="L865" s="59" t="s">
        <v>265</v>
      </c>
      <c r="M865" s="59"/>
    </row>
    <row r="866" spans="6:13" x14ac:dyDescent="0.4">
      <c r="F866" s="218">
        <v>865</v>
      </c>
      <c r="G866" s="85" t="s">
        <v>161</v>
      </c>
      <c r="H866" s="85" t="s">
        <v>186</v>
      </c>
      <c r="I866" s="85" t="s">
        <v>607</v>
      </c>
      <c r="J866" s="85" t="s">
        <v>258</v>
      </c>
      <c r="K866" s="85">
        <v>229</v>
      </c>
      <c r="L866" s="59" t="s">
        <v>270</v>
      </c>
      <c r="M866" s="59"/>
    </row>
    <row r="867" spans="6:13" x14ac:dyDescent="0.4">
      <c r="F867" s="218">
        <v>866</v>
      </c>
      <c r="G867" s="85" t="s">
        <v>161</v>
      </c>
      <c r="H867" s="85" t="s">
        <v>186</v>
      </c>
      <c r="I867" s="85" t="s">
        <v>607</v>
      </c>
      <c r="J867" s="85" t="s">
        <v>258</v>
      </c>
      <c r="K867" s="85">
        <v>229</v>
      </c>
      <c r="L867" s="59" t="s">
        <v>270</v>
      </c>
      <c r="M867" s="59"/>
    </row>
    <row r="868" spans="6:13" x14ac:dyDescent="0.4">
      <c r="F868" s="218">
        <v>867</v>
      </c>
      <c r="G868" s="85" t="s">
        <v>161</v>
      </c>
      <c r="H868" s="85" t="s">
        <v>186</v>
      </c>
      <c r="I868" s="85" t="s">
        <v>607</v>
      </c>
      <c r="J868" s="85" t="s">
        <v>258</v>
      </c>
      <c r="K868" s="85">
        <v>259</v>
      </c>
      <c r="L868" s="59" t="s">
        <v>270</v>
      </c>
      <c r="M868" s="59"/>
    </row>
    <row r="869" spans="6:13" hidden="1" x14ac:dyDescent="0.4">
      <c r="F869" s="218">
        <v>868</v>
      </c>
      <c r="G869" s="85" t="s">
        <v>254</v>
      </c>
      <c r="H869" s="85"/>
      <c r="I869" s="85"/>
      <c r="J869" s="85" t="s">
        <v>258</v>
      </c>
      <c r="K869" s="85">
        <v>259</v>
      </c>
      <c r="L869" s="59" t="s">
        <v>270</v>
      </c>
      <c r="M869" s="59"/>
    </row>
    <row r="870" spans="6:13" hidden="1" x14ac:dyDescent="0.4">
      <c r="F870" s="218">
        <v>869</v>
      </c>
      <c r="G870" s="85" t="s">
        <v>161</v>
      </c>
      <c r="H870" s="85" t="s">
        <v>185</v>
      </c>
      <c r="I870" s="85" t="s">
        <v>602</v>
      </c>
      <c r="J870" s="85" t="s">
        <v>257</v>
      </c>
      <c r="K870" s="85">
        <v>1161</v>
      </c>
      <c r="L870" s="59" t="s">
        <v>262</v>
      </c>
      <c r="M870" s="59"/>
    </row>
    <row r="871" spans="6:13" x14ac:dyDescent="0.4">
      <c r="F871" s="218">
        <v>870</v>
      </c>
      <c r="G871" s="85" t="s">
        <v>161</v>
      </c>
      <c r="H871" s="85" t="s">
        <v>186</v>
      </c>
      <c r="I871" s="85" t="s">
        <v>607</v>
      </c>
      <c r="J871" s="85" t="s">
        <v>258</v>
      </c>
      <c r="K871" s="85">
        <v>320</v>
      </c>
      <c r="L871" s="59" t="s">
        <v>269</v>
      </c>
      <c r="M871" s="59"/>
    </row>
    <row r="872" spans="6:13" x14ac:dyDescent="0.4">
      <c r="F872" s="218">
        <v>871</v>
      </c>
      <c r="G872" s="85" t="s">
        <v>161</v>
      </c>
      <c r="H872" s="85" t="s">
        <v>186</v>
      </c>
      <c r="I872" s="85" t="s">
        <v>607</v>
      </c>
      <c r="J872" s="85" t="s">
        <v>258</v>
      </c>
      <c r="K872" s="85">
        <v>505</v>
      </c>
      <c r="L872" s="59" t="s">
        <v>265</v>
      </c>
      <c r="M872" s="59"/>
    </row>
    <row r="873" spans="6:13" hidden="1" x14ac:dyDescent="0.4">
      <c r="F873" s="218">
        <v>872</v>
      </c>
      <c r="G873" s="85" t="s">
        <v>254</v>
      </c>
      <c r="H873" s="85" t="s">
        <v>186</v>
      </c>
      <c r="I873" s="85" t="s">
        <v>623</v>
      </c>
      <c r="J873" s="85" t="s">
        <v>258</v>
      </c>
      <c r="K873" s="85">
        <v>140</v>
      </c>
      <c r="L873" s="59" t="s">
        <v>270</v>
      </c>
      <c r="M873" s="59"/>
    </row>
    <row r="874" spans="6:13" hidden="1" x14ac:dyDescent="0.4">
      <c r="F874" s="218">
        <v>873</v>
      </c>
      <c r="G874" s="85" t="s">
        <v>254</v>
      </c>
      <c r="H874" s="85" t="s">
        <v>187</v>
      </c>
      <c r="I874" s="85" t="s">
        <v>607</v>
      </c>
      <c r="J874" s="85" t="s">
        <v>258</v>
      </c>
      <c r="K874" s="85">
        <v>140</v>
      </c>
      <c r="L874" s="59" t="s">
        <v>270</v>
      </c>
      <c r="M874" s="59"/>
    </row>
    <row r="875" spans="6:13" hidden="1" x14ac:dyDescent="0.4">
      <c r="F875" s="218">
        <v>874</v>
      </c>
      <c r="G875" s="85" t="s">
        <v>253</v>
      </c>
      <c r="H875" s="85" t="s">
        <v>187</v>
      </c>
      <c r="I875" s="85" t="s">
        <v>607</v>
      </c>
      <c r="J875" s="85" t="s">
        <v>258</v>
      </c>
      <c r="K875" s="85">
        <v>352</v>
      </c>
      <c r="L875" s="59" t="s">
        <v>270</v>
      </c>
      <c r="M875" s="59"/>
    </row>
    <row r="876" spans="6:13" hidden="1" x14ac:dyDescent="0.4">
      <c r="F876" s="218">
        <v>875</v>
      </c>
      <c r="G876" s="85" t="s">
        <v>254</v>
      </c>
      <c r="H876" s="85"/>
      <c r="I876" s="85"/>
      <c r="J876" s="85" t="s">
        <v>258</v>
      </c>
      <c r="K876" s="85">
        <v>291</v>
      </c>
      <c r="L876" s="59" t="s">
        <v>270</v>
      </c>
      <c r="M876" s="59"/>
    </row>
    <row r="877" spans="6:13" x14ac:dyDescent="0.4">
      <c r="F877" s="218">
        <v>876</v>
      </c>
      <c r="G877" s="85" t="s">
        <v>161</v>
      </c>
      <c r="H877" s="85" t="s">
        <v>186</v>
      </c>
      <c r="I877" s="85" t="s">
        <v>607</v>
      </c>
      <c r="J877" s="85" t="s">
        <v>258</v>
      </c>
      <c r="K877" s="85">
        <v>291</v>
      </c>
      <c r="L877" s="59" t="s">
        <v>270</v>
      </c>
      <c r="M877" s="59"/>
    </row>
    <row r="878" spans="6:13" hidden="1" x14ac:dyDescent="0.4">
      <c r="F878" s="218">
        <v>877</v>
      </c>
      <c r="G878" s="85" t="s">
        <v>161</v>
      </c>
      <c r="H878" s="85" t="s">
        <v>185</v>
      </c>
      <c r="I878" s="85" t="s">
        <v>602</v>
      </c>
      <c r="J878" s="85" t="s">
        <v>257</v>
      </c>
      <c r="K878" s="85">
        <v>1162</v>
      </c>
      <c r="L878" s="59" t="s">
        <v>262</v>
      </c>
      <c r="M878" s="59"/>
    </row>
    <row r="879" spans="6:13" hidden="1" x14ac:dyDescent="0.4">
      <c r="F879" s="218">
        <v>878</v>
      </c>
      <c r="G879" s="85" t="s">
        <v>254</v>
      </c>
      <c r="H879" s="85"/>
      <c r="I879" s="85"/>
      <c r="J879" s="85" t="s">
        <v>258</v>
      </c>
      <c r="K879" s="85">
        <v>231</v>
      </c>
      <c r="L879" s="59" t="s">
        <v>270</v>
      </c>
      <c r="M879" s="59"/>
    </row>
    <row r="880" spans="6:13" hidden="1" x14ac:dyDescent="0.4">
      <c r="F880" s="218">
        <v>879</v>
      </c>
      <c r="G880" s="85" t="s">
        <v>161</v>
      </c>
      <c r="H880" s="85" t="s">
        <v>189</v>
      </c>
      <c r="I880" s="85" t="s">
        <v>606</v>
      </c>
      <c r="J880" s="85" t="s">
        <v>258</v>
      </c>
      <c r="K880" s="85">
        <v>413</v>
      </c>
      <c r="L880" s="59" t="s">
        <v>269</v>
      </c>
      <c r="M880" s="59"/>
    </row>
    <row r="881" spans="6:13" hidden="1" x14ac:dyDescent="0.4">
      <c r="F881" s="218">
        <v>880</v>
      </c>
      <c r="G881" s="85" t="s">
        <v>254</v>
      </c>
      <c r="H881" s="85"/>
      <c r="I881" s="85"/>
      <c r="J881" s="85" t="s">
        <v>258</v>
      </c>
      <c r="K881" s="85">
        <v>384</v>
      </c>
      <c r="L881" s="59" t="s">
        <v>270</v>
      </c>
      <c r="M881" s="59"/>
    </row>
    <row r="882" spans="6:13" hidden="1" x14ac:dyDescent="0.4">
      <c r="F882" s="218">
        <v>881</v>
      </c>
      <c r="G882" s="85" t="s">
        <v>254</v>
      </c>
      <c r="H882" s="85" t="s">
        <v>185</v>
      </c>
      <c r="I882" s="85" t="s">
        <v>602</v>
      </c>
      <c r="J882" s="85" t="s">
        <v>258</v>
      </c>
      <c r="K882" s="85">
        <v>262</v>
      </c>
      <c r="L882" s="59" t="s">
        <v>269</v>
      </c>
      <c r="M882" s="59"/>
    </row>
    <row r="883" spans="6:13" hidden="1" x14ac:dyDescent="0.4">
      <c r="F883" s="218">
        <v>882</v>
      </c>
      <c r="G883" s="85" t="s">
        <v>254</v>
      </c>
      <c r="H883" s="85" t="s">
        <v>185</v>
      </c>
      <c r="I883" s="85" t="s">
        <v>624</v>
      </c>
      <c r="J883" s="85" t="s">
        <v>257</v>
      </c>
      <c r="K883" s="85">
        <v>1179</v>
      </c>
      <c r="L883" s="59" t="s">
        <v>262</v>
      </c>
      <c r="M883" s="59"/>
    </row>
    <row r="884" spans="6:13" hidden="1" x14ac:dyDescent="0.4">
      <c r="F884" s="218">
        <v>883</v>
      </c>
      <c r="G884" s="85" t="s">
        <v>254</v>
      </c>
      <c r="H884" s="85" t="s">
        <v>185</v>
      </c>
      <c r="I884" s="85" t="s">
        <v>624</v>
      </c>
      <c r="J884" s="85" t="s">
        <v>257</v>
      </c>
      <c r="K884" s="85">
        <v>1179</v>
      </c>
      <c r="L884" s="59" t="s">
        <v>262</v>
      </c>
      <c r="M884" s="59"/>
    </row>
    <row r="885" spans="6:13" hidden="1" x14ac:dyDescent="0.4">
      <c r="F885" s="218">
        <v>884</v>
      </c>
      <c r="G885" s="85" t="s">
        <v>161</v>
      </c>
      <c r="H885" s="85" t="s">
        <v>185</v>
      </c>
      <c r="I885" s="85" t="s">
        <v>610</v>
      </c>
      <c r="J885" s="85" t="s">
        <v>258</v>
      </c>
      <c r="K885" s="85">
        <v>354</v>
      </c>
      <c r="L885" s="59" t="s">
        <v>270</v>
      </c>
      <c r="M885" s="59"/>
    </row>
    <row r="886" spans="6:13" hidden="1" x14ac:dyDescent="0.4">
      <c r="F886" s="218">
        <v>885</v>
      </c>
      <c r="G886" s="85" t="s">
        <v>254</v>
      </c>
      <c r="H886" s="85"/>
      <c r="I886" s="85" t="s">
        <v>682</v>
      </c>
      <c r="J886" s="85" t="s">
        <v>258</v>
      </c>
      <c r="K886" s="85">
        <v>354</v>
      </c>
      <c r="L886" s="59" t="s">
        <v>270</v>
      </c>
      <c r="M886" s="59"/>
    </row>
    <row r="887" spans="6:13" hidden="1" x14ac:dyDescent="0.4">
      <c r="F887" s="218">
        <v>886</v>
      </c>
      <c r="G887" s="85" t="s">
        <v>254</v>
      </c>
      <c r="H887" s="85" t="s">
        <v>186</v>
      </c>
      <c r="I887" s="85" t="s">
        <v>600</v>
      </c>
      <c r="J887" s="85" t="s">
        <v>258</v>
      </c>
      <c r="K887" s="85">
        <v>142</v>
      </c>
      <c r="L887" s="59" t="s">
        <v>270</v>
      </c>
      <c r="M887" s="59"/>
    </row>
    <row r="888" spans="6:13" hidden="1" x14ac:dyDescent="0.4">
      <c r="F888" s="218">
        <v>887</v>
      </c>
      <c r="G888" s="85" t="s">
        <v>254</v>
      </c>
      <c r="H888" s="85"/>
      <c r="I888" s="85" t="s">
        <v>682</v>
      </c>
      <c r="J888" s="85" t="s">
        <v>258</v>
      </c>
      <c r="K888" s="85">
        <v>142</v>
      </c>
      <c r="L888" s="59" t="s">
        <v>270</v>
      </c>
      <c r="M888" s="59"/>
    </row>
    <row r="889" spans="6:13" hidden="1" x14ac:dyDescent="0.4">
      <c r="F889" s="218">
        <v>888</v>
      </c>
      <c r="G889" s="85" t="s">
        <v>254</v>
      </c>
      <c r="H889" s="85"/>
      <c r="I889" s="85"/>
      <c r="J889" s="85" t="s">
        <v>257</v>
      </c>
      <c r="K889" s="85">
        <v>1259</v>
      </c>
      <c r="L889" s="59" t="s">
        <v>266</v>
      </c>
      <c r="M889" s="59"/>
    </row>
    <row r="890" spans="6:13" hidden="1" x14ac:dyDescent="0.4">
      <c r="F890" s="218">
        <v>889</v>
      </c>
      <c r="G890" s="85" t="s">
        <v>254</v>
      </c>
      <c r="H890" s="85" t="s">
        <v>185</v>
      </c>
      <c r="I890" s="85" t="s">
        <v>602</v>
      </c>
      <c r="J890" s="85" t="s">
        <v>258</v>
      </c>
      <c r="K890" s="85">
        <v>145</v>
      </c>
      <c r="L890" s="59" t="s">
        <v>270</v>
      </c>
      <c r="M890" s="59"/>
    </row>
    <row r="891" spans="6:13" hidden="1" x14ac:dyDescent="0.4">
      <c r="F891" s="218">
        <v>890</v>
      </c>
      <c r="G891" s="85" t="s">
        <v>254</v>
      </c>
      <c r="H891" s="85" t="s">
        <v>187</v>
      </c>
      <c r="I891" s="85" t="s">
        <v>600</v>
      </c>
      <c r="J891" s="85" t="s">
        <v>258</v>
      </c>
      <c r="K891" s="85">
        <v>538</v>
      </c>
      <c r="L891" s="59" t="s">
        <v>265</v>
      </c>
      <c r="M891" s="59"/>
    </row>
    <row r="892" spans="6:13" hidden="1" x14ac:dyDescent="0.4">
      <c r="F892" s="218">
        <v>891</v>
      </c>
      <c r="G892" s="85" t="s">
        <v>161</v>
      </c>
      <c r="H892" s="85" t="s">
        <v>185</v>
      </c>
      <c r="I892" s="85" t="s">
        <v>599</v>
      </c>
      <c r="J892" s="85" t="s">
        <v>258</v>
      </c>
      <c r="K892" s="85">
        <v>143</v>
      </c>
      <c r="L892" s="59" t="s">
        <v>270</v>
      </c>
      <c r="M892" s="59"/>
    </row>
    <row r="893" spans="6:13" hidden="1" x14ac:dyDescent="0.4">
      <c r="F893" s="218">
        <v>892</v>
      </c>
      <c r="G893" s="85" t="s">
        <v>254</v>
      </c>
      <c r="H893" s="85" t="s">
        <v>185</v>
      </c>
      <c r="I893" s="85" t="s">
        <v>614</v>
      </c>
      <c r="J893" s="85" t="s">
        <v>258</v>
      </c>
      <c r="K893" s="85">
        <v>233</v>
      </c>
      <c r="L893" s="59" t="s">
        <v>269</v>
      </c>
      <c r="M893" s="59"/>
    </row>
    <row r="894" spans="6:13" hidden="1" x14ac:dyDescent="0.4">
      <c r="F894" s="218">
        <v>893</v>
      </c>
      <c r="G894" s="85" t="s">
        <v>254</v>
      </c>
      <c r="H894" s="85" t="s">
        <v>185</v>
      </c>
      <c r="I894" s="85" t="s">
        <v>624</v>
      </c>
      <c r="J894" s="85" t="s">
        <v>257</v>
      </c>
      <c r="K894" s="85">
        <v>1180</v>
      </c>
      <c r="L894" s="59" t="s">
        <v>262</v>
      </c>
      <c r="M894" s="59"/>
    </row>
    <row r="895" spans="6:13" x14ac:dyDescent="0.4">
      <c r="F895" s="218">
        <v>894</v>
      </c>
      <c r="G895" s="85" t="s">
        <v>161</v>
      </c>
      <c r="H895" s="85" t="s">
        <v>186</v>
      </c>
      <c r="I895" s="85" t="s">
        <v>607</v>
      </c>
      <c r="J895" s="85" t="s">
        <v>258</v>
      </c>
      <c r="K895" s="85">
        <v>202</v>
      </c>
      <c r="L895" s="59" t="s">
        <v>270</v>
      </c>
      <c r="M895" s="59"/>
    </row>
    <row r="896" spans="6:13" hidden="1" x14ac:dyDescent="0.4">
      <c r="F896" s="218">
        <v>895</v>
      </c>
      <c r="G896" s="85" t="s">
        <v>254</v>
      </c>
      <c r="H896" s="85"/>
      <c r="I896" s="85"/>
      <c r="J896" s="85" t="s">
        <v>258</v>
      </c>
      <c r="K896" s="85">
        <v>386</v>
      </c>
      <c r="L896" s="59" t="s">
        <v>270</v>
      </c>
      <c r="M896" s="59"/>
    </row>
    <row r="897" spans="6:13" hidden="1" x14ac:dyDescent="0.4">
      <c r="F897" s="218">
        <v>896</v>
      </c>
      <c r="G897" s="85" t="s">
        <v>253</v>
      </c>
      <c r="H897" s="85" t="s">
        <v>248</v>
      </c>
      <c r="I897" s="85" t="s">
        <v>248</v>
      </c>
      <c r="J897" s="85" t="s">
        <v>258</v>
      </c>
      <c r="K897" s="85" t="s">
        <v>253</v>
      </c>
      <c r="L897" s="59" t="s">
        <v>269</v>
      </c>
      <c r="M897" s="59"/>
    </row>
    <row r="898" spans="6:13" hidden="1" x14ac:dyDescent="0.4">
      <c r="F898" s="218">
        <v>897</v>
      </c>
      <c r="G898" s="85" t="s">
        <v>254</v>
      </c>
      <c r="H898" s="85"/>
      <c r="I898" s="85"/>
      <c r="J898" s="85" t="s">
        <v>258</v>
      </c>
      <c r="K898" s="85">
        <v>417</v>
      </c>
      <c r="L898" s="59" t="s">
        <v>270</v>
      </c>
      <c r="M898" s="59"/>
    </row>
    <row r="899" spans="6:13" hidden="1" x14ac:dyDescent="0.4">
      <c r="F899" s="218">
        <v>898</v>
      </c>
      <c r="G899" s="85" t="s">
        <v>254</v>
      </c>
      <c r="H899" s="85"/>
      <c r="I899" s="85"/>
      <c r="J899" s="85" t="s">
        <v>258</v>
      </c>
      <c r="K899" s="85">
        <v>356</v>
      </c>
      <c r="L899" s="59" t="s">
        <v>270</v>
      </c>
      <c r="M899" s="59"/>
    </row>
    <row r="900" spans="6:13" hidden="1" x14ac:dyDescent="0.4">
      <c r="F900" s="218">
        <v>899</v>
      </c>
      <c r="G900" s="85" t="s">
        <v>254</v>
      </c>
      <c r="H900" s="85" t="s">
        <v>185</v>
      </c>
      <c r="I900" s="85" t="s">
        <v>634</v>
      </c>
      <c r="J900" s="85" t="s">
        <v>257</v>
      </c>
      <c r="K900" s="85">
        <v>1341</v>
      </c>
      <c r="L900" s="59" t="s">
        <v>264</v>
      </c>
      <c r="M900" s="59"/>
    </row>
    <row r="901" spans="6:13" hidden="1" x14ac:dyDescent="0.4">
      <c r="F901" s="219">
        <v>900</v>
      </c>
      <c r="G901" s="85" t="s">
        <v>253</v>
      </c>
      <c r="H901" s="85" t="s">
        <v>248</v>
      </c>
      <c r="I901" s="85" t="s">
        <v>248</v>
      </c>
      <c r="J901" s="85" t="s">
        <v>258</v>
      </c>
      <c r="K901" s="85" t="s">
        <v>253</v>
      </c>
      <c r="L901" s="59" t="s">
        <v>270</v>
      </c>
      <c r="M901" s="59"/>
    </row>
    <row r="902" spans="6:13" x14ac:dyDescent="0.4">
      <c r="F902" s="218">
        <v>901</v>
      </c>
      <c r="G902" s="85" t="s">
        <v>161</v>
      </c>
      <c r="H902" s="85" t="s">
        <v>186</v>
      </c>
      <c r="I902" s="85" t="s">
        <v>607</v>
      </c>
      <c r="J902" s="85" t="s">
        <v>258</v>
      </c>
      <c r="K902" s="85">
        <v>356</v>
      </c>
      <c r="L902" s="59" t="s">
        <v>270</v>
      </c>
      <c r="M902" s="59"/>
    </row>
    <row r="903" spans="6:13" hidden="1" x14ac:dyDescent="0.4">
      <c r="F903" s="218">
        <v>902</v>
      </c>
      <c r="G903" s="85" t="s">
        <v>253</v>
      </c>
      <c r="H903" s="85" t="s">
        <v>187</v>
      </c>
      <c r="I903" s="85" t="s">
        <v>600</v>
      </c>
      <c r="J903" s="85" t="s">
        <v>258</v>
      </c>
      <c r="K903" s="85">
        <v>356</v>
      </c>
      <c r="L903" s="59" t="s">
        <v>270</v>
      </c>
      <c r="M903" s="59"/>
    </row>
    <row r="904" spans="6:13" hidden="1" x14ac:dyDescent="0.4">
      <c r="F904" s="218">
        <v>903</v>
      </c>
      <c r="G904" s="85" t="s">
        <v>254</v>
      </c>
      <c r="H904" s="85" t="s">
        <v>185</v>
      </c>
      <c r="I904" s="85" t="s">
        <v>645</v>
      </c>
      <c r="J904" s="85" t="s">
        <v>258</v>
      </c>
      <c r="K904" s="85">
        <v>356</v>
      </c>
      <c r="L904" s="59" t="s">
        <v>270</v>
      </c>
      <c r="M904" s="59"/>
    </row>
    <row r="905" spans="6:13" hidden="1" x14ac:dyDescent="0.4">
      <c r="F905" s="218">
        <v>904</v>
      </c>
      <c r="G905" s="85" t="s">
        <v>254</v>
      </c>
      <c r="H905" s="85" t="s">
        <v>185</v>
      </c>
      <c r="I905" s="85" t="s">
        <v>624</v>
      </c>
      <c r="J905" s="85" t="s">
        <v>257</v>
      </c>
      <c r="K905" s="85">
        <v>1181</v>
      </c>
      <c r="L905" s="59" t="s">
        <v>262</v>
      </c>
      <c r="M905" s="59"/>
    </row>
    <row r="906" spans="6:13" hidden="1" x14ac:dyDescent="0.4">
      <c r="F906" s="218">
        <v>905</v>
      </c>
      <c r="G906" s="85" t="s">
        <v>254</v>
      </c>
      <c r="H906" s="85"/>
      <c r="I906" s="85"/>
      <c r="J906" s="85" t="s">
        <v>258</v>
      </c>
      <c r="K906" s="85">
        <v>294</v>
      </c>
      <c r="L906" s="59" t="s">
        <v>270</v>
      </c>
      <c r="M906" s="59"/>
    </row>
    <row r="907" spans="6:13" hidden="1" x14ac:dyDescent="0.4">
      <c r="F907" s="219">
        <v>906</v>
      </c>
      <c r="G907" s="85" t="s">
        <v>253</v>
      </c>
      <c r="H907" s="85" t="s">
        <v>248</v>
      </c>
      <c r="I907" s="85" t="s">
        <v>248</v>
      </c>
      <c r="J907" s="85" t="s">
        <v>258</v>
      </c>
      <c r="K907" s="85" t="s">
        <v>253</v>
      </c>
      <c r="L907" s="59" t="s">
        <v>270</v>
      </c>
      <c r="M907" s="59"/>
    </row>
    <row r="908" spans="6:13" hidden="1" x14ac:dyDescent="0.4">
      <c r="F908" s="219">
        <v>907</v>
      </c>
      <c r="G908" s="85" t="s">
        <v>253</v>
      </c>
      <c r="H908" s="85" t="s">
        <v>248</v>
      </c>
      <c r="I908" s="85" t="s">
        <v>248</v>
      </c>
      <c r="J908" s="85" t="s">
        <v>258</v>
      </c>
      <c r="K908" s="85" t="s">
        <v>253</v>
      </c>
      <c r="L908" s="59" t="s">
        <v>265</v>
      </c>
      <c r="M908" s="59"/>
    </row>
    <row r="909" spans="6:13" hidden="1" x14ac:dyDescent="0.4">
      <c r="F909" s="218">
        <v>908</v>
      </c>
      <c r="G909" s="85" t="s">
        <v>253</v>
      </c>
      <c r="H909" s="85"/>
      <c r="I909" s="85"/>
      <c r="J909" s="85" t="s">
        <v>258</v>
      </c>
      <c r="K909" s="85">
        <v>358</v>
      </c>
      <c r="L909" s="59" t="s">
        <v>270</v>
      </c>
      <c r="M909" s="59"/>
    </row>
    <row r="910" spans="6:13" hidden="1" x14ac:dyDescent="0.4">
      <c r="F910" s="218">
        <v>909</v>
      </c>
      <c r="G910" s="85" t="s">
        <v>161</v>
      </c>
      <c r="H910" s="85" t="s">
        <v>189</v>
      </c>
      <c r="I910" s="85" t="s">
        <v>606</v>
      </c>
      <c r="J910" s="85" t="s">
        <v>258</v>
      </c>
      <c r="K910" s="85">
        <v>358</v>
      </c>
      <c r="L910" s="59" t="s">
        <v>269</v>
      </c>
      <c r="M910" s="59"/>
    </row>
    <row r="911" spans="6:13" hidden="1" x14ac:dyDescent="0.4">
      <c r="F911" s="218">
        <v>910</v>
      </c>
      <c r="G911" s="85" t="s">
        <v>254</v>
      </c>
      <c r="H911" s="85" t="s">
        <v>186</v>
      </c>
      <c r="I911" s="85" t="s">
        <v>607</v>
      </c>
      <c r="J911" s="85" t="s">
        <v>258</v>
      </c>
      <c r="K911" s="85">
        <v>358</v>
      </c>
      <c r="L911" s="59" t="s">
        <v>269</v>
      </c>
      <c r="M911" s="59"/>
    </row>
    <row r="912" spans="6:13" hidden="1" x14ac:dyDescent="0.4">
      <c r="F912" s="218">
        <v>911</v>
      </c>
      <c r="G912" s="85" t="s">
        <v>254</v>
      </c>
      <c r="H912" s="85" t="s">
        <v>188</v>
      </c>
      <c r="I912" s="85" t="s">
        <v>684</v>
      </c>
      <c r="J912" s="85" t="s">
        <v>258</v>
      </c>
      <c r="K912" s="85">
        <v>390</v>
      </c>
      <c r="L912" s="59" t="s">
        <v>270</v>
      </c>
      <c r="M912" s="59"/>
    </row>
    <row r="913" spans="6:13" hidden="1" x14ac:dyDescent="0.4">
      <c r="F913" s="218">
        <v>912</v>
      </c>
      <c r="G913" s="85" t="s">
        <v>254</v>
      </c>
      <c r="H913" s="85" t="s">
        <v>185</v>
      </c>
      <c r="I913" s="85" t="s">
        <v>624</v>
      </c>
      <c r="J913" s="85" t="s">
        <v>257</v>
      </c>
      <c r="K913" s="85">
        <v>1185</v>
      </c>
      <c r="L913" s="59" t="s">
        <v>262</v>
      </c>
      <c r="M913" s="59"/>
    </row>
    <row r="914" spans="6:13" hidden="1" x14ac:dyDescent="0.4">
      <c r="F914" s="218">
        <v>913</v>
      </c>
      <c r="G914" s="85" t="s">
        <v>161</v>
      </c>
      <c r="H914" s="85" t="s">
        <v>186</v>
      </c>
      <c r="I914" s="85" t="s">
        <v>602</v>
      </c>
      <c r="J914" s="85" t="s">
        <v>257</v>
      </c>
      <c r="K914" s="85">
        <v>1185</v>
      </c>
      <c r="L914" s="59" t="s">
        <v>262</v>
      </c>
      <c r="M914" s="59"/>
    </row>
    <row r="915" spans="6:13" hidden="1" x14ac:dyDescent="0.4">
      <c r="F915" s="218">
        <v>914</v>
      </c>
      <c r="G915" s="85" t="s">
        <v>253</v>
      </c>
      <c r="H915" s="85"/>
      <c r="I915" s="85" t="s">
        <v>610</v>
      </c>
      <c r="J915" s="85" t="s">
        <v>257</v>
      </c>
      <c r="K915" s="85">
        <v>1185</v>
      </c>
      <c r="L915" s="59" t="s">
        <v>262</v>
      </c>
      <c r="M915" s="59"/>
    </row>
    <row r="916" spans="6:13" hidden="1" x14ac:dyDescent="0.4">
      <c r="F916" s="218">
        <v>915</v>
      </c>
      <c r="G916" s="85" t="s">
        <v>254</v>
      </c>
      <c r="H916" s="85" t="s">
        <v>185</v>
      </c>
      <c r="I916" s="85" t="s">
        <v>614</v>
      </c>
      <c r="J916" s="85" t="s">
        <v>258</v>
      </c>
      <c r="K916" s="85">
        <v>268</v>
      </c>
      <c r="L916" s="59" t="s">
        <v>269</v>
      </c>
      <c r="M916" s="59"/>
    </row>
    <row r="917" spans="6:13" hidden="1" x14ac:dyDescent="0.4">
      <c r="F917" s="218">
        <v>916</v>
      </c>
      <c r="G917" s="85" t="s">
        <v>161</v>
      </c>
      <c r="H917" s="85" t="s">
        <v>186</v>
      </c>
      <c r="I917" s="85" t="s">
        <v>602</v>
      </c>
      <c r="J917" s="85" t="s">
        <v>258</v>
      </c>
      <c r="K917" s="85">
        <v>421</v>
      </c>
      <c r="L917" s="59" t="s">
        <v>270</v>
      </c>
      <c r="M917" s="59"/>
    </row>
    <row r="918" spans="6:13" hidden="1" x14ac:dyDescent="0.4">
      <c r="F918" s="219">
        <v>917</v>
      </c>
      <c r="G918" s="85" t="s">
        <v>253</v>
      </c>
      <c r="H918" s="85" t="s">
        <v>248</v>
      </c>
      <c r="I918" s="85" t="s">
        <v>248</v>
      </c>
      <c r="J918" s="85" t="s">
        <v>257</v>
      </c>
      <c r="K918" s="85" t="s">
        <v>253</v>
      </c>
      <c r="L918" s="59" t="s">
        <v>262</v>
      </c>
      <c r="M918" s="59"/>
    </row>
    <row r="919" spans="6:13" hidden="1" x14ac:dyDescent="0.4">
      <c r="F919" s="218">
        <v>918</v>
      </c>
      <c r="G919" s="85" t="s">
        <v>254</v>
      </c>
      <c r="H919" s="85"/>
      <c r="I919" s="85" t="s">
        <v>682</v>
      </c>
      <c r="J919" s="85" t="s">
        <v>258</v>
      </c>
      <c r="K919" s="85">
        <v>269</v>
      </c>
      <c r="L919" s="59" t="s">
        <v>270</v>
      </c>
      <c r="M919" s="59"/>
    </row>
    <row r="920" spans="6:13" hidden="1" x14ac:dyDescent="0.4">
      <c r="F920" s="218">
        <v>919</v>
      </c>
      <c r="G920" s="85" t="s">
        <v>254</v>
      </c>
      <c r="H920" s="85" t="s">
        <v>185</v>
      </c>
      <c r="I920" s="85" t="s">
        <v>624</v>
      </c>
      <c r="J920" s="85" t="s">
        <v>257</v>
      </c>
      <c r="K920" s="85">
        <v>1189</v>
      </c>
      <c r="L920" s="59" t="s">
        <v>262</v>
      </c>
      <c r="M920" s="59"/>
    </row>
    <row r="921" spans="6:13" hidden="1" x14ac:dyDescent="0.4">
      <c r="F921" s="218">
        <v>920</v>
      </c>
      <c r="G921" s="85" t="s">
        <v>254</v>
      </c>
      <c r="H921" s="85"/>
      <c r="I921" s="85"/>
      <c r="J921" s="85" t="s">
        <v>257</v>
      </c>
      <c r="K921" s="85">
        <v>1189</v>
      </c>
      <c r="L921" s="59" t="s">
        <v>262</v>
      </c>
      <c r="M921" s="59"/>
    </row>
    <row r="922" spans="6:13" hidden="1" x14ac:dyDescent="0.4">
      <c r="F922" s="218">
        <v>921</v>
      </c>
      <c r="G922" s="85" t="s">
        <v>254</v>
      </c>
      <c r="H922" s="85" t="s">
        <v>185</v>
      </c>
      <c r="I922" s="85" t="s">
        <v>624</v>
      </c>
      <c r="J922" s="85" t="s">
        <v>257</v>
      </c>
      <c r="K922" s="85">
        <v>1189</v>
      </c>
      <c r="L922" s="59" t="s">
        <v>262</v>
      </c>
      <c r="M922" s="59"/>
    </row>
    <row r="923" spans="6:13" hidden="1" x14ac:dyDescent="0.4">
      <c r="F923" s="218">
        <v>922</v>
      </c>
      <c r="G923" s="85" t="s">
        <v>254</v>
      </c>
      <c r="H923" s="85" t="s">
        <v>186</v>
      </c>
      <c r="I923" s="85" t="s">
        <v>607</v>
      </c>
      <c r="J923" s="85" t="s">
        <v>258</v>
      </c>
      <c r="K923" s="85">
        <v>208</v>
      </c>
      <c r="L923" s="59" t="s">
        <v>270</v>
      </c>
      <c r="M923" s="59"/>
    </row>
    <row r="924" spans="6:13" hidden="1" x14ac:dyDescent="0.4">
      <c r="F924" s="218">
        <v>923</v>
      </c>
      <c r="G924" s="85" t="s">
        <v>254</v>
      </c>
      <c r="H924" s="85" t="s">
        <v>185</v>
      </c>
      <c r="I924" s="85" t="s">
        <v>614</v>
      </c>
      <c r="J924" s="85" t="s">
        <v>258</v>
      </c>
      <c r="K924" s="85">
        <v>515</v>
      </c>
      <c r="L924" s="59" t="s">
        <v>265</v>
      </c>
      <c r="M924" s="59"/>
    </row>
    <row r="925" spans="6:13" hidden="1" x14ac:dyDescent="0.4">
      <c r="F925" s="218">
        <v>924</v>
      </c>
      <c r="G925" s="85" t="s">
        <v>254</v>
      </c>
      <c r="H925" s="85" t="s">
        <v>185</v>
      </c>
      <c r="I925" s="85" t="s">
        <v>614</v>
      </c>
      <c r="J925" s="85" t="s">
        <v>258</v>
      </c>
      <c r="K925" s="85">
        <v>516</v>
      </c>
      <c r="L925" s="59" t="s">
        <v>265</v>
      </c>
      <c r="M925" s="59"/>
    </row>
    <row r="926" spans="6:13" hidden="1" x14ac:dyDescent="0.4">
      <c r="F926" s="218">
        <v>925</v>
      </c>
      <c r="G926" s="85" t="s">
        <v>253</v>
      </c>
      <c r="H926" s="85" t="s">
        <v>188</v>
      </c>
      <c r="I926" s="85" t="s">
        <v>685</v>
      </c>
      <c r="J926" s="85" t="s">
        <v>258</v>
      </c>
      <c r="K926" s="85">
        <v>543</v>
      </c>
      <c r="L926" s="59" t="s">
        <v>265</v>
      </c>
      <c r="M926" s="59"/>
    </row>
    <row r="927" spans="6:13" hidden="1" x14ac:dyDescent="0.4">
      <c r="F927" s="218">
        <v>926</v>
      </c>
      <c r="G927" s="85" t="s">
        <v>253</v>
      </c>
      <c r="H927" s="85" t="s">
        <v>248</v>
      </c>
      <c r="I927" s="85" t="s">
        <v>248</v>
      </c>
      <c r="J927" s="85" t="s">
        <v>258</v>
      </c>
      <c r="K927" s="85" t="s">
        <v>253</v>
      </c>
      <c r="L927" s="59" t="s">
        <v>265</v>
      </c>
      <c r="M927" s="59"/>
    </row>
    <row r="928" spans="6:13" hidden="1" x14ac:dyDescent="0.4">
      <c r="F928" s="218">
        <v>927</v>
      </c>
      <c r="G928" s="85" t="s">
        <v>254</v>
      </c>
      <c r="H928" s="85"/>
      <c r="I928" s="85" t="s">
        <v>686</v>
      </c>
      <c r="J928" s="85" t="s">
        <v>257</v>
      </c>
      <c r="K928" s="85">
        <v>1187</v>
      </c>
      <c r="L928" s="59" t="s">
        <v>262</v>
      </c>
      <c r="M928" s="59"/>
    </row>
    <row r="929" spans="6:13" hidden="1" x14ac:dyDescent="0.4">
      <c r="F929" s="218">
        <v>928</v>
      </c>
      <c r="G929" s="85" t="s">
        <v>253</v>
      </c>
      <c r="H929" s="85" t="s">
        <v>187</v>
      </c>
      <c r="I929" s="85" t="s">
        <v>600</v>
      </c>
      <c r="J929" s="85" t="s">
        <v>257</v>
      </c>
      <c r="K929" s="85">
        <v>1214</v>
      </c>
      <c r="L929" s="59" t="s">
        <v>262</v>
      </c>
      <c r="M929" s="59"/>
    </row>
    <row r="930" spans="6:13" hidden="1" x14ac:dyDescent="0.4">
      <c r="F930" s="218">
        <v>929</v>
      </c>
      <c r="G930" s="85" t="s">
        <v>254</v>
      </c>
      <c r="H930" s="85" t="s">
        <v>186</v>
      </c>
      <c r="I930" s="85" t="s">
        <v>607</v>
      </c>
      <c r="J930" s="85" t="s">
        <v>257</v>
      </c>
      <c r="K930" s="85">
        <v>1214</v>
      </c>
      <c r="L930" s="59" t="s">
        <v>262</v>
      </c>
      <c r="M930" s="59"/>
    </row>
    <row r="931" spans="6:13" hidden="1" x14ac:dyDescent="0.4">
      <c r="F931" s="218">
        <v>930</v>
      </c>
      <c r="G931" s="85" t="s">
        <v>161</v>
      </c>
      <c r="H931" s="85" t="s">
        <v>189</v>
      </c>
      <c r="I931" s="85" t="s">
        <v>609</v>
      </c>
      <c r="J931" s="85" t="s">
        <v>258</v>
      </c>
      <c r="K931" s="85">
        <v>487</v>
      </c>
      <c r="L931" s="59" t="s">
        <v>270</v>
      </c>
      <c r="M931" s="59"/>
    </row>
    <row r="932" spans="6:13" hidden="1" x14ac:dyDescent="0.4">
      <c r="F932" s="218">
        <v>931</v>
      </c>
      <c r="G932" s="85" t="s">
        <v>254</v>
      </c>
      <c r="H932" s="85" t="s">
        <v>185</v>
      </c>
      <c r="I932" s="85" t="s">
        <v>603</v>
      </c>
      <c r="J932" s="85" t="s">
        <v>258</v>
      </c>
      <c r="K932" s="85">
        <v>518</v>
      </c>
      <c r="L932" s="59" t="s">
        <v>265</v>
      </c>
      <c r="M932" s="59"/>
    </row>
    <row r="933" spans="6:13" hidden="1" x14ac:dyDescent="0.4">
      <c r="F933" s="218">
        <v>932</v>
      </c>
      <c r="G933" s="85" t="s">
        <v>254</v>
      </c>
      <c r="H933" s="85" t="s">
        <v>188</v>
      </c>
      <c r="I933" s="85" t="s">
        <v>687</v>
      </c>
      <c r="J933" s="85" t="s">
        <v>258</v>
      </c>
      <c r="K933" s="85">
        <v>396</v>
      </c>
      <c r="L933" s="59" t="s">
        <v>270</v>
      </c>
      <c r="M933" s="59"/>
    </row>
    <row r="934" spans="6:13" hidden="1" x14ac:dyDescent="0.4">
      <c r="F934" s="218">
        <v>933</v>
      </c>
      <c r="G934" s="85" t="s">
        <v>254</v>
      </c>
      <c r="H934" s="85" t="s">
        <v>188</v>
      </c>
      <c r="I934" s="85" t="s">
        <v>603</v>
      </c>
      <c r="J934" s="85" t="s">
        <v>258</v>
      </c>
      <c r="K934" s="85">
        <v>488</v>
      </c>
      <c r="L934" s="59" t="s">
        <v>270</v>
      </c>
      <c r="M934" s="59"/>
    </row>
    <row r="935" spans="6:13" hidden="1" x14ac:dyDescent="0.4">
      <c r="F935" s="218">
        <v>934</v>
      </c>
      <c r="G935" s="85" t="s">
        <v>254</v>
      </c>
      <c r="H935" s="85" t="s">
        <v>185</v>
      </c>
      <c r="I935" s="85" t="s">
        <v>688</v>
      </c>
      <c r="J935" s="85" t="s">
        <v>258</v>
      </c>
      <c r="K935" s="85">
        <v>578</v>
      </c>
      <c r="L935" s="59" t="s">
        <v>265</v>
      </c>
      <c r="M935" s="59"/>
    </row>
    <row r="936" spans="6:13" hidden="1" x14ac:dyDescent="0.4">
      <c r="F936" s="218">
        <v>935</v>
      </c>
      <c r="G936" s="85" t="s">
        <v>254</v>
      </c>
      <c r="H936" s="85"/>
      <c r="I936" s="85"/>
      <c r="J936" s="85" t="s">
        <v>257</v>
      </c>
      <c r="K936" s="85">
        <v>1166</v>
      </c>
      <c r="L936" s="59" t="s">
        <v>262</v>
      </c>
      <c r="M936" s="59"/>
    </row>
    <row r="937" spans="6:13" hidden="1" x14ac:dyDescent="0.4">
      <c r="F937" s="218">
        <v>936</v>
      </c>
      <c r="G937" s="85" t="s">
        <v>254</v>
      </c>
      <c r="H937" s="85"/>
      <c r="I937" s="85"/>
      <c r="J937" s="85" t="s">
        <v>257</v>
      </c>
      <c r="K937" s="85">
        <v>1216</v>
      </c>
      <c r="L937" s="59" t="s">
        <v>262</v>
      </c>
      <c r="M937" s="59"/>
    </row>
    <row r="938" spans="6:13" hidden="1" x14ac:dyDescent="0.4">
      <c r="F938" s="218">
        <v>937</v>
      </c>
      <c r="G938" s="85" t="s">
        <v>254</v>
      </c>
      <c r="H938" s="85"/>
      <c r="I938" s="85"/>
      <c r="J938" s="85" t="s">
        <v>258</v>
      </c>
      <c r="K938" s="85">
        <v>579</v>
      </c>
      <c r="L938" s="59" t="s">
        <v>265</v>
      </c>
      <c r="M938" s="59"/>
    </row>
    <row r="939" spans="6:13" hidden="1" x14ac:dyDescent="0.4">
      <c r="F939" s="218">
        <v>938</v>
      </c>
      <c r="G939" s="85" t="s">
        <v>254</v>
      </c>
      <c r="H939" s="85"/>
      <c r="I939" s="85"/>
      <c r="J939" s="85" t="s">
        <v>258</v>
      </c>
      <c r="K939" s="85">
        <v>155</v>
      </c>
      <c r="L939" s="59" t="s">
        <v>270</v>
      </c>
      <c r="M939" s="59"/>
    </row>
    <row r="940" spans="6:13" hidden="1" x14ac:dyDescent="0.4">
      <c r="F940" s="218">
        <v>939</v>
      </c>
      <c r="G940" s="85" t="s">
        <v>254</v>
      </c>
      <c r="H940" s="85"/>
      <c r="I940" s="85"/>
      <c r="J940" s="85" t="s">
        <v>258</v>
      </c>
      <c r="K940" s="85">
        <v>155</v>
      </c>
      <c r="L940" s="59" t="s">
        <v>270</v>
      </c>
      <c r="M940" s="59"/>
    </row>
    <row r="941" spans="6:13" hidden="1" x14ac:dyDescent="0.4">
      <c r="F941" s="218">
        <v>940</v>
      </c>
      <c r="G941" s="85" t="s">
        <v>254</v>
      </c>
      <c r="H941" s="85"/>
      <c r="I941" s="85"/>
      <c r="J941" s="85" t="s">
        <v>258</v>
      </c>
      <c r="K941" s="85">
        <v>428</v>
      </c>
      <c r="L941" s="59" t="s">
        <v>270</v>
      </c>
      <c r="M941" s="59"/>
    </row>
    <row r="942" spans="6:13" hidden="1" x14ac:dyDescent="0.4">
      <c r="F942" s="218">
        <v>941</v>
      </c>
      <c r="G942" s="85" t="s">
        <v>161</v>
      </c>
      <c r="H942" s="85" t="s">
        <v>185</v>
      </c>
      <c r="I942" s="85" t="s">
        <v>606</v>
      </c>
      <c r="J942" s="85" t="s">
        <v>258</v>
      </c>
      <c r="K942" s="85">
        <v>428</v>
      </c>
      <c r="L942" s="59" t="s">
        <v>270</v>
      </c>
      <c r="M942" s="59"/>
    </row>
    <row r="943" spans="6:13" hidden="1" x14ac:dyDescent="0.4">
      <c r="F943" s="218">
        <v>942</v>
      </c>
      <c r="G943" s="85" t="s">
        <v>254</v>
      </c>
      <c r="H943" s="85"/>
      <c r="I943" s="85"/>
      <c r="J943" s="85" t="s">
        <v>258</v>
      </c>
      <c r="K943" s="85">
        <v>428</v>
      </c>
      <c r="L943" s="59" t="s">
        <v>270</v>
      </c>
      <c r="M943" s="59"/>
    </row>
    <row r="944" spans="6:13" hidden="1" x14ac:dyDescent="0.4">
      <c r="F944" s="218">
        <v>943</v>
      </c>
      <c r="G944" s="85" t="s">
        <v>254</v>
      </c>
      <c r="H944" s="85"/>
      <c r="I944" s="85"/>
      <c r="J944" s="85" t="s">
        <v>258</v>
      </c>
      <c r="K944" s="85">
        <v>428</v>
      </c>
      <c r="L944" s="59" t="s">
        <v>270</v>
      </c>
      <c r="M944" s="59"/>
    </row>
    <row r="945" spans="6:13" hidden="1" x14ac:dyDescent="0.4">
      <c r="F945" s="218">
        <v>944</v>
      </c>
      <c r="G945" s="85" t="s">
        <v>254</v>
      </c>
      <c r="H945" s="85"/>
      <c r="I945" s="85"/>
      <c r="J945" s="85" t="s">
        <v>258</v>
      </c>
      <c r="K945" s="85">
        <v>367</v>
      </c>
      <c r="L945" s="59" t="s">
        <v>269</v>
      </c>
      <c r="M945" s="59"/>
    </row>
    <row r="946" spans="6:13" hidden="1" x14ac:dyDescent="0.4">
      <c r="F946" s="218">
        <v>945</v>
      </c>
      <c r="G946" s="85" t="s">
        <v>161</v>
      </c>
      <c r="H946" s="85" t="s">
        <v>189</v>
      </c>
      <c r="I946" s="85" t="s">
        <v>648</v>
      </c>
      <c r="J946" s="85" t="s">
        <v>258</v>
      </c>
      <c r="K946" s="85">
        <v>428</v>
      </c>
      <c r="L946" s="59" t="s">
        <v>269</v>
      </c>
      <c r="M946" s="59"/>
    </row>
    <row r="947" spans="6:13" hidden="1" x14ac:dyDescent="0.4">
      <c r="F947" s="218">
        <v>946</v>
      </c>
      <c r="G947" s="85" t="s">
        <v>254</v>
      </c>
      <c r="H947" s="85"/>
      <c r="I947" s="85"/>
      <c r="J947" s="85" t="s">
        <v>258</v>
      </c>
      <c r="K947" s="85">
        <v>245</v>
      </c>
      <c r="L947" s="59" t="s">
        <v>269</v>
      </c>
      <c r="M947" s="59"/>
    </row>
    <row r="948" spans="6:13" hidden="1" x14ac:dyDescent="0.4">
      <c r="F948" s="218">
        <v>947</v>
      </c>
      <c r="G948" s="85" t="s">
        <v>254</v>
      </c>
      <c r="H948" s="85"/>
      <c r="I948" s="85"/>
      <c r="J948" s="85" t="s">
        <v>257</v>
      </c>
      <c r="K948" s="85">
        <v>1177</v>
      </c>
      <c r="L948" s="59" t="s">
        <v>262</v>
      </c>
      <c r="M948" s="59"/>
    </row>
    <row r="949" spans="6:13" hidden="1" x14ac:dyDescent="0.4">
      <c r="F949" s="218">
        <v>948</v>
      </c>
      <c r="G949" s="85" t="s">
        <v>254</v>
      </c>
      <c r="H949" s="85"/>
      <c r="I949" s="85"/>
      <c r="J949" s="85" t="s">
        <v>257</v>
      </c>
      <c r="K949" s="85">
        <v>1204</v>
      </c>
      <c r="L949" s="59" t="s">
        <v>262</v>
      </c>
      <c r="M949" s="59"/>
    </row>
    <row r="950" spans="6:13" hidden="1" x14ac:dyDescent="0.4">
      <c r="F950" s="218">
        <v>949</v>
      </c>
      <c r="G950" s="85" t="s">
        <v>254</v>
      </c>
      <c r="H950" s="85" t="s">
        <v>185</v>
      </c>
      <c r="I950" s="85" t="s">
        <v>603</v>
      </c>
      <c r="J950" s="85" t="s">
        <v>258</v>
      </c>
      <c r="K950" s="85">
        <v>580</v>
      </c>
      <c r="L950" s="59" t="s">
        <v>265</v>
      </c>
      <c r="M950" s="59"/>
    </row>
    <row r="951" spans="6:13" hidden="1" x14ac:dyDescent="0.4">
      <c r="F951" s="218">
        <v>950</v>
      </c>
      <c r="G951" s="85" t="s">
        <v>254</v>
      </c>
      <c r="H951" s="85"/>
      <c r="I951" s="85"/>
      <c r="J951" s="85" t="s">
        <v>258</v>
      </c>
      <c r="K951" s="85">
        <v>580</v>
      </c>
      <c r="L951" s="59" t="s">
        <v>265</v>
      </c>
      <c r="M951" s="59"/>
    </row>
    <row r="952" spans="6:13" hidden="1" x14ac:dyDescent="0.4">
      <c r="F952" s="218">
        <v>951</v>
      </c>
      <c r="G952" s="85" t="s">
        <v>254</v>
      </c>
      <c r="H952" s="85"/>
      <c r="I952" s="85"/>
      <c r="J952" s="85" t="s">
        <v>258</v>
      </c>
      <c r="K952" s="85">
        <v>310</v>
      </c>
      <c r="L952" s="59" t="s">
        <v>270</v>
      </c>
      <c r="M952" s="59"/>
    </row>
    <row r="953" spans="6:13" hidden="1" x14ac:dyDescent="0.4">
      <c r="F953" s="218">
        <v>952</v>
      </c>
      <c r="G953" s="85" t="s">
        <v>253</v>
      </c>
      <c r="H953" s="85" t="s">
        <v>248</v>
      </c>
      <c r="I953" s="85" t="s">
        <v>248</v>
      </c>
      <c r="J953" s="85" t="s">
        <v>257</v>
      </c>
      <c r="K953" s="85" t="s">
        <v>253</v>
      </c>
      <c r="L953" s="59" t="s">
        <v>262</v>
      </c>
      <c r="M953" s="59"/>
    </row>
    <row r="954" spans="6:13" hidden="1" x14ac:dyDescent="0.4">
      <c r="F954" s="218">
        <v>953</v>
      </c>
      <c r="G954" s="85" t="s">
        <v>254</v>
      </c>
      <c r="H954" s="85"/>
      <c r="I954" s="85"/>
      <c r="J954" s="85" t="s">
        <v>257</v>
      </c>
      <c r="K954" s="85">
        <v>1360</v>
      </c>
      <c r="L954" s="59" t="s">
        <v>264</v>
      </c>
      <c r="M954" s="59"/>
    </row>
    <row r="955" spans="6:13" hidden="1" x14ac:dyDescent="0.4">
      <c r="F955" s="218">
        <v>954</v>
      </c>
      <c r="G955" s="85" t="s">
        <v>254</v>
      </c>
      <c r="H955" s="85"/>
      <c r="I955" s="85"/>
      <c r="J955" s="85" t="s">
        <v>258</v>
      </c>
      <c r="K955" s="85">
        <v>248</v>
      </c>
      <c r="L955" s="59" t="s">
        <v>269</v>
      </c>
      <c r="M955" s="59"/>
    </row>
    <row r="956" spans="6:13" hidden="1" x14ac:dyDescent="0.4">
      <c r="F956" s="218">
        <v>955</v>
      </c>
      <c r="G956" s="85" t="s">
        <v>254</v>
      </c>
      <c r="H956" s="85"/>
      <c r="I956" s="85"/>
      <c r="J956" s="85" t="s">
        <v>257</v>
      </c>
      <c r="K956" s="85">
        <v>1359</v>
      </c>
      <c r="L956" s="59" t="s">
        <v>264</v>
      </c>
      <c r="M956" s="59"/>
    </row>
    <row r="957" spans="6:13" hidden="1" x14ac:dyDescent="0.4">
      <c r="F957" s="218">
        <v>956</v>
      </c>
      <c r="G957" s="85" t="s">
        <v>254</v>
      </c>
      <c r="H957" s="85"/>
      <c r="I957" s="85"/>
      <c r="J957" s="85" t="s">
        <v>258</v>
      </c>
      <c r="K957" s="85">
        <v>309</v>
      </c>
      <c r="L957" s="59" t="s">
        <v>270</v>
      </c>
      <c r="M957" s="59"/>
    </row>
    <row r="958" spans="6:13" hidden="1" x14ac:dyDescent="0.4">
      <c r="F958" s="218">
        <v>957</v>
      </c>
      <c r="G958" s="85" t="s">
        <v>254</v>
      </c>
      <c r="H958" s="85"/>
      <c r="I958" s="85"/>
      <c r="J958" s="85" t="s">
        <v>258</v>
      </c>
      <c r="K958" s="85">
        <v>185</v>
      </c>
      <c r="L958" s="59" t="s">
        <v>270</v>
      </c>
      <c r="M958" s="59"/>
    </row>
    <row r="959" spans="6:13" hidden="1" x14ac:dyDescent="0.4">
      <c r="F959" s="218">
        <v>958</v>
      </c>
      <c r="G959" s="85" t="s">
        <v>161</v>
      </c>
      <c r="H959" s="85" t="s">
        <v>185</v>
      </c>
      <c r="I959" s="85" t="s">
        <v>599</v>
      </c>
      <c r="J959" s="85" t="s">
        <v>258</v>
      </c>
      <c r="K959" s="85">
        <v>372</v>
      </c>
      <c r="L959" s="59" t="s">
        <v>270</v>
      </c>
      <c r="M959" s="59"/>
    </row>
    <row r="960" spans="6:13" hidden="1" x14ac:dyDescent="0.4">
      <c r="F960" s="218">
        <v>959</v>
      </c>
      <c r="G960" s="85" t="s">
        <v>161</v>
      </c>
      <c r="H960" s="85" t="s">
        <v>189</v>
      </c>
      <c r="I960" s="85" t="s">
        <v>606</v>
      </c>
      <c r="J960" s="85" t="s">
        <v>257</v>
      </c>
      <c r="K960" s="85">
        <v>1182</v>
      </c>
      <c r="L960" s="59" t="s">
        <v>262</v>
      </c>
      <c r="M960" s="59"/>
    </row>
    <row r="961" spans="6:13" hidden="1" x14ac:dyDescent="0.4">
      <c r="F961" s="218">
        <v>960</v>
      </c>
      <c r="G961" s="85" t="s">
        <v>161</v>
      </c>
      <c r="H961" s="85" t="s">
        <v>189</v>
      </c>
      <c r="I961" s="85" t="s">
        <v>606</v>
      </c>
      <c r="J961" s="85" t="s">
        <v>257</v>
      </c>
      <c r="K961" s="85">
        <v>1182</v>
      </c>
      <c r="L961" s="59" t="s">
        <v>262</v>
      </c>
      <c r="M961" s="59"/>
    </row>
    <row r="962" spans="6:13" hidden="1" x14ac:dyDescent="0.4">
      <c r="F962" s="218">
        <v>961</v>
      </c>
      <c r="G962" s="85" t="s">
        <v>254</v>
      </c>
      <c r="H962" s="85"/>
      <c r="I962" s="85"/>
      <c r="J962" s="85" t="s">
        <v>258</v>
      </c>
      <c r="K962" s="85">
        <v>188</v>
      </c>
      <c r="L962" s="59" t="s">
        <v>270</v>
      </c>
      <c r="M962" s="59"/>
    </row>
    <row r="963" spans="6:13" hidden="1" x14ac:dyDescent="0.4">
      <c r="F963" s="218">
        <v>962</v>
      </c>
      <c r="G963" s="85" t="s">
        <v>161</v>
      </c>
      <c r="H963" s="85" t="s">
        <v>186</v>
      </c>
      <c r="I963" s="85" t="s">
        <v>602</v>
      </c>
      <c r="J963" s="85" t="s">
        <v>257</v>
      </c>
      <c r="K963" s="85">
        <v>1196</v>
      </c>
      <c r="L963" s="59" t="s">
        <v>262</v>
      </c>
      <c r="M963" s="59"/>
    </row>
    <row r="964" spans="6:13" hidden="1" x14ac:dyDescent="0.4">
      <c r="F964" s="218">
        <v>963</v>
      </c>
      <c r="G964" s="85" t="s">
        <v>254</v>
      </c>
      <c r="H964" s="85" t="s">
        <v>185</v>
      </c>
      <c r="I964" s="85" t="s">
        <v>599</v>
      </c>
      <c r="J964" s="85" t="s">
        <v>258</v>
      </c>
      <c r="K964" s="85">
        <v>494</v>
      </c>
      <c r="L964" s="59" t="s">
        <v>270</v>
      </c>
      <c r="M964" s="59"/>
    </row>
    <row r="965" spans="6:13" hidden="1" x14ac:dyDescent="0.4">
      <c r="F965" s="218">
        <v>964</v>
      </c>
      <c r="G965" s="85" t="s">
        <v>254</v>
      </c>
      <c r="H965" s="85"/>
      <c r="I965" s="85"/>
      <c r="J965" s="85" t="s">
        <v>258</v>
      </c>
      <c r="K965" s="85">
        <v>160</v>
      </c>
      <c r="L965" s="59" t="s">
        <v>270</v>
      </c>
      <c r="M965" s="59"/>
    </row>
    <row r="966" spans="6:13" hidden="1" x14ac:dyDescent="0.4">
      <c r="F966" s="218">
        <v>965</v>
      </c>
      <c r="G966" s="85" t="s">
        <v>254</v>
      </c>
      <c r="H966" s="85"/>
      <c r="I966" s="85"/>
      <c r="J966" s="85" t="s">
        <v>258</v>
      </c>
      <c r="K966" s="85">
        <v>373</v>
      </c>
      <c r="L966" s="59" t="s">
        <v>270</v>
      </c>
      <c r="M966" s="59"/>
    </row>
    <row r="967" spans="6:13" hidden="1" x14ac:dyDescent="0.4">
      <c r="F967" s="218">
        <v>966</v>
      </c>
      <c r="G967" s="85" t="s">
        <v>254</v>
      </c>
      <c r="H967" s="85"/>
      <c r="I967" s="85"/>
      <c r="J967" s="85" t="s">
        <v>258</v>
      </c>
      <c r="K967" s="85">
        <v>373</v>
      </c>
      <c r="L967" s="59" t="s">
        <v>270</v>
      </c>
      <c r="M967" s="59"/>
    </row>
    <row r="968" spans="6:13" hidden="1" x14ac:dyDescent="0.4">
      <c r="F968" s="218">
        <v>967</v>
      </c>
      <c r="G968" s="85" t="s">
        <v>254</v>
      </c>
      <c r="H968" s="85"/>
      <c r="I968" s="85"/>
      <c r="J968" s="85" t="s">
        <v>258</v>
      </c>
      <c r="K968" s="85">
        <v>554</v>
      </c>
      <c r="L968" s="59" t="s">
        <v>265</v>
      </c>
      <c r="M968" s="59"/>
    </row>
    <row r="969" spans="6:13" hidden="1" x14ac:dyDescent="0.4">
      <c r="F969" s="218">
        <v>968</v>
      </c>
      <c r="G969" s="85" t="s">
        <v>161</v>
      </c>
      <c r="H969" s="85" t="s">
        <v>185</v>
      </c>
      <c r="I969" s="85" t="s">
        <v>615</v>
      </c>
      <c r="J969" s="85" t="s">
        <v>258</v>
      </c>
      <c r="K969" s="85">
        <v>404</v>
      </c>
      <c r="L969" s="59" t="s">
        <v>270</v>
      </c>
      <c r="M969" s="59"/>
    </row>
    <row r="970" spans="6:13" hidden="1" x14ac:dyDescent="0.4">
      <c r="F970" s="218">
        <v>969</v>
      </c>
      <c r="G970" s="85" t="s">
        <v>254</v>
      </c>
      <c r="H970" s="85"/>
      <c r="I970" s="85"/>
      <c r="J970" s="85" t="s">
        <v>257</v>
      </c>
      <c r="K970" s="85">
        <v>1198</v>
      </c>
      <c r="L970" s="59" t="s">
        <v>262</v>
      </c>
      <c r="M970" s="59"/>
    </row>
    <row r="971" spans="6:13" hidden="1" x14ac:dyDescent="0.4">
      <c r="F971" s="218">
        <v>970</v>
      </c>
      <c r="G971" s="85" t="s">
        <v>161</v>
      </c>
      <c r="H971" s="85" t="s">
        <v>186</v>
      </c>
      <c r="I971" s="85" t="s">
        <v>602</v>
      </c>
      <c r="J971" s="85" t="s">
        <v>257</v>
      </c>
      <c r="K971" s="85">
        <v>1199</v>
      </c>
      <c r="L971" s="59" t="s">
        <v>262</v>
      </c>
      <c r="M971" s="59"/>
    </row>
    <row r="972" spans="6:13" hidden="1" x14ac:dyDescent="0.4">
      <c r="F972" s="218">
        <v>971</v>
      </c>
      <c r="G972" s="85" t="s">
        <v>254</v>
      </c>
      <c r="H972" s="85" t="s">
        <v>188</v>
      </c>
      <c r="I972" s="85" t="s">
        <v>614</v>
      </c>
      <c r="J972" s="85" t="s">
        <v>258</v>
      </c>
      <c r="K972" s="85">
        <v>555</v>
      </c>
      <c r="L972" s="59" t="s">
        <v>265</v>
      </c>
      <c r="M972" s="59"/>
    </row>
    <row r="973" spans="6:13" hidden="1" x14ac:dyDescent="0.4">
      <c r="F973" s="218">
        <v>972</v>
      </c>
      <c r="G973" s="85" t="s">
        <v>253</v>
      </c>
      <c r="H973" s="85" t="s">
        <v>248</v>
      </c>
      <c r="I973" s="85" t="s">
        <v>248</v>
      </c>
      <c r="J973" s="85" t="s">
        <v>258</v>
      </c>
      <c r="K973" s="85" t="s">
        <v>253</v>
      </c>
      <c r="L973" s="59" t="s">
        <v>270</v>
      </c>
      <c r="M973" s="59"/>
    </row>
    <row r="974" spans="6:13" hidden="1" x14ac:dyDescent="0.4">
      <c r="F974" s="218">
        <v>973</v>
      </c>
      <c r="G974" s="85" t="s">
        <v>254</v>
      </c>
      <c r="H974" s="85"/>
      <c r="I974" s="85"/>
      <c r="J974" s="85" t="s">
        <v>257</v>
      </c>
      <c r="K974" s="85">
        <v>1101</v>
      </c>
      <c r="L974" s="59" t="s">
        <v>262</v>
      </c>
      <c r="M974" s="59"/>
    </row>
    <row r="975" spans="6:13" hidden="1" x14ac:dyDescent="0.4">
      <c r="F975" s="218">
        <v>974</v>
      </c>
      <c r="G975" s="85" t="s">
        <v>161</v>
      </c>
      <c r="H975" s="85" t="s">
        <v>185</v>
      </c>
      <c r="I975" s="85" t="s">
        <v>615</v>
      </c>
      <c r="J975" s="85" t="s">
        <v>258</v>
      </c>
      <c r="K975" s="85">
        <v>313</v>
      </c>
      <c r="L975" s="59" t="s">
        <v>270</v>
      </c>
      <c r="M975" s="59"/>
    </row>
    <row r="976" spans="6:13" hidden="1" x14ac:dyDescent="0.4">
      <c r="F976" s="218">
        <v>975</v>
      </c>
      <c r="G976" s="85" t="s">
        <v>254</v>
      </c>
      <c r="H976" s="85"/>
      <c r="I976" s="85"/>
      <c r="J976" s="85" t="s">
        <v>258</v>
      </c>
      <c r="K976" s="85">
        <v>163</v>
      </c>
      <c r="L976" s="59" t="s">
        <v>270</v>
      </c>
      <c r="M976" s="59"/>
    </row>
    <row r="977" spans="6:13" hidden="1" x14ac:dyDescent="0.4">
      <c r="F977" s="218">
        <v>976</v>
      </c>
      <c r="G977" s="85" t="s">
        <v>161</v>
      </c>
      <c r="H977" s="85" t="s">
        <v>186</v>
      </c>
      <c r="I977" s="85" t="s">
        <v>602</v>
      </c>
      <c r="J977" s="85" t="s">
        <v>258</v>
      </c>
      <c r="K977" s="85">
        <v>163</v>
      </c>
      <c r="L977" s="59" t="s">
        <v>270</v>
      </c>
      <c r="M977" s="59"/>
    </row>
    <row r="978" spans="6:13" hidden="1" x14ac:dyDescent="0.4">
      <c r="F978" s="218">
        <v>977</v>
      </c>
      <c r="G978" s="85" t="s">
        <v>254</v>
      </c>
      <c r="H978" s="85"/>
      <c r="I978" s="85"/>
      <c r="J978" s="85" t="s">
        <v>258</v>
      </c>
      <c r="K978" s="85">
        <v>253</v>
      </c>
      <c r="L978" s="59" t="s">
        <v>270</v>
      </c>
      <c r="M978" s="59"/>
    </row>
    <row r="979" spans="6:13" x14ac:dyDescent="0.4">
      <c r="F979" s="218">
        <v>978</v>
      </c>
      <c r="G979" s="85" t="s">
        <v>161</v>
      </c>
      <c r="H979" s="85" t="s">
        <v>186</v>
      </c>
      <c r="I979" s="85" t="s">
        <v>607</v>
      </c>
      <c r="J979" s="85" t="s">
        <v>258</v>
      </c>
      <c r="K979" s="85">
        <v>225</v>
      </c>
      <c r="L979" s="59" t="s">
        <v>270</v>
      </c>
      <c r="M979" s="59"/>
    </row>
    <row r="980" spans="6:13" hidden="1" x14ac:dyDescent="0.4">
      <c r="F980" s="218">
        <v>979</v>
      </c>
      <c r="G980" s="85" t="s">
        <v>254</v>
      </c>
      <c r="H980" s="85"/>
      <c r="I980" s="85"/>
      <c r="J980" s="85" t="s">
        <v>258</v>
      </c>
      <c r="K980" s="85">
        <v>588</v>
      </c>
      <c r="L980" s="59" t="s">
        <v>265</v>
      </c>
      <c r="M980" s="59"/>
    </row>
    <row r="981" spans="6:13" hidden="1" x14ac:dyDescent="0.4">
      <c r="F981" s="218">
        <v>980</v>
      </c>
      <c r="G981" s="85" t="s">
        <v>254</v>
      </c>
      <c r="H981" s="85"/>
      <c r="I981" s="85"/>
      <c r="J981" s="85" t="s">
        <v>258</v>
      </c>
      <c r="K981" s="85">
        <v>529</v>
      </c>
      <c r="L981" s="59" t="s">
        <v>265</v>
      </c>
      <c r="M981" s="59"/>
    </row>
    <row r="982" spans="6:13" hidden="1" x14ac:dyDescent="0.4">
      <c r="F982" s="218">
        <v>981</v>
      </c>
      <c r="G982" s="85" t="s">
        <v>254</v>
      </c>
      <c r="H982" s="85"/>
      <c r="I982" s="85"/>
      <c r="J982" s="85" t="s">
        <v>257</v>
      </c>
      <c r="K982" s="85">
        <v>1362</v>
      </c>
      <c r="L982" s="59" t="s">
        <v>264</v>
      </c>
      <c r="M982" s="59"/>
    </row>
    <row r="983" spans="6:13" hidden="1" x14ac:dyDescent="0.4">
      <c r="F983" s="218">
        <v>982</v>
      </c>
      <c r="G983" s="85" t="s">
        <v>254</v>
      </c>
      <c r="H983" s="85"/>
      <c r="I983" s="85"/>
      <c r="J983" s="85" t="s">
        <v>258</v>
      </c>
      <c r="K983" s="85">
        <v>439</v>
      </c>
      <c r="L983" s="59" t="s">
        <v>270</v>
      </c>
      <c r="M983" s="59"/>
    </row>
    <row r="984" spans="6:13" hidden="1" x14ac:dyDescent="0.4">
      <c r="F984" s="218">
        <v>983</v>
      </c>
      <c r="G984" s="85" t="s">
        <v>254</v>
      </c>
      <c r="H984" s="85"/>
      <c r="I984" s="85"/>
      <c r="J984" s="85" t="s">
        <v>258</v>
      </c>
      <c r="K984" s="85">
        <v>194</v>
      </c>
      <c r="L984" s="59" t="s">
        <v>269</v>
      </c>
      <c r="M984" s="59"/>
    </row>
    <row r="985" spans="6:13" hidden="1" x14ac:dyDescent="0.4">
      <c r="F985" s="218">
        <v>984</v>
      </c>
      <c r="G985" s="85" t="s">
        <v>254</v>
      </c>
      <c r="H985" s="85" t="s">
        <v>187</v>
      </c>
      <c r="I985" s="85" t="s">
        <v>602</v>
      </c>
      <c r="J985" s="85" t="s">
        <v>258</v>
      </c>
      <c r="K985" s="85">
        <v>377</v>
      </c>
      <c r="L985" s="59" t="s">
        <v>270</v>
      </c>
      <c r="M985" s="59"/>
    </row>
    <row r="986" spans="6:13" x14ac:dyDescent="0.4">
      <c r="F986" s="218">
        <v>985</v>
      </c>
      <c r="G986" s="85" t="s">
        <v>161</v>
      </c>
      <c r="H986" s="85" t="s">
        <v>186</v>
      </c>
      <c r="I986" s="85" t="s">
        <v>607</v>
      </c>
      <c r="J986" s="85" t="s">
        <v>257</v>
      </c>
      <c r="K986" s="85">
        <v>1226</v>
      </c>
      <c r="L986" s="59" t="s">
        <v>262</v>
      </c>
      <c r="M986" s="59"/>
    </row>
    <row r="987" spans="6:13" x14ac:dyDescent="0.4">
      <c r="F987" s="218">
        <v>986</v>
      </c>
      <c r="G987" s="85" t="s">
        <v>161</v>
      </c>
      <c r="H987" s="85" t="s">
        <v>186</v>
      </c>
      <c r="I987" s="85" t="s">
        <v>607</v>
      </c>
      <c r="J987" s="85" t="s">
        <v>258</v>
      </c>
      <c r="K987" s="85">
        <v>316</v>
      </c>
      <c r="L987" s="59" t="s">
        <v>270</v>
      </c>
      <c r="M987" s="59"/>
    </row>
    <row r="988" spans="6:13" hidden="1" x14ac:dyDescent="0.4">
      <c r="F988" s="218">
        <v>987</v>
      </c>
      <c r="G988" s="85" t="s">
        <v>254</v>
      </c>
      <c r="H988" s="85"/>
      <c r="I988" s="85"/>
      <c r="J988" s="85" t="s">
        <v>258</v>
      </c>
      <c r="K988" s="85">
        <v>316</v>
      </c>
      <c r="L988" s="59" t="s">
        <v>270</v>
      </c>
      <c r="M988" s="59"/>
    </row>
    <row r="989" spans="6:13" hidden="1" x14ac:dyDescent="0.4">
      <c r="F989" s="218">
        <v>988</v>
      </c>
      <c r="G989" s="85" t="s">
        <v>254</v>
      </c>
      <c r="H989" s="85"/>
      <c r="I989" s="85"/>
      <c r="J989" s="85" t="s">
        <v>258</v>
      </c>
      <c r="K989" s="85">
        <v>316</v>
      </c>
      <c r="L989" s="59" t="s">
        <v>270</v>
      </c>
      <c r="M989" s="59"/>
    </row>
    <row r="990" spans="6:13" hidden="1" x14ac:dyDescent="0.4">
      <c r="F990" s="218">
        <v>989</v>
      </c>
      <c r="G990" s="85" t="s">
        <v>254</v>
      </c>
      <c r="H990" s="85"/>
      <c r="I990" s="85"/>
      <c r="J990" s="85" t="s">
        <v>258</v>
      </c>
      <c r="K990" s="85">
        <v>589</v>
      </c>
      <c r="L990" s="59" t="s">
        <v>265</v>
      </c>
      <c r="M990" s="59"/>
    </row>
    <row r="991" spans="6:13" hidden="1" x14ac:dyDescent="0.4">
      <c r="F991" s="218">
        <v>990</v>
      </c>
      <c r="G991" s="85" t="s">
        <v>254</v>
      </c>
      <c r="H991" s="85"/>
      <c r="I991" s="85"/>
      <c r="J991" s="85" t="s">
        <v>258</v>
      </c>
      <c r="K991" s="85">
        <v>133</v>
      </c>
      <c r="L991" s="59" t="s">
        <v>270</v>
      </c>
      <c r="M991" s="59"/>
    </row>
    <row r="992" spans="6:13" hidden="1" x14ac:dyDescent="0.4">
      <c r="F992" s="218">
        <v>991</v>
      </c>
      <c r="G992" s="85" t="s">
        <v>254</v>
      </c>
      <c r="H992" s="85"/>
      <c r="I992" s="85"/>
      <c r="J992" s="85" t="s">
        <v>257</v>
      </c>
      <c r="K992" s="85">
        <v>1216</v>
      </c>
      <c r="L992" s="59" t="s">
        <v>262</v>
      </c>
      <c r="M992" s="59"/>
    </row>
    <row r="993" spans="6:13" hidden="1" x14ac:dyDescent="0.4">
      <c r="F993" s="218">
        <v>992</v>
      </c>
      <c r="G993" s="85" t="s">
        <v>254</v>
      </c>
      <c r="H993" s="85"/>
      <c r="I993" s="85"/>
      <c r="J993" s="85" t="s">
        <v>257</v>
      </c>
      <c r="K993" s="85">
        <v>1216</v>
      </c>
      <c r="L993" s="59" t="s">
        <v>262</v>
      </c>
      <c r="M993" s="59"/>
    </row>
    <row r="994" spans="6:13" hidden="1" x14ac:dyDescent="0.4">
      <c r="F994" s="218">
        <v>993</v>
      </c>
      <c r="G994" s="85" t="s">
        <v>254</v>
      </c>
      <c r="H994" s="85" t="s">
        <v>185</v>
      </c>
      <c r="I994" s="85" t="s">
        <v>624</v>
      </c>
      <c r="J994" s="85" t="s">
        <v>258</v>
      </c>
      <c r="K994" s="85">
        <v>319</v>
      </c>
      <c r="L994" s="59" t="s">
        <v>270</v>
      </c>
      <c r="M994" s="59"/>
    </row>
    <row r="995" spans="6:13" hidden="1" x14ac:dyDescent="0.4">
      <c r="F995" s="218">
        <v>994</v>
      </c>
      <c r="G995" s="85" t="s">
        <v>254</v>
      </c>
      <c r="H995" s="85"/>
      <c r="I995" s="85"/>
      <c r="J995" s="85" t="s">
        <v>258</v>
      </c>
      <c r="K995" s="85">
        <v>319</v>
      </c>
      <c r="L995" s="59" t="s">
        <v>270</v>
      </c>
      <c r="M995" s="59"/>
    </row>
    <row r="996" spans="6:13" hidden="1" x14ac:dyDescent="0.4">
      <c r="F996" s="218">
        <v>995</v>
      </c>
      <c r="G996" s="85" t="s">
        <v>254</v>
      </c>
      <c r="H996" s="85"/>
      <c r="I996" s="85"/>
      <c r="J996" s="85" t="s">
        <v>258</v>
      </c>
      <c r="K996" s="85">
        <v>319</v>
      </c>
      <c r="L996" s="59" t="s">
        <v>270</v>
      </c>
      <c r="M996" s="59"/>
    </row>
    <row r="997" spans="6:13" hidden="1" x14ac:dyDescent="0.4">
      <c r="F997" s="218">
        <v>996</v>
      </c>
      <c r="G997" s="85" t="s">
        <v>254</v>
      </c>
      <c r="H997" s="85"/>
      <c r="I997" s="85"/>
      <c r="J997" s="85" t="s">
        <v>258</v>
      </c>
      <c r="K997" s="85">
        <v>319</v>
      </c>
      <c r="L997" s="59" t="s">
        <v>270</v>
      </c>
      <c r="M997" s="59"/>
    </row>
    <row r="998" spans="6:13" hidden="1" x14ac:dyDescent="0.4">
      <c r="F998" s="218">
        <v>997</v>
      </c>
      <c r="G998" s="85" t="s">
        <v>254</v>
      </c>
      <c r="H998" s="85"/>
      <c r="I998" s="85"/>
      <c r="J998" s="85" t="s">
        <v>258</v>
      </c>
      <c r="K998" s="85">
        <v>319</v>
      </c>
      <c r="L998" s="59" t="s">
        <v>270</v>
      </c>
      <c r="M998" s="59"/>
    </row>
    <row r="999" spans="6:13" hidden="1" x14ac:dyDescent="0.4">
      <c r="F999" s="218">
        <v>998</v>
      </c>
      <c r="G999" s="85" t="s">
        <v>254</v>
      </c>
      <c r="H999" s="85"/>
      <c r="I999" s="85"/>
      <c r="J999" s="85" t="s">
        <v>258</v>
      </c>
      <c r="K999" s="85">
        <v>319</v>
      </c>
      <c r="L999" s="59" t="s">
        <v>270</v>
      </c>
      <c r="M999" s="59"/>
    </row>
    <row r="1000" spans="6:13" hidden="1" x14ac:dyDescent="0.4">
      <c r="F1000" s="218">
        <v>999</v>
      </c>
      <c r="G1000" s="85" t="s">
        <v>253</v>
      </c>
      <c r="H1000" s="85" t="s">
        <v>248</v>
      </c>
      <c r="I1000" s="85" t="s">
        <v>248</v>
      </c>
      <c r="J1000" s="85" t="s">
        <v>258</v>
      </c>
      <c r="K1000" s="85" t="s">
        <v>253</v>
      </c>
      <c r="L1000" s="59" t="s">
        <v>270</v>
      </c>
      <c r="M1000" s="59"/>
    </row>
    <row r="1001" spans="6:13" hidden="1" x14ac:dyDescent="0.4">
      <c r="F1001" s="218">
        <v>1000</v>
      </c>
      <c r="G1001" s="85" t="s">
        <v>253</v>
      </c>
      <c r="H1001" s="85" t="s">
        <v>248</v>
      </c>
      <c r="I1001" s="85" t="s">
        <v>248</v>
      </c>
      <c r="J1001" s="85" t="s">
        <v>258</v>
      </c>
      <c r="K1001" s="85" t="s">
        <v>253</v>
      </c>
      <c r="L1001" s="59" t="s">
        <v>269</v>
      </c>
      <c r="M1001" s="59"/>
    </row>
    <row r="1002" spans="6:13" hidden="1" x14ac:dyDescent="0.4">
      <c r="F1002" s="218">
        <v>1001</v>
      </c>
      <c r="G1002" s="85" t="s">
        <v>254</v>
      </c>
      <c r="H1002" s="85"/>
      <c r="I1002" s="85"/>
      <c r="J1002" s="85" t="s">
        <v>188</v>
      </c>
      <c r="K1002" s="85" t="s">
        <v>253</v>
      </c>
      <c r="L1002" s="59" t="s">
        <v>263</v>
      </c>
      <c r="M1002" s="59"/>
    </row>
    <row r="1003" spans="6:13" hidden="1" x14ac:dyDescent="0.4">
      <c r="F1003" s="218">
        <v>1002</v>
      </c>
      <c r="G1003" s="85" t="s">
        <v>254</v>
      </c>
      <c r="H1003" s="85"/>
      <c r="I1003" s="85"/>
      <c r="J1003" s="85" t="s">
        <v>258</v>
      </c>
      <c r="K1003" s="85">
        <v>410</v>
      </c>
      <c r="L1003" s="59" t="s">
        <v>270</v>
      </c>
      <c r="M1003" s="59"/>
    </row>
    <row r="1004" spans="6:13" hidden="1" x14ac:dyDescent="0.4">
      <c r="F1004" s="218">
        <v>1003</v>
      </c>
      <c r="G1004" s="85" t="s">
        <v>254</v>
      </c>
      <c r="H1004" s="85"/>
      <c r="I1004" s="85"/>
      <c r="J1004" s="85" t="s">
        <v>258</v>
      </c>
      <c r="K1004" s="85">
        <v>561</v>
      </c>
      <c r="L1004" s="59" t="s">
        <v>265</v>
      </c>
      <c r="M1004" s="59"/>
    </row>
    <row r="1005" spans="6:13" hidden="1" x14ac:dyDescent="0.4">
      <c r="F1005" s="218">
        <v>1004</v>
      </c>
      <c r="G1005" s="85" t="s">
        <v>254</v>
      </c>
      <c r="H1005" s="85"/>
      <c r="I1005" s="85"/>
      <c r="J1005" s="85" t="s">
        <v>258</v>
      </c>
      <c r="K1005" s="85">
        <v>411</v>
      </c>
      <c r="L1005" s="59" t="s">
        <v>269</v>
      </c>
      <c r="M1005" s="59"/>
    </row>
    <row r="1006" spans="6:13" hidden="1" x14ac:dyDescent="0.4">
      <c r="F1006" s="218">
        <v>1005</v>
      </c>
      <c r="G1006" s="85" t="s">
        <v>254</v>
      </c>
      <c r="H1006" s="85"/>
      <c r="I1006" s="85"/>
      <c r="J1006" s="85" t="s">
        <v>258</v>
      </c>
      <c r="K1006" s="85">
        <v>533</v>
      </c>
      <c r="L1006" s="59" t="s">
        <v>265</v>
      </c>
      <c r="M1006" s="59"/>
    </row>
    <row r="1007" spans="6:13" hidden="1" x14ac:dyDescent="0.4">
      <c r="F1007" s="218">
        <v>1006</v>
      </c>
      <c r="G1007" s="85" t="s">
        <v>254</v>
      </c>
      <c r="H1007" s="85" t="s">
        <v>185</v>
      </c>
      <c r="I1007" s="85" t="s">
        <v>624</v>
      </c>
      <c r="J1007" s="85" t="s">
        <v>258</v>
      </c>
      <c r="K1007" s="85">
        <v>320</v>
      </c>
      <c r="L1007" s="59" t="s">
        <v>270</v>
      </c>
      <c r="M1007" s="59"/>
    </row>
    <row r="1008" spans="6:13" hidden="1" x14ac:dyDescent="0.4">
      <c r="F1008" s="218">
        <v>1007</v>
      </c>
      <c r="G1008" s="85" t="s">
        <v>254</v>
      </c>
      <c r="H1008" s="85"/>
      <c r="I1008" s="85"/>
      <c r="J1008" s="85" t="s">
        <v>258</v>
      </c>
      <c r="K1008" s="85">
        <v>442</v>
      </c>
      <c r="L1008" s="59" t="s">
        <v>269</v>
      </c>
      <c r="M1008" s="59"/>
    </row>
    <row r="1009" spans="6:13" hidden="1" x14ac:dyDescent="0.4">
      <c r="F1009" s="218">
        <v>1008</v>
      </c>
      <c r="G1009" s="85" t="s">
        <v>254</v>
      </c>
      <c r="H1009" s="85"/>
      <c r="I1009" s="85"/>
      <c r="J1009" s="85" t="s">
        <v>258</v>
      </c>
      <c r="K1009" s="85">
        <v>381</v>
      </c>
      <c r="L1009" s="59" t="s">
        <v>269</v>
      </c>
      <c r="M1009" s="59"/>
    </row>
    <row r="1010" spans="6:13" hidden="1" x14ac:dyDescent="0.4">
      <c r="F1010" s="218">
        <v>1009</v>
      </c>
      <c r="G1010" s="85" t="s">
        <v>254</v>
      </c>
      <c r="H1010" s="85" t="s">
        <v>185</v>
      </c>
      <c r="I1010" s="85" t="s">
        <v>599</v>
      </c>
      <c r="J1010" s="85" t="s">
        <v>257</v>
      </c>
      <c r="K1010" s="85">
        <v>1191</v>
      </c>
      <c r="L1010" s="59" t="s">
        <v>262</v>
      </c>
      <c r="M1010" s="59"/>
    </row>
    <row r="1011" spans="6:13" hidden="1" x14ac:dyDescent="0.4">
      <c r="F1011" s="218">
        <v>1010</v>
      </c>
      <c r="G1011" s="85" t="s">
        <v>161</v>
      </c>
      <c r="H1011" s="85" t="s">
        <v>186</v>
      </c>
      <c r="I1011" s="85" t="s">
        <v>602</v>
      </c>
      <c r="J1011" s="85" t="s">
        <v>258</v>
      </c>
      <c r="K1011" s="85">
        <v>169</v>
      </c>
      <c r="L1011" s="59" t="s">
        <v>270</v>
      </c>
      <c r="M1011" s="59"/>
    </row>
    <row r="1012" spans="6:13" hidden="1" x14ac:dyDescent="0.4">
      <c r="F1012" s="218">
        <v>1011</v>
      </c>
      <c r="G1012" s="85" t="s">
        <v>254</v>
      </c>
      <c r="H1012" s="85" t="s">
        <v>185</v>
      </c>
      <c r="I1012" s="85" t="s">
        <v>624</v>
      </c>
      <c r="J1012" s="85" t="s">
        <v>258</v>
      </c>
      <c r="K1012" s="85">
        <v>321</v>
      </c>
      <c r="L1012" s="59" t="s">
        <v>270</v>
      </c>
      <c r="M1012" s="59"/>
    </row>
    <row r="1013" spans="6:13" hidden="1" x14ac:dyDescent="0.4">
      <c r="F1013" s="218">
        <v>1012</v>
      </c>
      <c r="G1013" s="85" t="s">
        <v>254</v>
      </c>
      <c r="H1013" s="85" t="s">
        <v>187</v>
      </c>
      <c r="I1013" s="85" t="s">
        <v>600</v>
      </c>
      <c r="J1013" s="85" t="s">
        <v>258</v>
      </c>
      <c r="K1013" s="85">
        <v>562</v>
      </c>
      <c r="L1013" s="59" t="s">
        <v>265</v>
      </c>
      <c r="M1013" s="59"/>
    </row>
    <row r="1014" spans="6:13" hidden="1" x14ac:dyDescent="0.4">
      <c r="F1014" s="218">
        <v>1013</v>
      </c>
      <c r="G1014" s="85" t="s">
        <v>254</v>
      </c>
      <c r="H1014" s="85"/>
      <c r="I1014" s="85"/>
      <c r="J1014" s="85" t="s">
        <v>258</v>
      </c>
      <c r="K1014" s="85">
        <v>381</v>
      </c>
      <c r="L1014" s="59" t="s">
        <v>270</v>
      </c>
      <c r="M1014" s="59"/>
    </row>
    <row r="1015" spans="6:13" hidden="1" x14ac:dyDescent="0.4">
      <c r="F1015" s="218">
        <v>1014</v>
      </c>
      <c r="G1015" s="85" t="s">
        <v>254</v>
      </c>
      <c r="H1015" s="85"/>
      <c r="I1015" s="85"/>
      <c r="J1015" s="85" t="s">
        <v>257</v>
      </c>
      <c r="K1015" s="85">
        <v>1217</v>
      </c>
      <c r="L1015" s="59" t="s">
        <v>262</v>
      </c>
      <c r="M1015" s="59"/>
    </row>
    <row r="1016" spans="6:13" hidden="1" x14ac:dyDescent="0.4">
      <c r="F1016" s="218">
        <v>1015</v>
      </c>
      <c r="G1016" s="85" t="s">
        <v>254</v>
      </c>
      <c r="H1016" s="85"/>
      <c r="I1016" s="85"/>
      <c r="J1016" s="85" t="s">
        <v>258</v>
      </c>
      <c r="K1016" s="85">
        <v>503</v>
      </c>
      <c r="L1016" s="59" t="s">
        <v>270</v>
      </c>
      <c r="M1016" s="59"/>
    </row>
    <row r="1017" spans="6:13" hidden="1" x14ac:dyDescent="0.4">
      <c r="F1017" s="218">
        <v>1016</v>
      </c>
      <c r="G1017" s="85" t="s">
        <v>254</v>
      </c>
      <c r="H1017" s="85" t="s">
        <v>188</v>
      </c>
      <c r="I1017" s="85" t="s">
        <v>614</v>
      </c>
      <c r="J1017" s="85" t="s">
        <v>258</v>
      </c>
      <c r="K1017" s="85">
        <v>563</v>
      </c>
      <c r="L1017" s="59" t="s">
        <v>265</v>
      </c>
      <c r="M1017" s="59"/>
    </row>
    <row r="1018" spans="6:13" hidden="1" x14ac:dyDescent="0.4">
      <c r="F1018" s="218">
        <v>1017</v>
      </c>
      <c r="G1018" s="85" t="s">
        <v>254</v>
      </c>
      <c r="H1018" s="85"/>
      <c r="I1018" s="85"/>
      <c r="J1018" s="85" t="s">
        <v>257</v>
      </c>
      <c r="K1018" s="85">
        <v>1109</v>
      </c>
      <c r="L1018" s="59" t="s">
        <v>262</v>
      </c>
      <c r="M1018" s="59"/>
    </row>
    <row r="1019" spans="6:13" hidden="1" x14ac:dyDescent="0.4">
      <c r="F1019" s="218">
        <v>1018</v>
      </c>
      <c r="G1019" s="85" t="s">
        <v>254</v>
      </c>
      <c r="H1019" s="85"/>
      <c r="I1019" s="85"/>
      <c r="J1019" s="85" t="s">
        <v>258</v>
      </c>
      <c r="K1019" s="85">
        <v>263</v>
      </c>
      <c r="L1019" s="59" t="s">
        <v>270</v>
      </c>
      <c r="M1019" s="59"/>
    </row>
    <row r="1020" spans="6:13" hidden="1" x14ac:dyDescent="0.4">
      <c r="F1020" s="218">
        <v>1019</v>
      </c>
      <c r="G1020" s="85" t="s">
        <v>254</v>
      </c>
      <c r="H1020" s="85"/>
      <c r="I1020" s="85"/>
      <c r="J1020" s="85" t="s">
        <v>258</v>
      </c>
      <c r="K1020" s="85">
        <v>263</v>
      </c>
      <c r="L1020" s="59" t="s">
        <v>270</v>
      </c>
      <c r="M1020" s="59"/>
    </row>
    <row r="1021" spans="6:13" hidden="1" x14ac:dyDescent="0.4">
      <c r="F1021" s="218">
        <v>1020</v>
      </c>
      <c r="G1021" s="85" t="s">
        <v>254</v>
      </c>
      <c r="H1021" s="85"/>
      <c r="I1021" s="85"/>
      <c r="J1021" s="85" t="s">
        <v>258</v>
      </c>
      <c r="K1021" s="85">
        <v>263</v>
      </c>
      <c r="L1021" s="59" t="s">
        <v>270</v>
      </c>
      <c r="M1021" s="59"/>
    </row>
    <row r="1022" spans="6:13" hidden="1" x14ac:dyDescent="0.4">
      <c r="F1022" s="218">
        <v>1021</v>
      </c>
      <c r="G1022" s="85" t="s">
        <v>254</v>
      </c>
      <c r="H1022" s="85"/>
      <c r="I1022" s="85" t="s">
        <v>602</v>
      </c>
      <c r="J1022" s="85" t="s">
        <v>257</v>
      </c>
      <c r="K1022" s="85">
        <v>1193</v>
      </c>
      <c r="L1022" s="59" t="s">
        <v>262</v>
      </c>
      <c r="M1022" s="59"/>
    </row>
    <row r="1023" spans="6:13" hidden="1" x14ac:dyDescent="0.4">
      <c r="F1023" s="218">
        <v>1022</v>
      </c>
      <c r="G1023" s="85" t="s">
        <v>254</v>
      </c>
      <c r="H1023" s="85"/>
      <c r="I1023" s="85"/>
      <c r="J1023" s="85" t="s">
        <v>257</v>
      </c>
      <c r="K1023" s="85">
        <v>1372</v>
      </c>
      <c r="L1023" s="59" t="s">
        <v>264</v>
      </c>
      <c r="M1023" s="59"/>
    </row>
    <row r="1024" spans="6:13" hidden="1" x14ac:dyDescent="0.4">
      <c r="F1024" s="218">
        <v>1023</v>
      </c>
      <c r="G1024" s="85" t="s">
        <v>254</v>
      </c>
      <c r="H1024" s="85"/>
      <c r="I1024" s="85"/>
      <c r="J1024" s="85" t="s">
        <v>257</v>
      </c>
      <c r="K1024" s="85">
        <v>1219</v>
      </c>
      <c r="L1024" s="59" t="s">
        <v>262</v>
      </c>
      <c r="M1024" s="59"/>
    </row>
    <row r="1025" spans="6:13" hidden="1" x14ac:dyDescent="0.4">
      <c r="F1025" s="218">
        <v>1024</v>
      </c>
      <c r="G1025" s="85" t="s">
        <v>254</v>
      </c>
      <c r="H1025" s="85"/>
      <c r="I1025" s="85"/>
      <c r="J1025" s="85" t="s">
        <v>257</v>
      </c>
      <c r="K1025" s="85">
        <v>1295</v>
      </c>
      <c r="L1025" s="59" t="s">
        <v>266</v>
      </c>
      <c r="M1025" s="59"/>
    </row>
    <row r="1026" spans="6:13" hidden="1" x14ac:dyDescent="0.4">
      <c r="F1026" s="218">
        <v>1025</v>
      </c>
      <c r="G1026" s="85" t="s">
        <v>254</v>
      </c>
      <c r="H1026" s="85"/>
      <c r="I1026" s="85"/>
      <c r="J1026" s="85" t="s">
        <v>258</v>
      </c>
      <c r="K1026" s="85">
        <v>172</v>
      </c>
      <c r="L1026" s="59" t="s">
        <v>270</v>
      </c>
      <c r="M1026" s="59"/>
    </row>
    <row r="1027" spans="6:13" hidden="1" x14ac:dyDescent="0.4">
      <c r="F1027" s="218">
        <v>1026</v>
      </c>
      <c r="G1027" s="85" t="s">
        <v>254</v>
      </c>
      <c r="H1027" s="85"/>
      <c r="I1027" s="85"/>
      <c r="J1027" s="85" t="s">
        <v>258</v>
      </c>
      <c r="K1027" s="85">
        <v>262</v>
      </c>
      <c r="L1027" s="59" t="s">
        <v>269</v>
      </c>
      <c r="M1027" s="59"/>
    </row>
    <row r="1028" spans="6:13" hidden="1" x14ac:dyDescent="0.4">
      <c r="F1028" s="218">
        <v>1027</v>
      </c>
      <c r="G1028" s="85" t="s">
        <v>254</v>
      </c>
      <c r="H1028" s="85"/>
      <c r="I1028" s="85"/>
      <c r="J1028" s="85" t="s">
        <v>258</v>
      </c>
      <c r="K1028" s="85">
        <v>384</v>
      </c>
      <c r="L1028" s="59" t="s">
        <v>270</v>
      </c>
      <c r="M1028" s="59"/>
    </row>
    <row r="1029" spans="6:13" hidden="1" x14ac:dyDescent="0.4">
      <c r="F1029" s="218">
        <v>1028</v>
      </c>
      <c r="G1029" s="85" t="s">
        <v>254</v>
      </c>
      <c r="H1029" s="85"/>
      <c r="I1029" s="85"/>
      <c r="J1029" s="85" t="s">
        <v>258</v>
      </c>
      <c r="K1029" s="85">
        <v>415</v>
      </c>
      <c r="L1029" s="59" t="s">
        <v>269</v>
      </c>
      <c r="M1029" s="59"/>
    </row>
    <row r="1030" spans="6:13" hidden="1" x14ac:dyDescent="0.4">
      <c r="F1030" s="218">
        <v>1029</v>
      </c>
      <c r="G1030" s="85" t="s">
        <v>254</v>
      </c>
      <c r="H1030" s="85"/>
      <c r="I1030" s="85"/>
      <c r="J1030" s="85" t="s">
        <v>258</v>
      </c>
      <c r="K1030" s="85">
        <v>172</v>
      </c>
      <c r="L1030" s="59" t="s">
        <v>270</v>
      </c>
      <c r="M1030" s="59"/>
    </row>
    <row r="1031" spans="6:13" hidden="1" x14ac:dyDescent="0.4">
      <c r="F1031" s="218">
        <v>1030</v>
      </c>
      <c r="G1031" s="85" t="s">
        <v>254</v>
      </c>
      <c r="H1031" s="85"/>
      <c r="I1031" s="85"/>
      <c r="J1031" s="85" t="s">
        <v>258</v>
      </c>
      <c r="K1031" s="85">
        <v>141</v>
      </c>
      <c r="L1031" s="59" t="s">
        <v>270</v>
      </c>
      <c r="M1031" s="59"/>
    </row>
    <row r="1032" spans="6:13" hidden="1" x14ac:dyDescent="0.4">
      <c r="F1032" s="218">
        <v>1031</v>
      </c>
      <c r="G1032" s="85" t="s">
        <v>254</v>
      </c>
      <c r="H1032" s="85"/>
      <c r="I1032" s="85"/>
      <c r="J1032" s="85" t="s">
        <v>258</v>
      </c>
      <c r="K1032" s="85">
        <v>141</v>
      </c>
      <c r="L1032" s="59" t="s">
        <v>270</v>
      </c>
      <c r="M1032" s="59"/>
    </row>
    <row r="1033" spans="6:13" hidden="1" x14ac:dyDescent="0.4">
      <c r="F1033" s="218">
        <v>1032</v>
      </c>
      <c r="G1033" s="85" t="s">
        <v>254</v>
      </c>
      <c r="H1033" s="85"/>
      <c r="I1033" s="85"/>
      <c r="J1033" s="85" t="s">
        <v>258</v>
      </c>
      <c r="K1033" s="85">
        <v>141</v>
      </c>
      <c r="L1033" s="59" t="s">
        <v>270</v>
      </c>
      <c r="M1033" s="59"/>
    </row>
    <row r="1034" spans="6:13" hidden="1" x14ac:dyDescent="0.4">
      <c r="F1034" s="218">
        <v>1033</v>
      </c>
      <c r="G1034" s="85" t="s">
        <v>254</v>
      </c>
      <c r="H1034" s="85"/>
      <c r="I1034" s="85"/>
      <c r="J1034" s="85" t="s">
        <v>258</v>
      </c>
      <c r="K1034" s="85">
        <v>384</v>
      </c>
      <c r="L1034" s="59" t="s">
        <v>270</v>
      </c>
      <c r="M1034" s="59"/>
    </row>
    <row r="1035" spans="6:13" hidden="1" x14ac:dyDescent="0.4">
      <c r="F1035" s="218">
        <v>1034</v>
      </c>
      <c r="G1035" s="85" t="s">
        <v>254</v>
      </c>
      <c r="H1035" s="85"/>
      <c r="I1035" s="85"/>
      <c r="J1035" s="85" t="s">
        <v>257</v>
      </c>
      <c r="K1035" s="85">
        <v>1372</v>
      </c>
      <c r="L1035" s="59" t="s">
        <v>264</v>
      </c>
      <c r="M1035" s="59"/>
    </row>
    <row r="1036" spans="6:13" hidden="1" x14ac:dyDescent="0.4">
      <c r="F1036" s="218">
        <v>1035</v>
      </c>
      <c r="G1036" s="85" t="s">
        <v>253</v>
      </c>
      <c r="H1036" s="85" t="s">
        <v>248</v>
      </c>
      <c r="I1036" s="85" t="s">
        <v>248</v>
      </c>
      <c r="J1036" s="85" t="s">
        <v>258</v>
      </c>
      <c r="K1036" s="85" t="s">
        <v>253</v>
      </c>
      <c r="L1036" s="59" t="s">
        <v>270</v>
      </c>
      <c r="M1036" s="59"/>
    </row>
    <row r="1037" spans="6:13" hidden="1" x14ac:dyDescent="0.4">
      <c r="F1037" s="218">
        <v>1036</v>
      </c>
      <c r="G1037" s="85" t="s">
        <v>254</v>
      </c>
      <c r="H1037" s="85"/>
      <c r="I1037" s="85"/>
      <c r="J1037" s="85" t="s">
        <v>257</v>
      </c>
      <c r="K1037" s="85">
        <v>1232</v>
      </c>
      <c r="L1037" s="59" t="s">
        <v>262</v>
      </c>
      <c r="M1037" s="59"/>
    </row>
    <row r="1038" spans="6:13" hidden="1" x14ac:dyDescent="0.4">
      <c r="F1038" s="218">
        <v>1037</v>
      </c>
      <c r="G1038" s="85" t="s">
        <v>254</v>
      </c>
      <c r="H1038" s="85"/>
      <c r="I1038" s="85"/>
      <c r="J1038" s="85" t="s">
        <v>258</v>
      </c>
      <c r="K1038" s="85">
        <v>322</v>
      </c>
      <c r="L1038" s="59" t="s">
        <v>270</v>
      </c>
      <c r="M1038" s="59"/>
    </row>
    <row r="1039" spans="6:13" hidden="1" x14ac:dyDescent="0.4">
      <c r="F1039" s="218">
        <v>1038</v>
      </c>
      <c r="G1039" s="85" t="s">
        <v>254</v>
      </c>
      <c r="H1039" s="85"/>
      <c r="I1039" s="85"/>
      <c r="J1039" s="85" t="s">
        <v>258</v>
      </c>
      <c r="K1039" s="85">
        <v>355</v>
      </c>
      <c r="L1039" s="59" t="s">
        <v>270</v>
      </c>
      <c r="M1039" s="59"/>
    </row>
    <row r="1040" spans="6:13" hidden="1" x14ac:dyDescent="0.4">
      <c r="F1040" s="218">
        <v>1039</v>
      </c>
      <c r="G1040" s="85" t="s">
        <v>254</v>
      </c>
      <c r="H1040" s="85"/>
      <c r="I1040" s="85"/>
      <c r="J1040" s="85" t="s">
        <v>258</v>
      </c>
      <c r="K1040" s="85">
        <v>265</v>
      </c>
      <c r="L1040" s="59" t="s">
        <v>270</v>
      </c>
      <c r="M1040" s="59"/>
    </row>
    <row r="1041" spans="6:13" hidden="1" x14ac:dyDescent="0.4">
      <c r="F1041" s="218">
        <v>1040</v>
      </c>
      <c r="G1041" s="85" t="s">
        <v>254</v>
      </c>
      <c r="H1041" s="85"/>
      <c r="I1041" s="85"/>
      <c r="J1041" s="85" t="s">
        <v>258</v>
      </c>
      <c r="K1041" s="85">
        <v>387</v>
      </c>
      <c r="L1041" s="59" t="s">
        <v>270</v>
      </c>
      <c r="M1041" s="59"/>
    </row>
    <row r="1042" spans="6:13" hidden="1" x14ac:dyDescent="0.4">
      <c r="F1042" s="218">
        <v>1041</v>
      </c>
      <c r="G1042" s="85" t="s">
        <v>473</v>
      </c>
      <c r="H1042" s="85"/>
      <c r="I1042" s="85"/>
      <c r="J1042" s="85" t="s">
        <v>258</v>
      </c>
      <c r="K1042" s="85">
        <v>145</v>
      </c>
      <c r="L1042" s="59" t="s">
        <v>270</v>
      </c>
      <c r="M1042" s="59"/>
    </row>
    <row r="1043" spans="6:13" hidden="1" x14ac:dyDescent="0.4">
      <c r="F1043" s="218">
        <v>1042</v>
      </c>
      <c r="G1043" s="85" t="s">
        <v>473</v>
      </c>
      <c r="H1043" s="85"/>
      <c r="I1043" s="85"/>
      <c r="J1043" s="85" t="s">
        <v>258</v>
      </c>
      <c r="K1043" s="85">
        <v>145</v>
      </c>
      <c r="L1043" s="59" t="s">
        <v>270</v>
      </c>
      <c r="M1043" s="59"/>
    </row>
    <row r="1044" spans="6:13" hidden="1" x14ac:dyDescent="0.4">
      <c r="F1044" s="218">
        <v>1043</v>
      </c>
      <c r="G1044" s="85" t="s">
        <v>473</v>
      </c>
      <c r="H1044" s="85" t="s">
        <v>185</v>
      </c>
      <c r="I1044" s="85" t="s">
        <v>599</v>
      </c>
      <c r="J1044" s="85" t="s">
        <v>258</v>
      </c>
      <c r="K1044" s="85">
        <v>145</v>
      </c>
      <c r="L1044" s="59" t="s">
        <v>270</v>
      </c>
      <c r="M1044" s="59"/>
    </row>
    <row r="1045" spans="6:13" hidden="1" x14ac:dyDescent="0.4">
      <c r="F1045" s="218">
        <v>1044</v>
      </c>
      <c r="G1045" s="85" t="s">
        <v>473</v>
      </c>
      <c r="H1045" s="85"/>
      <c r="I1045" s="85"/>
      <c r="J1045" s="85" t="s">
        <v>257</v>
      </c>
      <c r="K1045" s="85">
        <v>1373</v>
      </c>
      <c r="L1045" s="59" t="s">
        <v>264</v>
      </c>
      <c r="M1045" s="59"/>
    </row>
    <row r="1046" spans="6:13" hidden="1" x14ac:dyDescent="0.4">
      <c r="F1046" s="218">
        <v>1045</v>
      </c>
      <c r="G1046" s="85" t="s">
        <v>473</v>
      </c>
      <c r="H1046" s="85"/>
      <c r="I1046" s="85"/>
      <c r="J1046" s="85" t="s">
        <v>258</v>
      </c>
      <c r="K1046" s="85">
        <v>389</v>
      </c>
      <c r="L1046" s="59" t="s">
        <v>270</v>
      </c>
      <c r="M1046" s="59"/>
    </row>
    <row r="1047" spans="6:13" hidden="1" x14ac:dyDescent="0.4">
      <c r="F1047" s="218">
        <v>1046</v>
      </c>
      <c r="G1047" s="85" t="s">
        <v>473</v>
      </c>
      <c r="H1047" s="85"/>
      <c r="I1047" s="85"/>
      <c r="J1047" s="85" t="s">
        <v>257</v>
      </c>
      <c r="K1047" s="85">
        <v>1199</v>
      </c>
      <c r="L1047" s="59" t="s">
        <v>262</v>
      </c>
      <c r="M1047" s="59"/>
    </row>
    <row r="1048" spans="6:13" hidden="1" x14ac:dyDescent="0.4">
      <c r="F1048" s="218">
        <v>1047</v>
      </c>
      <c r="G1048" s="85" t="s">
        <v>473</v>
      </c>
      <c r="H1048" s="85"/>
      <c r="I1048" s="85"/>
      <c r="J1048" s="85" t="s">
        <v>257</v>
      </c>
      <c r="K1048" s="85">
        <v>1199</v>
      </c>
      <c r="L1048" s="59" t="s">
        <v>262</v>
      </c>
      <c r="M1048" s="59"/>
    </row>
    <row r="1049" spans="6:13" hidden="1" x14ac:dyDescent="0.4">
      <c r="F1049" s="218">
        <v>1048</v>
      </c>
      <c r="G1049" s="85" t="s">
        <v>473</v>
      </c>
      <c r="H1049" s="85" t="s">
        <v>185</v>
      </c>
      <c r="I1049" s="85" t="s">
        <v>599</v>
      </c>
      <c r="J1049" s="85" t="s">
        <v>257</v>
      </c>
      <c r="K1049" s="85">
        <v>1199</v>
      </c>
      <c r="L1049" s="59" t="s">
        <v>262</v>
      </c>
      <c r="M1049" s="59"/>
    </row>
    <row r="1050" spans="6:13" hidden="1" x14ac:dyDescent="0.4">
      <c r="F1050" s="218">
        <v>1049</v>
      </c>
      <c r="G1050" s="85" t="s">
        <v>473</v>
      </c>
      <c r="H1050" s="85"/>
      <c r="I1050" s="85"/>
      <c r="J1050" s="85" t="s">
        <v>257</v>
      </c>
      <c r="K1050" s="85">
        <v>1214</v>
      </c>
      <c r="L1050" s="59" t="s">
        <v>262</v>
      </c>
      <c r="M1050" s="59"/>
    </row>
    <row r="1051" spans="6:13" hidden="1" x14ac:dyDescent="0.4">
      <c r="F1051" s="218">
        <v>1050</v>
      </c>
      <c r="G1051" s="85" t="s">
        <v>473</v>
      </c>
      <c r="H1051" s="85"/>
      <c r="I1051" s="85"/>
      <c r="J1051" s="85" t="s">
        <v>258</v>
      </c>
      <c r="K1051" s="85">
        <v>420</v>
      </c>
      <c r="L1051" s="59" t="s">
        <v>270</v>
      </c>
      <c r="M1051" s="59"/>
    </row>
    <row r="1052" spans="6:13" hidden="1" x14ac:dyDescent="0.4">
      <c r="F1052" s="218">
        <v>1051</v>
      </c>
      <c r="G1052" s="85" t="s">
        <v>473</v>
      </c>
      <c r="H1052" s="85"/>
      <c r="I1052" s="85"/>
      <c r="J1052" s="85" t="s">
        <v>258</v>
      </c>
      <c r="K1052" s="85">
        <v>389</v>
      </c>
      <c r="L1052" s="59" t="s">
        <v>270</v>
      </c>
      <c r="M1052" s="59"/>
    </row>
    <row r="1053" spans="6:13" hidden="1" x14ac:dyDescent="0.4">
      <c r="F1053" s="218">
        <v>1052</v>
      </c>
      <c r="G1053" s="85" t="s">
        <v>473</v>
      </c>
      <c r="H1053" s="85"/>
      <c r="I1053" s="85"/>
      <c r="J1053" s="85" t="s">
        <v>258</v>
      </c>
      <c r="K1053" s="85">
        <v>570</v>
      </c>
      <c r="L1053" s="59" t="s">
        <v>265</v>
      </c>
      <c r="M1053" s="59"/>
    </row>
    <row r="1054" spans="6:13" hidden="1" x14ac:dyDescent="0.4">
      <c r="F1054" s="218">
        <v>1053</v>
      </c>
      <c r="G1054" s="85" t="s">
        <v>473</v>
      </c>
      <c r="H1054" s="85"/>
      <c r="I1054" s="85"/>
      <c r="J1054" s="85" t="s">
        <v>258</v>
      </c>
      <c r="K1054" s="85">
        <v>451</v>
      </c>
      <c r="L1054" s="59" t="s">
        <v>270</v>
      </c>
      <c r="M1054" s="59"/>
    </row>
    <row r="1055" spans="6:13" hidden="1" x14ac:dyDescent="0.4">
      <c r="F1055" s="218">
        <v>1054</v>
      </c>
      <c r="G1055" s="85" t="s">
        <v>473</v>
      </c>
      <c r="H1055" s="85"/>
      <c r="I1055" s="85"/>
      <c r="J1055" s="85" t="s">
        <v>258</v>
      </c>
      <c r="K1055" s="85">
        <v>422</v>
      </c>
      <c r="L1055" s="59" t="s">
        <v>270</v>
      </c>
      <c r="M1055" s="59"/>
    </row>
    <row r="1056" spans="6:13" hidden="1" x14ac:dyDescent="0.4">
      <c r="F1056" s="218">
        <v>1055</v>
      </c>
      <c r="G1056" s="85" t="s">
        <v>473</v>
      </c>
      <c r="H1056" s="85"/>
      <c r="I1056" s="85"/>
      <c r="J1056" s="85" t="s">
        <v>258</v>
      </c>
      <c r="K1056" s="85">
        <v>572</v>
      </c>
      <c r="L1056" s="59" t="s">
        <v>265</v>
      </c>
      <c r="M1056" s="59"/>
    </row>
    <row r="1057" spans="6:13" hidden="1" x14ac:dyDescent="0.4">
      <c r="F1057" s="218">
        <v>1056</v>
      </c>
      <c r="G1057" s="85" t="s">
        <v>473</v>
      </c>
      <c r="H1057" s="85"/>
      <c r="I1057" s="85"/>
      <c r="J1057" s="85" t="s">
        <v>258</v>
      </c>
      <c r="K1057" s="85">
        <v>391</v>
      </c>
      <c r="L1057" s="59" t="s">
        <v>270</v>
      </c>
      <c r="M1057" s="59"/>
    </row>
    <row r="1058" spans="6:13" hidden="1" x14ac:dyDescent="0.4">
      <c r="F1058" s="218">
        <v>1057</v>
      </c>
      <c r="G1058" s="85" t="s">
        <v>473</v>
      </c>
      <c r="H1058" s="85"/>
      <c r="I1058" s="85"/>
      <c r="J1058" s="85" t="s">
        <v>258</v>
      </c>
      <c r="K1058" s="85">
        <v>391</v>
      </c>
      <c r="L1058" s="59" t="s">
        <v>270</v>
      </c>
      <c r="M1058" s="59"/>
    </row>
    <row r="1059" spans="6:13" hidden="1" x14ac:dyDescent="0.4">
      <c r="F1059" s="218">
        <v>1058</v>
      </c>
      <c r="G1059" s="85" t="s">
        <v>473</v>
      </c>
      <c r="H1059" s="85"/>
      <c r="I1059" s="85"/>
      <c r="J1059" s="85" t="s">
        <v>258</v>
      </c>
      <c r="K1059" s="85">
        <v>545</v>
      </c>
      <c r="L1059" s="59" t="s">
        <v>265</v>
      </c>
      <c r="M1059" s="59"/>
    </row>
    <row r="1060" spans="6:13" hidden="1" x14ac:dyDescent="0.4">
      <c r="F1060" s="218">
        <v>1059</v>
      </c>
      <c r="G1060" s="85" t="s">
        <v>473</v>
      </c>
      <c r="H1060" s="85"/>
      <c r="I1060" s="85"/>
      <c r="J1060" s="85" t="s">
        <v>258</v>
      </c>
      <c r="K1060" s="85">
        <v>268</v>
      </c>
      <c r="L1060" s="59" t="s">
        <v>270</v>
      </c>
      <c r="M1060" s="59"/>
    </row>
    <row r="1061" spans="6:13" hidden="1" x14ac:dyDescent="0.4">
      <c r="F1061" s="218">
        <v>1060</v>
      </c>
      <c r="G1061" s="85" t="s">
        <v>473</v>
      </c>
      <c r="H1061" s="85"/>
      <c r="I1061" s="85"/>
      <c r="J1061" s="85" t="s">
        <v>257</v>
      </c>
      <c r="K1061" s="85">
        <v>1155</v>
      </c>
      <c r="L1061" s="59" t="s">
        <v>262</v>
      </c>
      <c r="M1061" s="59"/>
    </row>
    <row r="1062" spans="6:13" hidden="1" x14ac:dyDescent="0.4">
      <c r="F1062" s="218">
        <v>1061</v>
      </c>
      <c r="G1062" s="85" t="s">
        <v>253</v>
      </c>
      <c r="H1062" s="85" t="s">
        <v>248</v>
      </c>
      <c r="I1062" s="85" t="s">
        <v>248</v>
      </c>
      <c r="J1062" s="85" t="s">
        <v>257</v>
      </c>
      <c r="K1062" s="85" t="s">
        <v>253</v>
      </c>
      <c r="L1062" s="59" t="s">
        <v>262</v>
      </c>
      <c r="M1062" s="59"/>
    </row>
    <row r="1063" spans="6:13" hidden="1" x14ac:dyDescent="0.4">
      <c r="F1063" s="218">
        <v>1062</v>
      </c>
      <c r="G1063" s="85" t="s">
        <v>473</v>
      </c>
      <c r="H1063" s="85"/>
      <c r="I1063" s="85"/>
      <c r="J1063" s="85" t="s">
        <v>257</v>
      </c>
      <c r="K1063" s="85">
        <v>1158</v>
      </c>
      <c r="L1063" s="59" t="s">
        <v>262</v>
      </c>
      <c r="M1063" s="59"/>
    </row>
    <row r="1064" spans="6:13" hidden="1" x14ac:dyDescent="0.4">
      <c r="F1064" s="218">
        <v>1063</v>
      </c>
      <c r="G1064" s="85" t="s">
        <v>473</v>
      </c>
      <c r="H1064" s="85"/>
      <c r="I1064" s="85"/>
      <c r="J1064" s="85" t="s">
        <v>257</v>
      </c>
      <c r="K1064" s="85">
        <v>1158</v>
      </c>
      <c r="L1064" s="59" t="s">
        <v>262</v>
      </c>
      <c r="M1064" s="59"/>
    </row>
    <row r="1065" spans="6:13" hidden="1" x14ac:dyDescent="0.4">
      <c r="F1065" s="218">
        <v>1064</v>
      </c>
      <c r="G1065" s="85" t="s">
        <v>473</v>
      </c>
      <c r="H1065" s="85"/>
      <c r="I1065" s="85"/>
      <c r="J1065" s="85" t="s">
        <v>188</v>
      </c>
      <c r="K1065" s="85" t="s">
        <v>253</v>
      </c>
      <c r="L1065" s="59" t="s">
        <v>263</v>
      </c>
      <c r="M1065" s="59"/>
    </row>
    <row r="1066" spans="6:13" hidden="1" x14ac:dyDescent="0.4">
      <c r="F1066" s="218">
        <v>1065</v>
      </c>
      <c r="G1066" s="85" t="s">
        <v>473</v>
      </c>
      <c r="H1066" s="85"/>
      <c r="I1066" s="85"/>
      <c r="J1066" s="85" t="s">
        <v>258</v>
      </c>
      <c r="K1066" s="85">
        <v>574</v>
      </c>
      <c r="L1066" s="59" t="s">
        <v>265</v>
      </c>
      <c r="M1066" s="59"/>
    </row>
    <row r="1067" spans="6:13" hidden="1" x14ac:dyDescent="0.4">
      <c r="F1067" s="218">
        <v>1066</v>
      </c>
      <c r="G1067" s="85" t="s">
        <v>473</v>
      </c>
      <c r="H1067" s="85"/>
      <c r="I1067" s="85"/>
      <c r="J1067" s="85" t="s">
        <v>258</v>
      </c>
      <c r="K1067" s="85">
        <v>363</v>
      </c>
      <c r="L1067" s="59" t="s">
        <v>270</v>
      </c>
      <c r="M1067" s="59"/>
    </row>
    <row r="1068" spans="6:13" hidden="1" x14ac:dyDescent="0.4">
      <c r="F1068" s="218">
        <v>1067</v>
      </c>
      <c r="G1068" s="85" t="s">
        <v>473</v>
      </c>
      <c r="H1068" s="85"/>
      <c r="I1068" s="85"/>
      <c r="J1068" s="85" t="s">
        <v>258</v>
      </c>
      <c r="K1068" s="85">
        <v>548</v>
      </c>
      <c r="L1068" s="59" t="s">
        <v>265</v>
      </c>
      <c r="M1068" s="59"/>
    </row>
    <row r="1069" spans="6:13" hidden="1" x14ac:dyDescent="0.4">
      <c r="F1069" s="218">
        <v>1068</v>
      </c>
      <c r="G1069" s="85" t="s">
        <v>473</v>
      </c>
      <c r="H1069" s="85"/>
      <c r="I1069" s="85"/>
      <c r="J1069" s="85" t="s">
        <v>258</v>
      </c>
      <c r="K1069" s="85">
        <v>548</v>
      </c>
      <c r="L1069" s="59" t="s">
        <v>265</v>
      </c>
      <c r="M1069" s="59"/>
    </row>
    <row r="1070" spans="6:13" hidden="1" x14ac:dyDescent="0.4">
      <c r="F1070" s="218">
        <v>1069</v>
      </c>
      <c r="G1070" s="85" t="s">
        <v>473</v>
      </c>
      <c r="H1070" s="85"/>
      <c r="I1070" s="85"/>
      <c r="J1070" s="85" t="s">
        <v>258</v>
      </c>
      <c r="K1070" s="85">
        <v>548</v>
      </c>
      <c r="L1070" s="59" t="s">
        <v>265</v>
      </c>
      <c r="M1070" s="59"/>
    </row>
    <row r="1071" spans="6:13" hidden="1" x14ac:dyDescent="0.4">
      <c r="F1071" s="218">
        <v>1070</v>
      </c>
      <c r="G1071" s="85" t="s">
        <v>473</v>
      </c>
      <c r="H1071" s="85"/>
      <c r="I1071" s="85"/>
      <c r="J1071" s="85" t="s">
        <v>258</v>
      </c>
      <c r="K1071" s="85">
        <v>548</v>
      </c>
      <c r="L1071" s="59" t="s">
        <v>265</v>
      </c>
      <c r="M1071" s="59"/>
    </row>
    <row r="1072" spans="6:13" hidden="1" x14ac:dyDescent="0.4">
      <c r="F1072" s="218">
        <v>1071</v>
      </c>
      <c r="G1072" s="85" t="s">
        <v>473</v>
      </c>
      <c r="H1072" s="85"/>
      <c r="I1072" s="85"/>
      <c r="J1072" s="85" t="s">
        <v>258</v>
      </c>
      <c r="K1072" s="85">
        <v>456</v>
      </c>
      <c r="L1072" s="59" t="s">
        <v>269</v>
      </c>
      <c r="M1072" s="59"/>
    </row>
    <row r="1073" spans="6:13" hidden="1" x14ac:dyDescent="0.4">
      <c r="F1073" s="218">
        <v>1072</v>
      </c>
      <c r="G1073" s="85" t="s">
        <v>473</v>
      </c>
      <c r="H1073" s="85"/>
      <c r="I1073" s="85"/>
      <c r="J1073" s="85" t="s">
        <v>257</v>
      </c>
      <c r="K1073" s="85">
        <v>1160</v>
      </c>
      <c r="L1073" s="59" t="s">
        <v>262</v>
      </c>
      <c r="M1073" s="59"/>
    </row>
    <row r="1074" spans="6:13" hidden="1" x14ac:dyDescent="0.4">
      <c r="F1074" s="218">
        <v>1073</v>
      </c>
      <c r="G1074" s="85" t="s">
        <v>473</v>
      </c>
      <c r="H1074" s="85"/>
      <c r="I1074" s="85"/>
      <c r="J1074" s="85" t="s">
        <v>258</v>
      </c>
      <c r="K1074" s="85">
        <v>426</v>
      </c>
      <c r="L1074" s="59" t="s">
        <v>270</v>
      </c>
      <c r="M1074" s="59"/>
    </row>
    <row r="1075" spans="6:13" hidden="1" x14ac:dyDescent="0.4">
      <c r="F1075" s="218">
        <v>1074</v>
      </c>
      <c r="G1075" s="85" t="s">
        <v>473</v>
      </c>
      <c r="H1075" s="85"/>
      <c r="I1075" s="85"/>
      <c r="J1075" s="85" t="s">
        <v>257</v>
      </c>
      <c r="K1075" s="85">
        <v>1195</v>
      </c>
      <c r="L1075" s="59" t="s">
        <v>262</v>
      </c>
      <c r="M1075" s="59"/>
    </row>
  </sheetData>
  <autoFilter ref="F1:M1075">
    <filterColumn colId="1">
      <filters>
        <filter val="완료"/>
      </filters>
    </filterColumn>
    <filterColumn colId="2">
      <filters>
        <filter val="S/W불량"/>
      </filters>
    </filterColumn>
    <filterColumn colId="3">
      <filters>
        <filter val="TCMS"/>
      </filters>
    </filterColumn>
  </autoFilter>
  <mergeCells count="2">
    <mergeCell ref="N1:U1"/>
    <mergeCell ref="N3:T4"/>
  </mergeCells>
  <phoneticPr fontId="3" type="noConversion"/>
  <dataValidations count="1">
    <dataValidation type="list" allowBlank="1" showInputMessage="1" showErrorMessage="1" sqref="H827 H733:H734">
      <formula1>"단품불량, S/W불량, 설계불량, 휴먼에러, 삭제, 기타"</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J10"/>
  <sheetViews>
    <sheetView workbookViewId="0">
      <selection activeCell="E28" sqref="E28"/>
    </sheetView>
  </sheetViews>
  <sheetFormatPr defaultRowHeight="17.399999999999999" x14ac:dyDescent="0.4"/>
  <cols>
    <col min="3" max="4" width="11.09765625" customWidth="1"/>
    <col min="5" max="5" width="10" bestFit="1" customWidth="1"/>
    <col min="6" max="10" width="9.09765625" customWidth="1"/>
  </cols>
  <sheetData>
    <row r="5" spans="3:10" ht="12" customHeight="1" x14ac:dyDescent="0.4">
      <c r="C5" s="387" t="s">
        <v>19</v>
      </c>
      <c r="D5" s="387"/>
      <c r="E5" s="391" t="s">
        <v>21</v>
      </c>
      <c r="F5" s="387"/>
      <c r="G5" s="387"/>
      <c r="H5" s="387"/>
      <c r="I5" s="387"/>
      <c r="J5" s="387"/>
    </row>
    <row r="6" spans="3:10" ht="12" customHeight="1" x14ac:dyDescent="0.4">
      <c r="C6" s="388"/>
      <c r="D6" s="388"/>
      <c r="E6" s="392"/>
      <c r="F6" s="388"/>
      <c r="G6" s="388"/>
      <c r="H6" s="388"/>
      <c r="I6" s="388"/>
      <c r="J6" s="388"/>
    </row>
    <row r="7" spans="3:10" ht="12" customHeight="1" x14ac:dyDescent="0.4">
      <c r="C7" s="388"/>
      <c r="D7" s="388"/>
      <c r="E7" s="392"/>
      <c r="F7" s="388"/>
      <c r="G7" s="388"/>
      <c r="H7" s="388"/>
      <c r="I7" s="388"/>
      <c r="J7" s="388"/>
    </row>
    <row r="8" spans="3:10" ht="17.25" customHeight="1" x14ac:dyDescent="0.4">
      <c r="C8" s="372" t="s">
        <v>191</v>
      </c>
      <c r="D8" s="373" t="s">
        <v>163</v>
      </c>
      <c r="E8" s="371"/>
      <c r="F8" s="369" t="s">
        <v>460</v>
      </c>
      <c r="G8" s="369" t="s">
        <v>458</v>
      </c>
      <c r="H8" s="370" t="s">
        <v>18</v>
      </c>
      <c r="I8" s="369" t="s">
        <v>16</v>
      </c>
      <c r="J8" s="369" t="s">
        <v>699</v>
      </c>
    </row>
    <row r="9" spans="3:10" ht="33.75" customHeight="1" x14ac:dyDescent="0.4">
      <c r="C9" s="389">
        <v>1133</v>
      </c>
      <c r="D9" s="389">
        <v>132</v>
      </c>
      <c r="E9" s="393">
        <v>1001</v>
      </c>
      <c r="F9" s="395">
        <v>187</v>
      </c>
      <c r="G9" s="385">
        <v>593</v>
      </c>
      <c r="H9" s="385">
        <v>148</v>
      </c>
      <c r="I9" s="395">
        <v>39</v>
      </c>
      <c r="J9" s="395">
        <v>34</v>
      </c>
    </row>
    <row r="10" spans="3:10" ht="26.25" customHeight="1" x14ac:dyDescent="0.4">
      <c r="C10" s="390"/>
      <c r="D10" s="390"/>
      <c r="E10" s="394"/>
      <c r="F10" s="396"/>
      <c r="G10" s="386"/>
      <c r="H10" s="386"/>
      <c r="I10" s="396"/>
      <c r="J10" s="396"/>
    </row>
  </sheetData>
  <mergeCells count="10">
    <mergeCell ref="G9:G10"/>
    <mergeCell ref="C5:D7"/>
    <mergeCell ref="C9:C10"/>
    <mergeCell ref="D9:D10"/>
    <mergeCell ref="E5:J7"/>
    <mergeCell ref="E9:E10"/>
    <mergeCell ref="F9:F10"/>
    <mergeCell ref="H9:H10"/>
    <mergeCell ref="J9:J10"/>
    <mergeCell ref="I9:I10"/>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J46"/>
  <sheetViews>
    <sheetView tabSelected="1" view="pageBreakPreview" zoomScale="85" zoomScaleNormal="70" zoomScaleSheetLayoutView="85" workbookViewId="0">
      <pane xSplit="3" ySplit="4" topLeftCell="BA5" activePane="bottomRight" state="frozen"/>
      <selection pane="topRight" activeCell="D1" sqref="D1"/>
      <selection pane="bottomLeft" activeCell="A5" sqref="A5"/>
      <selection pane="bottomRight" activeCell="CW5" sqref="CW5"/>
    </sheetView>
  </sheetViews>
  <sheetFormatPr defaultColWidth="9" defaultRowHeight="10.8" outlineLevelCol="1" x14ac:dyDescent="0.4"/>
  <cols>
    <col min="1" max="1" width="6.59765625" style="48" customWidth="1"/>
    <col min="2" max="3" width="14.19921875" style="181" hidden="1" customWidth="1" outlineLevel="1"/>
    <col min="4" max="4" width="5.69921875" style="48" customWidth="1" collapsed="1"/>
    <col min="5" max="5" width="2.5" style="48" customWidth="1"/>
    <col min="6" max="6" width="2.59765625" style="48" customWidth="1"/>
    <col min="7" max="7" width="8.59765625" style="48" customWidth="1"/>
    <col min="8" max="8" width="8.59765625" style="48" hidden="1" customWidth="1"/>
    <col min="9" max="9" width="15.09765625" style="48" customWidth="1"/>
    <col min="10" max="10" width="12.59765625" style="48" customWidth="1"/>
    <col min="11" max="11" width="11.69921875" style="48" customWidth="1"/>
    <col min="12" max="12" width="17.09765625" style="48" customWidth="1"/>
    <col min="13" max="13" width="6.8984375" style="48" customWidth="1"/>
    <col min="14" max="16" width="9.59765625" style="48" customWidth="1"/>
    <col min="17" max="17" width="58.09765625" style="47" customWidth="1"/>
    <col min="18" max="18" width="56.19921875" style="48" customWidth="1"/>
    <col min="19" max="19" width="26.19921875" style="48" hidden="1" customWidth="1" outlineLevel="1"/>
    <col min="20" max="20" width="10.09765625" style="88" customWidth="1" collapsed="1"/>
    <col min="21" max="21" width="10.09765625" style="88" hidden="1" customWidth="1"/>
    <col min="22" max="22" width="10.09765625" style="88" customWidth="1"/>
    <col min="23" max="23" width="74" style="48" customWidth="1"/>
    <col min="24" max="24" width="70.09765625" style="48" customWidth="1"/>
    <col min="25" max="26" width="8.59765625" style="58" hidden="1" customWidth="1" outlineLevel="1"/>
    <col min="27" max="27" width="10.69921875" style="58" hidden="1" customWidth="1" outlineLevel="1"/>
    <col min="28" max="28" width="11.8984375" style="58" customWidth="1" collapsed="1"/>
    <col min="29" max="29" width="11.8984375" style="58" customWidth="1"/>
    <col min="30" max="30" width="14.09765625" style="58" customWidth="1"/>
    <col min="31" max="32" width="12.19921875" style="58" customWidth="1"/>
    <col min="33" max="33" width="25.8984375" style="48" customWidth="1"/>
    <col min="34" max="34" width="16.3984375" style="48" customWidth="1"/>
    <col min="35" max="35" width="24.3984375" style="48" customWidth="1"/>
    <col min="36" max="37" width="22.69921875" style="48" customWidth="1"/>
    <col min="38" max="38" width="26.8984375" style="48" hidden="1" customWidth="1" outlineLevel="1"/>
    <col min="39" max="39" width="22.69921875" style="48" hidden="1" customWidth="1" outlineLevel="1"/>
    <col min="40" max="40" width="23.3984375" style="48" hidden="1" customWidth="1" outlineLevel="1"/>
    <col min="41" max="41" width="29.09765625" style="48" hidden="1" customWidth="1" outlineLevel="1"/>
    <col min="42" max="42" width="15.69921875" style="48" customWidth="1" collapsed="1"/>
    <col min="43" max="43" width="22.69921875" style="48" customWidth="1"/>
    <col min="44" max="44" width="34.59765625" style="48" customWidth="1"/>
    <col min="45" max="45" width="9.59765625" style="48" customWidth="1"/>
    <col min="46" max="47" width="11.5" style="48" customWidth="1"/>
    <col min="48" max="48" width="11.5" style="48" hidden="1" customWidth="1"/>
    <col min="49" max="49" width="12.59765625" style="48" hidden="1" customWidth="1" outlineLevel="1"/>
    <col min="50" max="50" width="13.3984375" style="48" hidden="1" customWidth="1" outlineLevel="1"/>
    <col min="51" max="51" width="11.5" style="48" customWidth="1" collapsed="1"/>
    <col min="52" max="52" width="6.09765625" style="48" customWidth="1"/>
    <col min="53" max="54" width="13.5" style="58" customWidth="1"/>
    <col min="55" max="55" width="5.59765625" style="58" customWidth="1"/>
    <col min="56" max="56" width="7.59765625" style="58" customWidth="1"/>
    <col min="57" max="58" width="13.5" style="58" customWidth="1"/>
    <col min="59" max="59" width="5.59765625" style="58" customWidth="1"/>
    <col min="60" max="61" width="13.5" style="58" customWidth="1"/>
    <col min="62" max="63" width="5.59765625" style="58" customWidth="1"/>
    <col min="64" max="65" width="13.5" style="58" customWidth="1"/>
    <col min="66" max="66" width="5.59765625" style="58" customWidth="1"/>
    <col min="67" max="67" width="7.59765625" style="58" customWidth="1"/>
    <col min="68" max="99" width="8.09765625" style="58" hidden="1" customWidth="1" outlineLevel="1"/>
    <col min="100" max="100" width="16.69921875" style="48" customWidth="1" collapsed="1"/>
    <col min="101" max="101" width="16.69921875" style="48" customWidth="1"/>
    <col min="102" max="102" width="11.3984375" style="48" customWidth="1"/>
    <col min="103" max="105" width="10.8984375" style="48" customWidth="1"/>
    <col min="106" max="107" width="11.5" style="48" customWidth="1"/>
    <col min="108" max="111" width="10.8984375" style="48" customWidth="1"/>
    <col min="112" max="113" width="12.5" style="48" customWidth="1"/>
    <col min="114" max="114" width="16.69921875" style="48" hidden="1" customWidth="1"/>
    <col min="115" max="16384" width="9" style="47"/>
  </cols>
  <sheetData>
    <row r="1" spans="1:114" s="5" customFormat="1" ht="33.75" hidden="1" customHeight="1" x14ac:dyDescent="0.4">
      <c r="A1" s="430" t="s">
        <v>82</v>
      </c>
      <c r="B1" s="431"/>
      <c r="C1" s="431"/>
      <c r="D1" s="431"/>
      <c r="E1" s="431"/>
      <c r="F1" s="431"/>
      <c r="G1" s="431"/>
      <c r="H1" s="431"/>
      <c r="I1" s="430"/>
      <c r="J1" s="430"/>
      <c r="K1" s="431"/>
      <c r="L1" s="430"/>
      <c r="M1" s="430"/>
      <c r="N1" s="430"/>
      <c r="O1" s="430"/>
      <c r="P1" s="430"/>
      <c r="Q1" s="430"/>
      <c r="R1" s="430"/>
      <c r="S1" s="430"/>
      <c r="T1" s="430"/>
      <c r="U1" s="430"/>
      <c r="V1" s="430"/>
      <c r="W1" s="430"/>
      <c r="X1" s="431"/>
      <c r="Y1" s="430"/>
      <c r="Z1" s="430"/>
      <c r="AA1" s="430"/>
      <c r="AB1" s="430"/>
      <c r="AC1" s="430"/>
      <c r="AD1" s="430"/>
      <c r="AE1" s="431"/>
      <c r="AF1" s="431"/>
      <c r="AG1" s="430"/>
      <c r="AH1" s="430"/>
      <c r="AI1" s="430"/>
      <c r="AJ1" s="430"/>
      <c r="AK1" s="430"/>
      <c r="AL1" s="430"/>
      <c r="AM1" s="430"/>
      <c r="AN1" s="430"/>
      <c r="AO1" s="430"/>
      <c r="AP1" s="430"/>
      <c r="AQ1" s="430"/>
      <c r="AR1" s="430"/>
      <c r="AS1" s="430"/>
      <c r="AT1" s="430"/>
      <c r="AU1" s="430"/>
      <c r="AV1" s="430"/>
      <c r="AW1" s="430"/>
      <c r="AX1" s="430"/>
      <c r="AY1" s="430"/>
      <c r="AZ1" s="430"/>
      <c r="BA1" s="430"/>
      <c r="BB1" s="430"/>
      <c r="BC1" s="430"/>
      <c r="BD1" s="430"/>
      <c r="BE1" s="430"/>
      <c r="BF1" s="430"/>
      <c r="BG1" s="430"/>
      <c r="BH1" s="430"/>
      <c r="BI1" s="430"/>
      <c r="BJ1" s="430"/>
      <c r="BK1" s="430"/>
      <c r="BL1" s="430"/>
      <c r="BM1" s="430"/>
      <c r="BN1" s="430"/>
      <c r="BO1" s="430"/>
      <c r="BP1" s="430"/>
      <c r="BQ1" s="430"/>
      <c r="BR1" s="430"/>
      <c r="BS1" s="430"/>
      <c r="BT1" s="430"/>
      <c r="BU1" s="430"/>
      <c r="BV1" s="430"/>
      <c r="BW1" s="430"/>
      <c r="BX1" s="430"/>
      <c r="BY1" s="430"/>
      <c r="BZ1" s="430"/>
      <c r="CA1" s="430"/>
      <c r="CB1" s="430"/>
      <c r="CC1" s="430"/>
      <c r="CD1" s="430"/>
      <c r="CE1" s="430"/>
      <c r="CF1" s="430"/>
      <c r="CG1" s="430"/>
      <c r="CH1" s="430"/>
      <c r="CI1" s="430"/>
      <c r="CJ1" s="430"/>
      <c r="CK1" s="430"/>
      <c r="CL1" s="430"/>
      <c r="CM1" s="430"/>
      <c r="CN1" s="430"/>
      <c r="CO1" s="430"/>
      <c r="CP1" s="430"/>
      <c r="CQ1" s="430"/>
      <c r="CR1" s="430"/>
      <c r="CS1" s="430"/>
      <c r="CT1" s="430"/>
      <c r="CU1" s="430"/>
      <c r="CV1" s="430"/>
      <c r="CW1" s="430"/>
      <c r="CX1" s="430"/>
      <c r="CY1" s="430"/>
      <c r="CZ1" s="430"/>
      <c r="DA1" s="430"/>
      <c r="DB1" s="430"/>
      <c r="DC1" s="430"/>
      <c r="DD1" s="430"/>
      <c r="DE1" s="430"/>
      <c r="DF1" s="430"/>
      <c r="DG1" s="430"/>
      <c r="DH1" s="430"/>
      <c r="DI1" s="430"/>
      <c r="DJ1" s="430"/>
    </row>
    <row r="2" spans="1:114" ht="18.75" customHeight="1" thickBot="1" x14ac:dyDescent="0.45">
      <c r="L2" s="48" t="str">
        <f>"필터수 : "&amp;SUBTOTAL(3,T5:T8814)</f>
        <v>필터수 : 42</v>
      </c>
      <c r="T2" s="87" t="str">
        <f>"필터수 : "&amp;SUBTOTAL(3,T5:T8814)</f>
        <v>필터수 : 42</v>
      </c>
      <c r="U2" s="87"/>
      <c r="V2" s="87"/>
      <c r="W2" s="49"/>
      <c r="X2" s="49"/>
      <c r="Y2" s="57"/>
      <c r="Z2" s="57"/>
      <c r="AA2" s="57"/>
      <c r="AB2" s="57"/>
      <c r="AC2" s="57"/>
      <c r="AD2" s="57"/>
      <c r="AE2" s="57"/>
      <c r="AF2" s="57"/>
      <c r="AG2" s="48" t="str">
        <f>"필터수 : "&amp;SUBTOTAL(3,T5:T8814)</f>
        <v>필터수 : 42</v>
      </c>
      <c r="AL2" s="48" t="str">
        <f>"필터수 : "&amp;SUBTOTAL(3,T5:T8814)</f>
        <v>필터수 : 42</v>
      </c>
      <c r="AT2" s="48" t="str">
        <f>"필터수 : "&amp;SUBTOTAL(3,T5:T8814)</f>
        <v>필터수 : 42</v>
      </c>
      <c r="BH2" s="58" t="str">
        <f>"필터수 : "&amp;SUBTOTAL(3,T5:T8814)</f>
        <v>필터수 : 42</v>
      </c>
      <c r="CB2" s="58" t="str">
        <f>"필터수 : "&amp;SUBTOTAL(3,T5:T8814)&amp;" (빈칸 제외)"</f>
        <v>필터수 : 42 (빈칸 제외)</v>
      </c>
      <c r="CV2" s="165">
        <f>SUMPRODUCT(($CV$5:$CV$8814&lt;&gt;"")/COUNTIF($CV$5:$CV$8814,$CV$5:$CV$8814&amp;""))</f>
        <v>3.9999999999999991</v>
      </c>
      <c r="CW2" s="164">
        <f>COUNTIF($CW$5:$CW$8814,"중복")</f>
        <v>32</v>
      </c>
      <c r="CZ2" s="48" t="str">
        <f>"필터수 : "&amp;SUBTOTAL(3,T5:T8814)</f>
        <v>필터수 : 42</v>
      </c>
      <c r="DJ2" s="50"/>
    </row>
    <row r="3" spans="1:114" s="51" customFormat="1" ht="22.5" customHeight="1" thickTop="1" thickBot="1" x14ac:dyDescent="0.45">
      <c r="A3" s="409" t="s">
        <v>0</v>
      </c>
      <c r="B3" s="405" t="s">
        <v>20</v>
      </c>
      <c r="C3" s="405" t="s">
        <v>306</v>
      </c>
      <c r="D3" s="433" t="s">
        <v>530</v>
      </c>
      <c r="E3" s="433" t="s">
        <v>529</v>
      </c>
      <c r="F3" s="409" t="s">
        <v>86</v>
      </c>
      <c r="G3" s="437" t="s">
        <v>104</v>
      </c>
      <c r="H3" s="432" t="s">
        <v>341</v>
      </c>
      <c r="I3" s="432" t="s">
        <v>669</v>
      </c>
      <c r="J3" s="432" t="s">
        <v>668</v>
      </c>
      <c r="K3" s="409" t="s">
        <v>208</v>
      </c>
      <c r="L3" s="409" t="s">
        <v>71</v>
      </c>
      <c r="M3" s="409" t="s">
        <v>157</v>
      </c>
      <c r="N3" s="409" t="s">
        <v>1</v>
      </c>
      <c r="O3" s="409" t="s">
        <v>183</v>
      </c>
      <c r="P3" s="409" t="s">
        <v>239</v>
      </c>
      <c r="Q3" s="409" t="s">
        <v>103</v>
      </c>
      <c r="R3" s="409" t="s">
        <v>27</v>
      </c>
      <c r="S3" s="429"/>
      <c r="T3" s="398" t="s">
        <v>167</v>
      </c>
      <c r="U3" s="398" t="s">
        <v>716</v>
      </c>
      <c r="V3" s="415" t="s">
        <v>168</v>
      </c>
      <c r="W3" s="439" t="s">
        <v>8</v>
      </c>
      <c r="X3" s="439" t="s">
        <v>280</v>
      </c>
      <c r="Y3" s="429" t="s">
        <v>63</v>
      </c>
      <c r="Z3" s="429" t="s">
        <v>64</v>
      </c>
      <c r="AA3" s="429" t="s">
        <v>65</v>
      </c>
      <c r="AB3" s="412" t="s">
        <v>179</v>
      </c>
      <c r="AC3" s="413"/>
      <c r="AD3" s="414"/>
      <c r="AE3" s="443" t="s">
        <v>172</v>
      </c>
      <c r="AF3" s="444"/>
      <c r="AG3" s="444"/>
      <c r="AH3" s="444"/>
      <c r="AI3" s="444"/>
      <c r="AJ3" s="204" t="s">
        <v>369</v>
      </c>
      <c r="AK3" s="204" t="s">
        <v>480</v>
      </c>
      <c r="AL3" s="312" t="s">
        <v>481</v>
      </c>
      <c r="AM3" s="312"/>
      <c r="AN3" s="312" t="s">
        <v>547</v>
      </c>
      <c r="AO3" s="312" t="s">
        <v>525</v>
      </c>
      <c r="AP3" s="229" t="s">
        <v>388</v>
      </c>
      <c r="AQ3" s="202" t="s">
        <v>314</v>
      </c>
      <c r="AR3" s="202" t="s">
        <v>314</v>
      </c>
      <c r="AS3" s="411" t="s">
        <v>178</v>
      </c>
      <c r="AT3" s="411"/>
      <c r="AU3" s="411"/>
      <c r="AV3" s="411"/>
      <c r="AW3" s="411"/>
      <c r="AX3" s="411"/>
      <c r="AY3" s="411"/>
      <c r="AZ3" s="411"/>
      <c r="BA3" s="407" t="s">
        <v>132</v>
      </c>
      <c r="BB3" s="407"/>
      <c r="BC3" s="407"/>
      <c r="BD3" s="408"/>
      <c r="BE3" s="417" t="s">
        <v>133</v>
      </c>
      <c r="BF3" s="417"/>
      <c r="BG3" s="417"/>
      <c r="BH3" s="418" t="s">
        <v>134</v>
      </c>
      <c r="BI3" s="418"/>
      <c r="BJ3" s="418"/>
      <c r="BK3" s="184" t="s">
        <v>293</v>
      </c>
      <c r="BL3" s="445" t="s">
        <v>135</v>
      </c>
      <c r="BM3" s="411"/>
      <c r="BN3" s="411"/>
      <c r="BO3" s="411"/>
      <c r="BP3" s="419" t="s">
        <v>147</v>
      </c>
      <c r="BQ3" s="420"/>
      <c r="BR3" s="420"/>
      <c r="BS3" s="421"/>
      <c r="BT3" s="402" t="s">
        <v>148</v>
      </c>
      <c r="BU3" s="403"/>
      <c r="BV3" s="403"/>
      <c r="BW3" s="404"/>
      <c r="BX3" s="402" t="s">
        <v>149</v>
      </c>
      <c r="BY3" s="403"/>
      <c r="BZ3" s="403"/>
      <c r="CA3" s="404"/>
      <c r="CB3" s="419" t="s">
        <v>146</v>
      </c>
      <c r="CC3" s="420"/>
      <c r="CD3" s="420"/>
      <c r="CE3" s="421"/>
      <c r="CF3" s="402" t="s">
        <v>150</v>
      </c>
      <c r="CG3" s="403"/>
      <c r="CH3" s="403"/>
      <c r="CI3" s="404"/>
      <c r="CJ3" s="402" t="s">
        <v>151</v>
      </c>
      <c r="CK3" s="403"/>
      <c r="CL3" s="403"/>
      <c r="CM3" s="404"/>
      <c r="CN3" s="402" t="s">
        <v>145</v>
      </c>
      <c r="CO3" s="403"/>
      <c r="CP3" s="403"/>
      <c r="CQ3" s="403"/>
      <c r="CR3" s="424" t="s">
        <v>457</v>
      </c>
      <c r="CS3" s="425"/>
      <c r="CT3" s="425"/>
      <c r="CU3" s="426"/>
      <c r="CV3" s="434" t="s">
        <v>67</v>
      </c>
      <c r="CW3" s="398" t="s">
        <v>220</v>
      </c>
      <c r="CX3" s="427" t="s">
        <v>227</v>
      </c>
      <c r="CY3" s="442" t="s">
        <v>98</v>
      </c>
      <c r="CZ3" s="427" t="s">
        <v>218</v>
      </c>
      <c r="DA3" s="427" t="s">
        <v>99</v>
      </c>
      <c r="DB3" s="442" t="s">
        <v>100</v>
      </c>
      <c r="DC3" s="427" t="s">
        <v>666</v>
      </c>
      <c r="DD3" s="422" t="s">
        <v>60</v>
      </c>
      <c r="DE3" s="422" t="s">
        <v>309</v>
      </c>
      <c r="DF3" s="422" t="s">
        <v>66</v>
      </c>
      <c r="DG3" s="400" t="s">
        <v>126</v>
      </c>
      <c r="DH3" s="400" t="s">
        <v>89</v>
      </c>
      <c r="DI3" s="400" t="s">
        <v>125</v>
      </c>
      <c r="DJ3" s="400" t="s">
        <v>667</v>
      </c>
    </row>
    <row r="4" spans="1:114" s="51" customFormat="1" ht="19.5" customHeight="1" x14ac:dyDescent="0.4">
      <c r="A4" s="410"/>
      <c r="B4" s="406"/>
      <c r="C4" s="406"/>
      <c r="D4" s="410"/>
      <c r="E4" s="410"/>
      <c r="F4" s="410"/>
      <c r="G4" s="438"/>
      <c r="H4" s="441"/>
      <c r="I4" s="410"/>
      <c r="J4" s="410"/>
      <c r="K4" s="410"/>
      <c r="L4" s="410"/>
      <c r="M4" s="410"/>
      <c r="N4" s="410"/>
      <c r="O4" s="410"/>
      <c r="P4" s="410"/>
      <c r="Q4" s="410"/>
      <c r="R4" s="410"/>
      <c r="S4" s="399"/>
      <c r="T4" s="399"/>
      <c r="U4" s="440"/>
      <c r="V4" s="416"/>
      <c r="W4" s="438"/>
      <c r="X4" s="438"/>
      <c r="Y4" s="399"/>
      <c r="Z4" s="399"/>
      <c r="AA4" s="399"/>
      <c r="AB4" s="346" t="s">
        <v>595</v>
      </c>
      <c r="AC4" s="173" t="s">
        <v>286</v>
      </c>
      <c r="AD4" s="99" t="s">
        <v>246</v>
      </c>
      <c r="AE4" s="182" t="s">
        <v>177</v>
      </c>
      <c r="AF4" s="183" t="s">
        <v>717</v>
      </c>
      <c r="AG4" s="183" t="s">
        <v>287</v>
      </c>
      <c r="AH4" s="183" t="s">
        <v>455</v>
      </c>
      <c r="AI4" s="183" t="s">
        <v>364</v>
      </c>
      <c r="AJ4" s="205" t="s">
        <v>370</v>
      </c>
      <c r="AK4" s="205" t="s">
        <v>0</v>
      </c>
      <c r="AL4" s="267" t="s">
        <v>516</v>
      </c>
      <c r="AM4" s="267" t="s">
        <v>561</v>
      </c>
      <c r="AN4" s="267"/>
      <c r="AO4" s="267" t="s">
        <v>526</v>
      </c>
      <c r="AP4" s="228" t="s">
        <v>389</v>
      </c>
      <c r="AQ4" s="203" t="s">
        <v>316</v>
      </c>
      <c r="AR4" s="207" t="s">
        <v>445</v>
      </c>
      <c r="AS4" s="201" t="s">
        <v>174</v>
      </c>
      <c r="AT4" s="13" t="s">
        <v>175</v>
      </c>
      <c r="AU4" s="245" t="s">
        <v>436</v>
      </c>
      <c r="AV4" s="377" t="s">
        <v>723</v>
      </c>
      <c r="AW4" s="260" t="s">
        <v>697</v>
      </c>
      <c r="AX4" s="260" t="s">
        <v>722</v>
      </c>
      <c r="AY4" s="11" t="s">
        <v>550</v>
      </c>
      <c r="AZ4" s="13" t="s">
        <v>176</v>
      </c>
      <c r="BA4" s="2" t="s">
        <v>130</v>
      </c>
      <c r="BB4" s="2" t="s">
        <v>131</v>
      </c>
      <c r="BC4" s="3" t="s">
        <v>127</v>
      </c>
      <c r="BD4" s="2" t="s">
        <v>246</v>
      </c>
      <c r="BE4" s="2" t="s">
        <v>136</v>
      </c>
      <c r="BF4" s="2" t="s">
        <v>137</v>
      </c>
      <c r="BG4" s="3" t="s">
        <v>127</v>
      </c>
      <c r="BH4" s="2" t="s">
        <v>136</v>
      </c>
      <c r="BI4" s="2" t="s">
        <v>137</v>
      </c>
      <c r="BJ4" s="3" t="s">
        <v>127</v>
      </c>
      <c r="BK4" s="3" t="s">
        <v>478</v>
      </c>
      <c r="BL4" s="2" t="s">
        <v>136</v>
      </c>
      <c r="BM4" s="2" t="s">
        <v>137</v>
      </c>
      <c r="BN4" s="2" t="s">
        <v>138</v>
      </c>
      <c r="BO4" s="72" t="s">
        <v>436</v>
      </c>
      <c r="BP4" s="72" t="s">
        <v>141</v>
      </c>
      <c r="BQ4" s="72" t="s">
        <v>142</v>
      </c>
      <c r="BR4" s="72" t="s">
        <v>143</v>
      </c>
      <c r="BS4" s="72" t="s">
        <v>144</v>
      </c>
      <c r="BT4" s="72" t="s">
        <v>141</v>
      </c>
      <c r="BU4" s="72" t="s">
        <v>142</v>
      </c>
      <c r="BV4" s="72" t="s">
        <v>143</v>
      </c>
      <c r="BW4" s="72" t="s">
        <v>144</v>
      </c>
      <c r="BX4" s="72" t="s">
        <v>141</v>
      </c>
      <c r="BY4" s="72" t="s">
        <v>142</v>
      </c>
      <c r="BZ4" s="72" t="s">
        <v>143</v>
      </c>
      <c r="CA4" s="72" t="s">
        <v>144</v>
      </c>
      <c r="CB4" s="72" t="s">
        <v>141</v>
      </c>
      <c r="CC4" s="72" t="s">
        <v>142</v>
      </c>
      <c r="CD4" s="72" t="s">
        <v>143</v>
      </c>
      <c r="CE4" s="72" t="s">
        <v>144</v>
      </c>
      <c r="CF4" s="72" t="s">
        <v>141</v>
      </c>
      <c r="CG4" s="72" t="s">
        <v>142</v>
      </c>
      <c r="CH4" s="72" t="s">
        <v>143</v>
      </c>
      <c r="CI4" s="72" t="s">
        <v>144</v>
      </c>
      <c r="CJ4" s="72" t="s">
        <v>141</v>
      </c>
      <c r="CK4" s="72" t="s">
        <v>142</v>
      </c>
      <c r="CL4" s="72" t="s">
        <v>143</v>
      </c>
      <c r="CM4" s="72" t="s">
        <v>144</v>
      </c>
      <c r="CN4" s="72" t="s">
        <v>141</v>
      </c>
      <c r="CO4" s="72" t="s">
        <v>142</v>
      </c>
      <c r="CP4" s="72" t="s">
        <v>143</v>
      </c>
      <c r="CQ4" s="72" t="s">
        <v>144</v>
      </c>
      <c r="CR4" s="72" t="s">
        <v>458</v>
      </c>
      <c r="CS4" s="72" t="s">
        <v>24</v>
      </c>
      <c r="CT4" s="72" t="s">
        <v>23</v>
      </c>
      <c r="CU4" s="72" t="s">
        <v>25</v>
      </c>
      <c r="CV4" s="435"/>
      <c r="CW4" s="399"/>
      <c r="CX4" s="428"/>
      <c r="CY4" s="436"/>
      <c r="CZ4" s="436"/>
      <c r="DA4" s="436"/>
      <c r="DB4" s="436"/>
      <c r="DC4" s="436"/>
      <c r="DD4" s="423"/>
      <c r="DE4" s="423"/>
      <c r="DF4" s="423"/>
      <c r="DG4" s="401"/>
      <c r="DH4" s="401"/>
      <c r="DI4" s="401"/>
      <c r="DJ4" s="401"/>
    </row>
    <row r="5" spans="1:114" ht="143.4" customHeight="1" x14ac:dyDescent="0.4">
      <c r="A5" s="212">
        <v>187</v>
      </c>
      <c r="B5" s="14">
        <f t="shared" ref="B5" si="0">IFERROR(DATE(D5,E5,F5),"")</f>
        <v>44930</v>
      </c>
      <c r="C5" s="188">
        <f t="shared" ref="C5" si="1">WEEKNUM(B5)</f>
        <v>1</v>
      </c>
      <c r="D5" s="1">
        <v>2023</v>
      </c>
      <c r="E5" s="1">
        <v>1</v>
      </c>
      <c r="F5" s="1">
        <v>4</v>
      </c>
      <c r="G5" s="14">
        <v>44935</v>
      </c>
      <c r="H5" s="1" t="str">
        <f t="shared" ref="H5:H6" si="2">IF(WEEKDAY(G5)=1,"일",IF(WEEKDAY(G5)=2,"월",IF(WEEKDAY(G5)=3,"화",IF(WEEKDAY(G5)=4,"수",IF(WEEKDAY(G5)=5,"목",IF(WEEKDAY(G5)=6,"금",IF(WEEKDAY(G5)=7,"토")))))))</f>
        <v>월</v>
      </c>
      <c r="I5" s="56" t="s">
        <v>14</v>
      </c>
      <c r="J5" s="56" t="s">
        <v>22</v>
      </c>
      <c r="K5" s="1" t="str">
        <f t="shared" ref="K5" si="3">IF(OR(L5="경원선 18량",L5="과천안산선 70량",L5="1호선 40량"),"128R",IF(OR(L5="경인선 80량",L5="과천안산선 180량",L5="분당선 108량"),"448R","기타"))</f>
        <v>448R</v>
      </c>
      <c r="L5" s="1" t="str">
        <f>VLOOKUP('2023년 신조차 고장관리 세부현황'!DD5,'프로젝트 담당자'!$T$2:$Z$80,7,0)</f>
        <v>분당선 108량</v>
      </c>
      <c r="M5" s="1"/>
      <c r="N5" s="56">
        <v>351044</v>
      </c>
      <c r="O5" s="105">
        <f>IF(OR(K5="128R",K5="448R"),VLOOKUP('2023년 신조차 고장관리 세부현황'!DD5,'프로젝트 담당자'!$T$2:$AB$80,9,0),"기타")</f>
        <v>44681</v>
      </c>
      <c r="P5" s="137">
        <f t="shared" ref="P5" si="4">IF(OR(V5="삭제",O5="기타"),"",IF(ISBLANK(O5),"",B5-O5))</f>
        <v>249</v>
      </c>
      <c r="Q5" s="93" t="s">
        <v>28</v>
      </c>
      <c r="R5" s="9" t="s">
        <v>68</v>
      </c>
      <c r="S5" s="131" t="s">
        <v>186</v>
      </c>
      <c r="T5" s="340" t="s">
        <v>18</v>
      </c>
      <c r="U5" s="340" t="s">
        <v>18</v>
      </c>
      <c r="V5" s="11" t="s">
        <v>17</v>
      </c>
      <c r="W5" s="226" t="s">
        <v>464</v>
      </c>
      <c r="X5" s="209" t="s">
        <v>317</v>
      </c>
      <c r="Y5" s="103"/>
      <c r="Z5" s="103"/>
      <c r="AA5" s="54"/>
      <c r="AB5" s="54"/>
      <c r="AC5" s="54"/>
      <c r="AD5" s="2"/>
      <c r="AE5" s="2"/>
      <c r="AF5" s="11"/>
      <c r="AG5" s="11"/>
      <c r="AH5" s="11"/>
      <c r="AI5" s="11"/>
      <c r="AJ5" s="2" t="s">
        <v>456</v>
      </c>
      <c r="AK5" s="11"/>
      <c r="AL5" s="80" t="s">
        <v>269</v>
      </c>
      <c r="AM5" s="12" t="s">
        <v>485</v>
      </c>
      <c r="AN5" s="11"/>
      <c r="AO5" s="11"/>
      <c r="AP5" s="11" t="s">
        <v>420</v>
      </c>
      <c r="AQ5" s="11" t="s">
        <v>425</v>
      </c>
      <c r="AR5" s="3" t="s">
        <v>594</v>
      </c>
      <c r="AS5" s="53" t="s">
        <v>247</v>
      </c>
      <c r="AT5" s="2"/>
      <c r="AU5" s="2" t="s">
        <v>291</v>
      </c>
      <c r="AV5" s="82"/>
      <c r="AW5" s="2"/>
      <c r="AX5" s="2"/>
      <c r="AY5" s="2"/>
      <c r="AZ5" s="2"/>
      <c r="BA5" s="7">
        <v>44936</v>
      </c>
      <c r="BB5" s="7">
        <v>44936</v>
      </c>
      <c r="BC5" s="2" t="str">
        <f t="shared" ref="BC5" ca="1" si="5">IF(ISBLANK(BB5),"",IF(OR(BB5&lt;=BA5,BB5="조치완료보고 대체",BB5="제출불가"),"완료",IF(AND(BB5="-",BA5&gt;=TODAY()),"예정",IF(AND(BB5="-",BA5&lt;TODAY()),"지연",IF(BB5&gt;BA5,"완료","")))))</f>
        <v>완료</v>
      </c>
      <c r="BD5" s="7" t="s">
        <v>460</v>
      </c>
      <c r="BE5" s="7">
        <v>45023</v>
      </c>
      <c r="BF5" s="7" t="s">
        <v>139</v>
      </c>
      <c r="BG5" s="2" t="str">
        <f t="shared" ref="BG5" ca="1" si="6">IF(ISBLANK(BF5),"",IF(OR(BF5&lt;=BE5,BF5="조치완료보고 대체",BF5="제출불가"),"완료",IF(AND(BF5="-",BE5&gt;=TODAY()),"예정",IF(AND(BF5="-",BE5&lt;TODAY()),"지연",IF(BF5&gt;BE5,"완료","")))))</f>
        <v>지연</v>
      </c>
      <c r="BH5" s="7">
        <v>45023</v>
      </c>
      <c r="BI5" s="10">
        <v>45056</v>
      </c>
      <c r="BJ5" s="2" t="str">
        <f t="shared" ref="BJ5" ca="1" si="7">IF(ISBLANK(BI5),"",IF(OR(BI5&lt;=BH5,BI5="조치완료보고 대체",BI5="제출불가"),"완료",IF(AND(BI5="-",BH5&gt;=TODAY()),"예정",IF(AND(BI5="-",BH5&lt;TODAY()),"지연",IF(BI5&gt;BH5,"완료","")))))</f>
        <v>완료</v>
      </c>
      <c r="BK5" s="10" t="s">
        <v>479</v>
      </c>
      <c r="BL5" s="7">
        <v>45044</v>
      </c>
      <c r="BM5" s="7" t="s">
        <v>140</v>
      </c>
      <c r="BN5" s="2" t="str">
        <f t="shared" ref="BN5" ca="1" si="8">IF(ISBLANK(BM5),"",IF(OR(BM5&lt;=BL5,BM5="조치완료보고 대체",BM5="제출불가"),"완료",IF(AND(BM5="-",BL5&gt;=TODAY()),"예정",IF(AND(BM5="-",BL5&lt;TODAY()),"지연",IF(BM5&gt;BL5,"완료","")))))</f>
        <v>지연</v>
      </c>
      <c r="BO5" s="52"/>
      <c r="BP5" s="73">
        <f t="shared" ref="BP5" si="9">IF(ISBLANK(BA5),"",BA5)</f>
        <v>44936</v>
      </c>
      <c r="BQ5" s="73">
        <f t="shared" ref="BQ5" si="10">IF(ISBLANK(BE5),"",BE5)</f>
        <v>45023</v>
      </c>
      <c r="BR5" s="73">
        <f t="shared" ref="BR5" si="11">IF(ISBLANK(BH5),"",BH5)</f>
        <v>45023</v>
      </c>
      <c r="BS5" s="73">
        <f t="shared" ref="BS5" si="12">IF(ISBLANK(BL5),"",BL5)</f>
        <v>45044</v>
      </c>
      <c r="BT5" s="74">
        <f t="shared" ref="BT5" si="13">IF(ISBLANK(BP5),"",IFERROR(YEAR(BP5),""))</f>
        <v>2023</v>
      </c>
      <c r="BU5" s="74">
        <f t="shared" ref="BU5" si="14">IF(ISBLANK(BQ5),"",IFERROR(YEAR(BQ5),""))</f>
        <v>2023</v>
      </c>
      <c r="BV5" s="74">
        <f t="shared" ref="BV5" si="15">IF(ISBLANK(BR5),"",IFERROR(YEAR(BR5),""))</f>
        <v>2023</v>
      </c>
      <c r="BW5" s="74">
        <f t="shared" ref="BW5" si="16">IF(ISBLANK(BS5),"",IFERROR(YEAR(BS5),""))</f>
        <v>2023</v>
      </c>
      <c r="BX5" s="74">
        <f t="shared" ref="BX5" si="17">IF(ISBLANK(BP5),"",IF(OR(BP5="제출불가",BP5="조치완료보고 대체"),BP5,IFERROR(WEEKNUM(BP5),"")))</f>
        <v>2</v>
      </c>
      <c r="BY5" s="74">
        <f t="shared" ref="BY5" si="18">IF(ISBLANK(BQ5),"",IF(OR(BQ5="제출불가",BQ5="조치완료보고 대체"),BQ5,IFERROR(WEEKNUM(BQ5),"")))</f>
        <v>14</v>
      </c>
      <c r="BZ5" s="74">
        <f t="shared" ref="BZ5" si="19">IF(ISBLANK(BR5),"",IF(OR(BR5="제출불가",BR5="조치완료보고 대체"),BR5,IFERROR(WEEKNUM(BR5),"")))</f>
        <v>14</v>
      </c>
      <c r="CA5" s="74">
        <f t="shared" ref="CA5" si="20">IF(ISBLANK(BS5),"",IF(OR(BS5="제출불가",BS5="조치완료보고 대체"),BS5,IFERROR(WEEKNUM(BS5),"")))</f>
        <v>17</v>
      </c>
      <c r="CB5" s="73">
        <f t="shared" ref="CB5" si="21">IF(ISBLANK(BB5),"",BB5)</f>
        <v>44936</v>
      </c>
      <c r="CC5" s="73" t="str">
        <f t="shared" ref="CC5" si="22">IF(ISBLANK(BF5),"",BF5)</f>
        <v>-</v>
      </c>
      <c r="CD5" s="73">
        <f t="shared" ref="CD5" si="23">IF(ISBLANK(BI5),"",BI5)</f>
        <v>45056</v>
      </c>
      <c r="CE5" s="73" t="str">
        <f t="shared" ref="CE5" si="24">IF(ISBLANK(BM5),"",BM5)</f>
        <v>-</v>
      </c>
      <c r="CF5" s="74">
        <f t="shared" ref="CF5" si="25">IF(ISBLANK(CB5),"",IFERROR(YEAR(CB5),""))</f>
        <v>2023</v>
      </c>
      <c r="CG5" s="74" t="str">
        <f t="shared" ref="CG5" si="26">IF(ISBLANK(CC5),"",IFERROR(YEAR(CC5),""))</f>
        <v/>
      </c>
      <c r="CH5" s="74">
        <f t="shared" ref="CH5" si="27">IF(ISBLANK(CD5),"",IFERROR(YEAR(CD5),""))</f>
        <v>2023</v>
      </c>
      <c r="CI5" s="74" t="str">
        <f t="shared" ref="CI5" si="28">IF(ISBLANK(CE5),"",IFERROR(YEAR(CE5),""))</f>
        <v/>
      </c>
      <c r="CJ5" s="74">
        <f t="shared" ref="CJ5" si="29">IF(ISBLANK(CB5),"",IF(OR(CB5="제출불가",CB5="조치완료보고 대체"),CB5,IFERROR(WEEKNUM(CB5),"")))</f>
        <v>2</v>
      </c>
      <c r="CK5" s="74" t="str">
        <f t="shared" ref="CK5" si="30">IF(ISBLANK(CC5),"",IF(OR(CC5="제출불가",CC5="조치완료보고 대체"),CC5,IFERROR(WEEKNUM(CC5),"")))</f>
        <v/>
      </c>
      <c r="CL5" s="74">
        <f t="shared" ref="CL5" si="31">IF(ISBLANK(CD5),"",IF(OR(CD5="제출불가",CD5="조치완료보고 대체"),CD5,IFERROR(WEEKNUM(CD5),"")))</f>
        <v>19</v>
      </c>
      <c r="CM5" s="74" t="str">
        <f t="shared" ref="CM5" si="32">IF(ISBLANK(CE5),"",IF(OR(CE5="제출불가",CE5="조치완료보고 대체"),CE5,IFERROR(WEEKNUM(CE5),"")))</f>
        <v/>
      </c>
      <c r="CN5" s="52" t="str">
        <f t="shared" ref="CN5" ca="1" si="33">BC5</f>
        <v>완료</v>
      </c>
      <c r="CO5" s="52" t="str">
        <f t="shared" ref="CO5" ca="1" si="34">BG5</f>
        <v>지연</v>
      </c>
      <c r="CP5" s="52" t="str">
        <f t="shared" ref="CP5" ca="1" si="35">BJ5</f>
        <v>완료</v>
      </c>
      <c r="CQ5" s="52" t="str">
        <f t="shared" ref="CQ5" ca="1" si="36">BN5</f>
        <v>지연</v>
      </c>
      <c r="CR5" s="52" t="str">
        <f t="shared" ref="CR5" si="37">IF(BD5="","",BD5)</f>
        <v>종결</v>
      </c>
      <c r="CS5" s="52"/>
      <c r="CT5" s="52"/>
      <c r="CU5" s="52"/>
      <c r="CV5" s="101" t="s">
        <v>715</v>
      </c>
      <c r="CW5" s="129" t="str">
        <f>IF(COUNTIF($CV:$CV,CV5)&gt;1,"중복","")</f>
        <v>중복</v>
      </c>
      <c r="CX5" s="131" t="s">
        <v>186</v>
      </c>
      <c r="CY5" s="11" t="s">
        <v>156</v>
      </c>
      <c r="CZ5" s="11" t="s">
        <v>224</v>
      </c>
      <c r="DA5" s="11" t="s">
        <v>83</v>
      </c>
      <c r="DB5" s="80" t="s">
        <v>87</v>
      </c>
      <c r="DC5" s="80" t="s">
        <v>87</v>
      </c>
      <c r="DD5" s="80">
        <f t="shared" ref="DD5" si="38">IF(N5="-","-",VALUE(LEFT(N5,3)&amp;RIGHT(N5,2)))</f>
        <v>35144</v>
      </c>
      <c r="DE5" s="80" t="str">
        <f>IF(DD5="-","-",VLOOKUP(DD5,'프로젝트 담당자'!$T$3:$W$80,4,0))</f>
        <v>분당</v>
      </c>
      <c r="DF5" s="80" t="s">
        <v>34</v>
      </c>
      <c r="DG5" s="80" t="str">
        <f>VLOOKUP(DD5,'프로젝트 담당자'!$T$2:$Y$80,6,0)</f>
        <v>이성규</v>
      </c>
      <c r="DH5" s="6" t="s">
        <v>91</v>
      </c>
      <c r="DI5" s="6" t="s">
        <v>107</v>
      </c>
      <c r="DJ5" s="6" t="s">
        <v>91</v>
      </c>
    </row>
    <row r="6" spans="1:114" ht="171.6" x14ac:dyDescent="0.4">
      <c r="A6" s="211">
        <v>224</v>
      </c>
      <c r="B6" s="14">
        <f t="shared" ref="B6" si="39">IFERROR(DATE(D6,E6,F6),"")</f>
        <v>44944</v>
      </c>
      <c r="C6" s="188">
        <f t="shared" ref="C6" si="40">WEEKNUM(B6)</f>
        <v>3</v>
      </c>
      <c r="D6" s="1">
        <v>2023</v>
      </c>
      <c r="E6" s="1">
        <v>1</v>
      </c>
      <c r="F6" s="1">
        <v>18</v>
      </c>
      <c r="G6" s="14">
        <v>44946</v>
      </c>
      <c r="H6" s="1" t="str">
        <f t="shared" si="2"/>
        <v>금</v>
      </c>
      <c r="I6" s="1" t="s">
        <v>13</v>
      </c>
      <c r="J6" s="1" t="s">
        <v>101</v>
      </c>
      <c r="K6" s="1" t="str">
        <f t="shared" ref="K6" si="41">IF(OR(L6="경원선 18량",L6="과천안산선 70량",L6="1호선 40량"),"128R",IF(OR(L6="경인선 80량",L6="과천안산선 180량",L6="분당선 108량"),"448R","기타"))</f>
        <v>448R</v>
      </c>
      <c r="L6" s="1" t="str">
        <f>VLOOKUP('2023년 신조차 고장관리 세부현황'!DD6,'프로젝트 담당자'!$T$2:$Z$80,7,0)</f>
        <v>과천안산선 180량</v>
      </c>
      <c r="M6" s="1"/>
      <c r="N6" s="1">
        <v>341038</v>
      </c>
      <c r="O6" s="105">
        <f>IF(OR(K6="128R",K6="448R"),VLOOKUP('2023년 신조차 고장관리 세부현황'!DD6,'프로젝트 담당자'!$T$2:$AB$80,9,0),"기타")</f>
        <v>44651</v>
      </c>
      <c r="P6" s="137">
        <f t="shared" ref="P6:P7" si="42">IF(OR(V6="삭제",O6="기타"),"",IF(ISBLANK(O6),"",B6-O6))</f>
        <v>293</v>
      </c>
      <c r="Q6" s="93" t="s">
        <v>102</v>
      </c>
      <c r="R6" s="9"/>
      <c r="S6" s="131" t="s">
        <v>186</v>
      </c>
      <c r="T6" s="340" t="s">
        <v>18</v>
      </c>
      <c r="U6" s="340" t="s">
        <v>18</v>
      </c>
      <c r="V6" s="11" t="s">
        <v>17</v>
      </c>
      <c r="W6" s="223" t="s">
        <v>583</v>
      </c>
      <c r="X6" s="208" t="s">
        <v>318</v>
      </c>
      <c r="Y6" s="2"/>
      <c r="Z6" s="2"/>
      <c r="AA6" s="2"/>
      <c r="AB6" s="2"/>
      <c r="AC6" s="2"/>
      <c r="AD6" s="2"/>
      <c r="AE6" s="2"/>
      <c r="AF6" s="11"/>
      <c r="AG6" s="11"/>
      <c r="AH6" s="11"/>
      <c r="AI6" s="11"/>
      <c r="AJ6" s="2" t="s">
        <v>456</v>
      </c>
      <c r="AK6" s="11"/>
      <c r="AL6" s="80" t="s">
        <v>482</v>
      </c>
      <c r="AM6" s="11"/>
      <c r="AN6" s="11"/>
      <c r="AO6" s="11"/>
      <c r="AP6" s="11"/>
      <c r="AQ6" s="11" t="s">
        <v>425</v>
      </c>
      <c r="AR6" s="3" t="s">
        <v>594</v>
      </c>
      <c r="AS6" s="53" t="s">
        <v>247</v>
      </c>
      <c r="AT6" s="68"/>
      <c r="AU6" s="68" t="s">
        <v>292</v>
      </c>
      <c r="AV6" s="82"/>
      <c r="AW6" s="68"/>
      <c r="AX6" s="68"/>
      <c r="AY6" s="68"/>
      <c r="AZ6" s="68"/>
      <c r="BA6" s="10">
        <v>44970</v>
      </c>
      <c r="BB6" s="7">
        <v>44972</v>
      </c>
      <c r="BC6" s="2" t="str">
        <f t="shared" ref="BC6" ca="1" si="43">IF(ISBLANK(BB6),"",IF(OR(BB6&lt;=BA6,BB6="조치완료보고 대체",BB6="제출불가"),"완료",IF(AND(BB6="-",BA6&gt;=TODAY()),"예정",IF(AND(BB6="-",BA6&lt;TODAY()),"지연",IF(BB6&gt;BA6,"완료","")))))</f>
        <v>완료</v>
      </c>
      <c r="BD6" s="7" t="s">
        <v>460</v>
      </c>
      <c r="BE6" s="7">
        <v>44995</v>
      </c>
      <c r="BF6" s="7" t="s">
        <v>139</v>
      </c>
      <c r="BG6" s="2" t="str">
        <f t="shared" ref="BG6" ca="1" si="44">IF(ISBLANK(BF6),"",IF(OR(BF6&lt;=BE6,BF6="조치완료보고 대체",BF6="제출불가"),"완료",IF(AND(BF6="-",BE6&gt;=TODAY()),"예정",IF(AND(BF6="-",BE6&lt;TODAY()),"지연",IF(BF6&gt;BE6,"완료","")))))</f>
        <v>지연</v>
      </c>
      <c r="BH6" s="7">
        <v>44995</v>
      </c>
      <c r="BI6" s="10">
        <v>45056</v>
      </c>
      <c r="BJ6" s="2" t="str">
        <f t="shared" ref="BJ6" ca="1" si="45">IF(ISBLANK(BI6),"",IF(OR(BI6&lt;=BH6,BI6="조치완료보고 대체",BI6="제출불가"),"완료",IF(AND(BI6="-",BH6&gt;=TODAY()),"예정",IF(AND(BI6="-",BH6&lt;TODAY()),"지연",IF(BI6&gt;BH6,"완료","")))))</f>
        <v>완료</v>
      </c>
      <c r="BK6" s="10" t="s">
        <v>479</v>
      </c>
      <c r="BL6" s="7">
        <v>45002</v>
      </c>
      <c r="BM6" s="7" t="s">
        <v>140</v>
      </c>
      <c r="BN6" s="2" t="str">
        <f t="shared" ref="BN6" ca="1" si="46">IF(ISBLANK(BM6),"",IF(OR(BM6&lt;=BL6,BM6="조치완료보고 대체",BM6="제출불가"),"완료",IF(AND(BM6="-",BL6&gt;=TODAY()),"예정",IF(AND(BM6="-",BL6&lt;TODAY()),"지연",IF(BM6&gt;BL6,"완료","")))))</f>
        <v>지연</v>
      </c>
      <c r="BO6" s="52"/>
      <c r="BP6" s="73">
        <f t="shared" ref="BP6" si="47">IF(ISBLANK(BA6),"",BA6)</f>
        <v>44970</v>
      </c>
      <c r="BQ6" s="73">
        <f t="shared" ref="BQ6" si="48">IF(ISBLANK(BE6),"",BE6)</f>
        <v>44995</v>
      </c>
      <c r="BR6" s="73">
        <f t="shared" ref="BR6" si="49">IF(ISBLANK(BH6),"",BH6)</f>
        <v>44995</v>
      </c>
      <c r="BS6" s="73">
        <f t="shared" ref="BS6" si="50">IF(ISBLANK(BL6),"",BL6)</f>
        <v>45002</v>
      </c>
      <c r="BT6" s="74">
        <f t="shared" ref="BT6" si="51">IF(ISBLANK(BP6),"",IFERROR(YEAR(BP6),""))</f>
        <v>2023</v>
      </c>
      <c r="BU6" s="74">
        <f t="shared" ref="BU6" si="52">IF(ISBLANK(BQ6),"",IFERROR(YEAR(BQ6),""))</f>
        <v>2023</v>
      </c>
      <c r="BV6" s="74">
        <f t="shared" ref="BV6" si="53">IF(ISBLANK(BR6),"",IFERROR(YEAR(BR6),""))</f>
        <v>2023</v>
      </c>
      <c r="BW6" s="74">
        <f t="shared" ref="BW6" si="54">IF(ISBLANK(BS6),"",IFERROR(YEAR(BS6),""))</f>
        <v>2023</v>
      </c>
      <c r="BX6" s="74">
        <f t="shared" ref="BX6" si="55">IF(ISBLANK(BP6),"",IF(OR(BP6="제출불가",BP6="조치완료보고 대체"),BP6,IFERROR(WEEKNUM(BP6),"")))</f>
        <v>7</v>
      </c>
      <c r="BY6" s="74">
        <f t="shared" ref="BY6" si="56">IF(ISBLANK(BQ6),"",IF(OR(BQ6="제출불가",BQ6="조치완료보고 대체"),BQ6,IFERROR(WEEKNUM(BQ6),"")))</f>
        <v>10</v>
      </c>
      <c r="BZ6" s="74">
        <f t="shared" ref="BZ6" si="57">IF(ISBLANK(BR6),"",IF(OR(BR6="제출불가",BR6="조치완료보고 대체"),BR6,IFERROR(WEEKNUM(BR6),"")))</f>
        <v>10</v>
      </c>
      <c r="CA6" s="74">
        <f t="shared" ref="CA6" si="58">IF(ISBLANK(BS6),"",IF(OR(BS6="제출불가",BS6="조치완료보고 대체"),BS6,IFERROR(WEEKNUM(BS6),"")))</f>
        <v>11</v>
      </c>
      <c r="CB6" s="73">
        <f t="shared" ref="CB6" si="59">IF(ISBLANK(BB6),"",BB6)</f>
        <v>44972</v>
      </c>
      <c r="CC6" s="73" t="str">
        <f t="shared" ref="CC6" si="60">IF(ISBLANK(BF6),"",BF6)</f>
        <v>-</v>
      </c>
      <c r="CD6" s="73">
        <f t="shared" ref="CD6" si="61">IF(ISBLANK(BI6),"",BI6)</f>
        <v>45056</v>
      </c>
      <c r="CE6" s="73" t="str">
        <f t="shared" ref="CE6" si="62">IF(ISBLANK(BM6),"",BM6)</f>
        <v>-</v>
      </c>
      <c r="CF6" s="74">
        <f t="shared" ref="CF6" si="63">IF(ISBLANK(CB6),"",IFERROR(YEAR(CB6),""))</f>
        <v>2023</v>
      </c>
      <c r="CG6" s="74" t="str">
        <f t="shared" ref="CG6" si="64">IF(ISBLANK(CC6),"",IFERROR(YEAR(CC6),""))</f>
        <v/>
      </c>
      <c r="CH6" s="74">
        <f t="shared" ref="CH6" si="65">IF(ISBLANK(CD6),"",IFERROR(YEAR(CD6),""))</f>
        <v>2023</v>
      </c>
      <c r="CI6" s="74" t="str">
        <f t="shared" ref="CI6" si="66">IF(ISBLANK(CE6),"",IFERROR(YEAR(CE6),""))</f>
        <v/>
      </c>
      <c r="CJ6" s="74">
        <f t="shared" ref="CJ6" si="67">IF(ISBLANK(CB6),"",IF(OR(CB6="제출불가",CB6="조치완료보고 대체"),CB6,IFERROR(WEEKNUM(CB6),"")))</f>
        <v>7</v>
      </c>
      <c r="CK6" s="74" t="str">
        <f t="shared" ref="CK6" si="68">IF(ISBLANK(CC6),"",IF(OR(CC6="제출불가",CC6="조치완료보고 대체"),CC6,IFERROR(WEEKNUM(CC6),"")))</f>
        <v/>
      </c>
      <c r="CL6" s="74">
        <f t="shared" ref="CL6" si="69">IF(ISBLANK(CD6),"",IF(OR(CD6="제출불가",CD6="조치완료보고 대체"),CD6,IFERROR(WEEKNUM(CD6),"")))</f>
        <v>19</v>
      </c>
      <c r="CM6" s="74" t="str">
        <f t="shared" ref="CM6" si="70">IF(ISBLANK(CE6),"",IF(OR(CE6="제출불가",CE6="조치완료보고 대체"),CE6,IFERROR(WEEKNUM(CE6),"")))</f>
        <v/>
      </c>
      <c r="CN6" s="52" t="str">
        <f t="shared" ref="CN6" ca="1" si="71">BC6</f>
        <v>완료</v>
      </c>
      <c r="CO6" s="52" t="str">
        <f t="shared" ref="CO6" ca="1" si="72">BG6</f>
        <v>지연</v>
      </c>
      <c r="CP6" s="52" t="str">
        <f t="shared" ref="CP6" ca="1" si="73">BJ6</f>
        <v>완료</v>
      </c>
      <c r="CQ6" s="52" t="str">
        <f t="shared" ref="CQ6" ca="1" si="74">BN6</f>
        <v>지연</v>
      </c>
      <c r="CR6" s="52" t="str">
        <f t="shared" ref="CR6" si="75">IF(BD6="","",BD6)</f>
        <v>종결</v>
      </c>
      <c r="CS6" s="52"/>
      <c r="CT6" s="52"/>
      <c r="CU6" s="52"/>
      <c r="CV6" s="101" t="s">
        <v>715</v>
      </c>
      <c r="CW6" s="129" t="str">
        <f>IF(COUNTIF($CV:$CV,CV6)&gt;1,"중복","")</f>
        <v>중복</v>
      </c>
      <c r="CX6" s="131" t="s">
        <v>186</v>
      </c>
      <c r="CY6" s="11" t="s">
        <v>156</v>
      </c>
      <c r="CZ6" s="11" t="s">
        <v>224</v>
      </c>
      <c r="DA6" s="11" t="s">
        <v>83</v>
      </c>
      <c r="DB6" s="80" t="s">
        <v>87</v>
      </c>
      <c r="DC6" s="80" t="s">
        <v>87</v>
      </c>
      <c r="DD6" s="2">
        <f t="shared" ref="DD6" si="76">IF(N6="-","-",VALUE(LEFT(N6,3)&amp;RIGHT(N6,2)))</f>
        <v>34138</v>
      </c>
      <c r="DE6" s="80" t="str">
        <f>IF(DD6="-","-",VLOOKUP(DD6,'프로젝트 담당자'!$T$3:$W$80,4,0))</f>
        <v>시흥</v>
      </c>
      <c r="DF6" s="82" t="s">
        <v>29</v>
      </c>
      <c r="DG6" s="80" t="str">
        <f>VLOOKUP(DD6,'프로젝트 담당자'!$T$2:$Y$80,6,0)</f>
        <v>이진웅</v>
      </c>
      <c r="DH6" s="2" t="s">
        <v>91</v>
      </c>
      <c r="DI6" s="6" t="s">
        <v>107</v>
      </c>
      <c r="DJ6" s="2" t="s">
        <v>91</v>
      </c>
    </row>
    <row r="7" spans="1:114" ht="249.6" x14ac:dyDescent="0.4">
      <c r="A7" s="212">
        <v>269</v>
      </c>
      <c r="B7" s="71">
        <f t="shared" ref="B7:B8" si="77">IFERROR(DATE(D7,E7,F7),"")</f>
        <v>44956</v>
      </c>
      <c r="C7" s="188">
        <f t="shared" ref="C7:C8" si="78">WEEKNUM(B7)</f>
        <v>5</v>
      </c>
      <c r="D7" s="56">
        <v>2023</v>
      </c>
      <c r="E7" s="56">
        <v>1</v>
      </c>
      <c r="F7" s="56">
        <v>30</v>
      </c>
      <c r="G7" s="71">
        <v>44957</v>
      </c>
      <c r="H7" s="1" t="str">
        <f t="shared" ref="H7" si="79">IF(WEEKDAY(G7)=1,"일",IF(WEEKDAY(G7)=2,"월",IF(WEEKDAY(G7)=3,"화",IF(WEEKDAY(G7)=4,"수",IF(WEEKDAY(G7)=5,"목",IF(WEEKDAY(G7)=6,"금",IF(WEEKDAY(G7)=7,"토")))))))</f>
        <v>화</v>
      </c>
      <c r="I7" s="56" t="s">
        <v>14</v>
      </c>
      <c r="J7" s="56" t="s">
        <v>3</v>
      </c>
      <c r="K7" s="1" t="str">
        <f t="shared" ref="K7:K8" si="80">IF(OR(L7="경원선 18량",L7="과천안산선 70량",L7="1호선 40량"),"128R",IF(OR(L7="경인선 80량",L7="과천안산선 180량",L7="분당선 108량"),"448R","기타"))</f>
        <v>448R</v>
      </c>
      <c r="L7" s="56" t="str">
        <f>VLOOKUP('2023년 신조차 고장관리 세부현황'!DD7,'프로젝트 담당자'!$T$2:$Z$80,7,0)</f>
        <v>분당선 108량</v>
      </c>
      <c r="M7" s="56"/>
      <c r="N7" s="82">
        <v>351044</v>
      </c>
      <c r="O7" s="105">
        <f>IF(OR(K7="128R",K7="448R"),VLOOKUP('2023년 신조차 고장관리 세부현황'!DD7,'프로젝트 담당자'!$T$2:$AB$80,9,0),"기타")</f>
        <v>44681</v>
      </c>
      <c r="P7" s="137">
        <f t="shared" si="42"/>
        <v>275</v>
      </c>
      <c r="Q7" s="93" t="s">
        <v>28</v>
      </c>
      <c r="R7" s="9"/>
      <c r="S7" s="131" t="s">
        <v>186</v>
      </c>
      <c r="T7" s="340" t="s">
        <v>18</v>
      </c>
      <c r="U7" s="340" t="s">
        <v>18</v>
      </c>
      <c r="V7" s="2" t="s">
        <v>162</v>
      </c>
      <c r="W7" s="226" t="s">
        <v>465</v>
      </c>
      <c r="X7" s="209" t="s">
        <v>374</v>
      </c>
      <c r="Y7" s="2"/>
      <c r="Z7" s="2"/>
      <c r="AA7" s="2"/>
      <c r="AB7" s="2"/>
      <c r="AC7" s="2"/>
      <c r="AD7" s="2"/>
      <c r="AE7" s="2"/>
      <c r="AF7" s="11"/>
      <c r="AG7" s="11"/>
      <c r="AH7" s="11"/>
      <c r="AI7" s="11"/>
      <c r="AJ7" s="2" t="s">
        <v>456</v>
      </c>
      <c r="AK7" s="11"/>
      <c r="AL7" s="80" t="s">
        <v>482</v>
      </c>
      <c r="AM7" s="12" t="s">
        <v>485</v>
      </c>
      <c r="AN7" s="11"/>
      <c r="AO7" s="11"/>
      <c r="AP7" s="11" t="s">
        <v>420</v>
      </c>
      <c r="AQ7" s="11" t="s">
        <v>425</v>
      </c>
      <c r="AR7" s="3" t="s">
        <v>594</v>
      </c>
      <c r="AS7" s="53" t="s">
        <v>247</v>
      </c>
      <c r="AT7" s="10">
        <v>44958</v>
      </c>
      <c r="AU7" s="10" t="s">
        <v>291</v>
      </c>
      <c r="AV7" s="82"/>
      <c r="AW7" s="10"/>
      <c r="AX7" s="10"/>
      <c r="AY7" s="10"/>
      <c r="AZ7" s="10"/>
      <c r="BA7" s="10">
        <v>44988</v>
      </c>
      <c r="BB7" s="7">
        <v>45040</v>
      </c>
      <c r="BC7" s="2" t="str">
        <f t="shared" ref="BC7:BC9" ca="1" si="81">IF(ISBLANK(BB7),"",IF(OR(BB7&lt;=BA7,BB7="조치완료보고 대체",BB7="제출불가"),"완료",IF(AND(BB7="-",BA7&gt;=TODAY()),"예정",IF(AND(BB7="-",BA7&lt;TODAY()),"지연",IF(BB7&gt;BA7,"완료","")))))</f>
        <v>완료</v>
      </c>
      <c r="BD7" s="7" t="s">
        <v>460</v>
      </c>
      <c r="BE7" s="7">
        <v>45023</v>
      </c>
      <c r="BF7" s="7" t="s">
        <v>139</v>
      </c>
      <c r="BG7" s="2" t="str">
        <f t="shared" ref="BG7:BG8" ca="1" si="82">IF(ISBLANK(BF7),"",IF(OR(BF7&lt;=BE7,BF7="조치완료보고 대체",BF7="제출불가"),"완료",IF(AND(BF7="-",BE7&gt;=TODAY()),"예정",IF(AND(BF7="-",BE7&lt;TODAY()),"지연",IF(BF7&gt;BE7,"완료","")))))</f>
        <v>지연</v>
      </c>
      <c r="BH7" s="7">
        <v>45023</v>
      </c>
      <c r="BI7" s="10">
        <v>45056</v>
      </c>
      <c r="BJ7" s="2" t="str">
        <f t="shared" ref="BJ7:BJ9" ca="1" si="83">IF(ISBLANK(BI7),"",IF(OR(BI7&lt;=BH7,BI7="조치완료보고 대체",BI7="제출불가"),"완료",IF(AND(BI7="-",BH7&gt;=TODAY()),"예정",IF(AND(BI7="-",BH7&lt;TODAY()),"지연",IF(BI7&gt;BH7,"완료","")))))</f>
        <v>완료</v>
      </c>
      <c r="BK7" s="10" t="s">
        <v>479</v>
      </c>
      <c r="BL7" s="7">
        <v>45044</v>
      </c>
      <c r="BM7" s="7" t="s">
        <v>140</v>
      </c>
      <c r="BN7" s="2" t="str">
        <f t="shared" ref="BN7:BN9" ca="1" si="84">IF(ISBLANK(BM7),"",IF(OR(BM7&lt;=BL7,BM7="조치완료보고 대체",BM7="제출불가"),"완료",IF(AND(BM7="-",BL7&gt;=TODAY()),"예정",IF(AND(BM7="-",BL7&lt;TODAY()),"지연",IF(BM7&gt;BL7,"완료","")))))</f>
        <v>지연</v>
      </c>
      <c r="BO7" s="52"/>
      <c r="BP7" s="73">
        <f t="shared" ref="BP7:BP8" si="85">IF(ISBLANK(BA7),"",BA7)</f>
        <v>44988</v>
      </c>
      <c r="BQ7" s="73">
        <f t="shared" ref="BQ7:BQ8" si="86">IF(ISBLANK(BE7),"",BE7)</f>
        <v>45023</v>
      </c>
      <c r="BR7" s="73">
        <f t="shared" ref="BR7:BR8" si="87">IF(ISBLANK(BH7),"",BH7)</f>
        <v>45023</v>
      </c>
      <c r="BS7" s="73">
        <f t="shared" ref="BS7:BS8" si="88">IF(ISBLANK(BL7),"",BL7)</f>
        <v>45044</v>
      </c>
      <c r="BT7" s="74">
        <f t="shared" ref="BT7:BT8" si="89">IF(ISBLANK(BP7),"",IFERROR(YEAR(BP7),""))</f>
        <v>2023</v>
      </c>
      <c r="BU7" s="74">
        <f t="shared" ref="BU7:BU8" si="90">IF(ISBLANK(BQ7),"",IFERROR(YEAR(BQ7),""))</f>
        <v>2023</v>
      </c>
      <c r="BV7" s="74">
        <f t="shared" ref="BV7:BV8" si="91">IF(ISBLANK(BR7),"",IFERROR(YEAR(BR7),""))</f>
        <v>2023</v>
      </c>
      <c r="BW7" s="74">
        <f t="shared" ref="BW7:BW8" si="92">IF(ISBLANK(BS7),"",IFERROR(YEAR(BS7),""))</f>
        <v>2023</v>
      </c>
      <c r="BX7" s="74">
        <f t="shared" ref="BX7:BX8" si="93">IF(ISBLANK(BP7),"",IF(OR(BP7="제출불가",BP7="조치완료보고 대체"),BP7,IFERROR(WEEKNUM(BP7),"")))</f>
        <v>9</v>
      </c>
      <c r="BY7" s="74">
        <f t="shared" ref="BY7:BY8" si="94">IF(ISBLANK(BQ7),"",IF(OR(BQ7="제출불가",BQ7="조치완료보고 대체"),BQ7,IFERROR(WEEKNUM(BQ7),"")))</f>
        <v>14</v>
      </c>
      <c r="BZ7" s="74">
        <f t="shared" ref="BZ7:BZ8" si="95">IF(ISBLANK(BR7),"",IF(OR(BR7="제출불가",BR7="조치완료보고 대체"),BR7,IFERROR(WEEKNUM(BR7),"")))</f>
        <v>14</v>
      </c>
      <c r="CA7" s="74">
        <f t="shared" ref="CA7:CA8" si="96">IF(ISBLANK(BS7),"",IF(OR(BS7="제출불가",BS7="조치완료보고 대체"),BS7,IFERROR(WEEKNUM(BS7),"")))</f>
        <v>17</v>
      </c>
      <c r="CB7" s="73">
        <f t="shared" ref="CB7:CB8" si="97">IF(ISBLANK(BB7),"",BB7)</f>
        <v>45040</v>
      </c>
      <c r="CC7" s="73" t="str">
        <f t="shared" ref="CC7:CC8" si="98">IF(ISBLANK(BF7),"",BF7)</f>
        <v>-</v>
      </c>
      <c r="CD7" s="73">
        <f t="shared" ref="CD7:CD8" si="99">IF(ISBLANK(BI7),"",BI7)</f>
        <v>45056</v>
      </c>
      <c r="CE7" s="73" t="str">
        <f t="shared" ref="CE7:CE8" si="100">IF(ISBLANK(BM7),"",BM7)</f>
        <v>-</v>
      </c>
      <c r="CF7" s="74">
        <f t="shared" ref="CF7:CF8" si="101">IF(ISBLANK(CB7),"",IFERROR(YEAR(CB7),""))</f>
        <v>2023</v>
      </c>
      <c r="CG7" s="74" t="str">
        <f t="shared" ref="CG7:CG8" si="102">IF(ISBLANK(CC7),"",IFERROR(YEAR(CC7),""))</f>
        <v/>
      </c>
      <c r="CH7" s="74">
        <f t="shared" ref="CH7:CH8" si="103">IF(ISBLANK(CD7),"",IFERROR(YEAR(CD7),""))</f>
        <v>2023</v>
      </c>
      <c r="CI7" s="74" t="str">
        <f t="shared" ref="CI7:CI8" si="104">IF(ISBLANK(CE7),"",IFERROR(YEAR(CE7),""))</f>
        <v/>
      </c>
      <c r="CJ7" s="74">
        <f t="shared" ref="CJ7:CJ8" si="105">IF(ISBLANK(CB7),"",IF(OR(CB7="제출불가",CB7="조치완료보고 대체"),CB7,IFERROR(WEEKNUM(CB7),"")))</f>
        <v>17</v>
      </c>
      <c r="CK7" s="74" t="str">
        <f t="shared" ref="CK7:CK8" si="106">IF(ISBLANK(CC7),"",IF(OR(CC7="제출불가",CC7="조치완료보고 대체"),CC7,IFERROR(WEEKNUM(CC7),"")))</f>
        <v/>
      </c>
      <c r="CL7" s="74">
        <f t="shared" ref="CL7:CL8" si="107">IF(ISBLANK(CD7),"",IF(OR(CD7="제출불가",CD7="조치완료보고 대체"),CD7,IFERROR(WEEKNUM(CD7),"")))</f>
        <v>19</v>
      </c>
      <c r="CM7" s="74" t="str">
        <f t="shared" ref="CM7:CM8" si="108">IF(ISBLANK(CE7),"",IF(OR(CE7="제출불가",CE7="조치완료보고 대체"),CE7,IFERROR(WEEKNUM(CE7),"")))</f>
        <v/>
      </c>
      <c r="CN7" s="52" t="str">
        <f t="shared" ref="CN7:CN8" ca="1" si="109">BC7</f>
        <v>완료</v>
      </c>
      <c r="CO7" s="52" t="str">
        <f t="shared" ref="CO7:CO8" ca="1" si="110">BG7</f>
        <v>지연</v>
      </c>
      <c r="CP7" s="52" t="str">
        <f t="shared" ref="CP7:CP8" ca="1" si="111">BJ7</f>
        <v>완료</v>
      </c>
      <c r="CQ7" s="52" t="str">
        <f t="shared" ref="CQ7:CQ8" ca="1" si="112">BN7</f>
        <v>지연</v>
      </c>
      <c r="CR7" s="52" t="str">
        <f t="shared" ref="CR7:CR8" si="113">IF(BD7="","",BD7)</f>
        <v>종결</v>
      </c>
      <c r="CS7" s="52"/>
      <c r="CT7" s="52"/>
      <c r="CU7" s="52"/>
      <c r="CV7" s="101" t="s">
        <v>715</v>
      </c>
      <c r="CW7" s="129" t="str">
        <f>IF(COUNTIF($CV:$CV,CV7)&gt;1,"중복","")</f>
        <v>중복</v>
      </c>
      <c r="CX7" s="131" t="s">
        <v>186</v>
      </c>
      <c r="CY7" s="11" t="s">
        <v>156</v>
      </c>
      <c r="CZ7" s="11" t="s">
        <v>224</v>
      </c>
      <c r="DA7" s="11" t="s">
        <v>83</v>
      </c>
      <c r="DB7" s="80" t="s">
        <v>87</v>
      </c>
      <c r="DC7" s="80" t="s">
        <v>87</v>
      </c>
      <c r="DD7" s="2">
        <f t="shared" ref="DD7:DD8" si="114">IF(N7="-","-",VALUE(LEFT(N7,3)&amp;RIGHT(N7,2)))</f>
        <v>35144</v>
      </c>
      <c r="DE7" s="80" t="str">
        <f>IF(DD7="-","-",VLOOKUP(DD7,'프로젝트 담당자'!$T$3:$W$80,4,0))</f>
        <v>분당</v>
      </c>
      <c r="DF7" s="82" t="s">
        <v>29</v>
      </c>
      <c r="DG7" s="80" t="str">
        <f>VLOOKUP(DD7,'프로젝트 담당자'!$T$2:$Y$80,6,0)</f>
        <v>이성규</v>
      </c>
      <c r="DH7" s="2" t="s">
        <v>91</v>
      </c>
      <c r="DI7" s="2" t="s">
        <v>107</v>
      </c>
      <c r="DJ7" s="2" t="s">
        <v>91</v>
      </c>
    </row>
    <row r="8" spans="1:114" ht="109.2" x14ac:dyDescent="0.4">
      <c r="A8" s="218">
        <v>319</v>
      </c>
      <c r="B8" s="71">
        <f t="shared" si="77"/>
        <v>44967</v>
      </c>
      <c r="C8" s="188">
        <f t="shared" si="78"/>
        <v>6</v>
      </c>
      <c r="D8" s="82">
        <v>2023</v>
      </c>
      <c r="E8" s="82">
        <v>2</v>
      </c>
      <c r="F8" s="82">
        <v>10</v>
      </c>
      <c r="G8" s="71">
        <v>44970</v>
      </c>
      <c r="H8" s="1" t="str">
        <f t="shared" ref="H8:H13" si="115">IF(WEEKDAY(G8)=1,"일",IF(WEEKDAY(G8)=2,"월",IF(WEEKDAY(G8)=3,"화",IF(WEEKDAY(G8)=4,"수",IF(WEEKDAY(G8)=5,"목",IF(WEEKDAY(G8)=6,"금",IF(WEEKDAY(G8)=7,"토")))))))</f>
        <v>월</v>
      </c>
      <c r="I8" s="82" t="s">
        <v>152</v>
      </c>
      <c r="J8" s="82" t="s">
        <v>4</v>
      </c>
      <c r="K8" s="1" t="str">
        <f t="shared" si="80"/>
        <v>448R</v>
      </c>
      <c r="L8" s="56" t="str">
        <f>VLOOKUP('2023년 신조차 고장관리 세부현황'!DD8,'프로젝트 담당자'!$T$2:$Z$80,7,0)</f>
        <v>경인선 80량</v>
      </c>
      <c r="M8" s="2" t="s">
        <v>689</v>
      </c>
      <c r="N8" s="82">
        <v>312911</v>
      </c>
      <c r="O8" s="105">
        <f>IF(OR(K8="128R",K8="448R"),VLOOKUP('2023년 신조차 고장관리 세부현황'!DD8,'프로젝트 담당자'!$T$2:$AB$80,9,0),"기타")</f>
        <v>44592</v>
      </c>
      <c r="P8" s="137">
        <f t="shared" ref="P8:P11" si="116">IF(OR(V8="삭제",O8="기타"),"",IF(ISBLANK(O8),"",B8-O8))</f>
        <v>375</v>
      </c>
      <c r="Q8" s="89" t="s">
        <v>166</v>
      </c>
      <c r="R8" s="96" t="s">
        <v>427</v>
      </c>
      <c r="S8" s="131" t="s">
        <v>186</v>
      </c>
      <c r="T8" s="340" t="s">
        <v>18</v>
      </c>
      <c r="U8" s="340" t="s">
        <v>18</v>
      </c>
      <c r="V8" s="2" t="s">
        <v>162</v>
      </c>
      <c r="W8" s="223" t="s">
        <v>225</v>
      </c>
      <c r="X8" s="209" t="s">
        <v>289</v>
      </c>
      <c r="Y8" s="82"/>
      <c r="Z8" s="82"/>
      <c r="AA8" s="82"/>
      <c r="AB8" s="82"/>
      <c r="AC8" s="82"/>
      <c r="AD8" s="82"/>
      <c r="AE8" s="82"/>
      <c r="AF8" s="82"/>
      <c r="AG8" s="82"/>
      <c r="AH8" s="82"/>
      <c r="AI8" s="82"/>
      <c r="AJ8" s="2" t="s">
        <v>456</v>
      </c>
      <c r="AK8" s="11"/>
      <c r="AL8" s="80" t="s">
        <v>482</v>
      </c>
      <c r="AM8" s="11"/>
      <c r="AN8" s="80"/>
      <c r="AO8" s="11"/>
      <c r="AP8" s="80"/>
      <c r="AQ8" s="11" t="s">
        <v>425</v>
      </c>
      <c r="AR8" s="3" t="s">
        <v>594</v>
      </c>
      <c r="AS8" s="53" t="s">
        <v>10</v>
      </c>
      <c r="AT8" s="7">
        <v>44980</v>
      </c>
      <c r="AU8" s="7" t="s">
        <v>368</v>
      </c>
      <c r="AV8" s="82"/>
      <c r="AW8" s="56"/>
      <c r="AX8" s="56"/>
      <c r="AY8" s="7"/>
      <c r="AZ8" s="7" t="str">
        <f t="shared" ref="AZ8:AZ10" si="117">IF(OR(AS8="O",AS8="삭제"),"완료","지연")</f>
        <v>완료</v>
      </c>
      <c r="BA8" s="7">
        <v>44977</v>
      </c>
      <c r="BB8" s="7">
        <v>45040</v>
      </c>
      <c r="BC8" s="2" t="str">
        <f t="shared" ca="1" si="81"/>
        <v>완료</v>
      </c>
      <c r="BD8" s="7" t="s">
        <v>460</v>
      </c>
      <c r="BE8" s="7">
        <v>44982</v>
      </c>
      <c r="BF8" s="82" t="s">
        <v>5</v>
      </c>
      <c r="BG8" s="2" t="str">
        <f t="shared" ca="1" si="82"/>
        <v>지연</v>
      </c>
      <c r="BH8" s="7">
        <v>44989</v>
      </c>
      <c r="BI8" s="10">
        <v>45056</v>
      </c>
      <c r="BJ8" s="2" t="str">
        <f t="shared" ca="1" si="83"/>
        <v>완료</v>
      </c>
      <c r="BK8" s="10" t="s">
        <v>479</v>
      </c>
      <c r="BL8" s="7">
        <v>45022</v>
      </c>
      <c r="BM8" s="82" t="s">
        <v>5</v>
      </c>
      <c r="BN8" s="2" t="str">
        <f t="shared" ca="1" si="84"/>
        <v>지연</v>
      </c>
      <c r="BO8" s="2"/>
      <c r="BP8" s="10">
        <f t="shared" si="85"/>
        <v>44977</v>
      </c>
      <c r="BQ8" s="10">
        <f t="shared" si="86"/>
        <v>44982</v>
      </c>
      <c r="BR8" s="10">
        <f t="shared" si="87"/>
        <v>44989</v>
      </c>
      <c r="BS8" s="10">
        <f t="shared" si="88"/>
        <v>45022</v>
      </c>
      <c r="BT8" s="75">
        <f t="shared" si="89"/>
        <v>2023</v>
      </c>
      <c r="BU8" s="75">
        <f t="shared" si="90"/>
        <v>2023</v>
      </c>
      <c r="BV8" s="75">
        <f t="shared" si="91"/>
        <v>2023</v>
      </c>
      <c r="BW8" s="75">
        <f t="shared" si="92"/>
        <v>2023</v>
      </c>
      <c r="BX8" s="75">
        <f t="shared" si="93"/>
        <v>8</v>
      </c>
      <c r="BY8" s="75">
        <f t="shared" si="94"/>
        <v>8</v>
      </c>
      <c r="BZ8" s="75">
        <f t="shared" si="95"/>
        <v>9</v>
      </c>
      <c r="CA8" s="75">
        <f t="shared" si="96"/>
        <v>14</v>
      </c>
      <c r="CB8" s="10">
        <f t="shared" si="97"/>
        <v>45040</v>
      </c>
      <c r="CC8" s="10" t="str">
        <f t="shared" si="98"/>
        <v>-</v>
      </c>
      <c r="CD8" s="10">
        <f t="shared" si="99"/>
        <v>45056</v>
      </c>
      <c r="CE8" s="10" t="str">
        <f t="shared" si="100"/>
        <v>-</v>
      </c>
      <c r="CF8" s="75">
        <f t="shared" si="101"/>
        <v>2023</v>
      </c>
      <c r="CG8" s="75" t="str">
        <f t="shared" si="102"/>
        <v/>
      </c>
      <c r="CH8" s="75">
        <f t="shared" si="103"/>
        <v>2023</v>
      </c>
      <c r="CI8" s="75" t="str">
        <f t="shared" si="104"/>
        <v/>
      </c>
      <c r="CJ8" s="75">
        <f t="shared" si="105"/>
        <v>17</v>
      </c>
      <c r="CK8" s="75" t="str">
        <f t="shared" si="106"/>
        <v/>
      </c>
      <c r="CL8" s="75">
        <f t="shared" si="107"/>
        <v>19</v>
      </c>
      <c r="CM8" s="75" t="str">
        <f t="shared" si="108"/>
        <v/>
      </c>
      <c r="CN8" s="2" t="str">
        <f t="shared" ca="1" si="109"/>
        <v>완료</v>
      </c>
      <c r="CO8" s="2" t="str">
        <f t="shared" ca="1" si="110"/>
        <v>지연</v>
      </c>
      <c r="CP8" s="2" t="str">
        <f t="shared" ca="1" si="111"/>
        <v>완료</v>
      </c>
      <c r="CQ8" s="2" t="str">
        <f t="shared" ca="1" si="112"/>
        <v>지연</v>
      </c>
      <c r="CR8" s="52" t="str">
        <f t="shared" si="113"/>
        <v>종결</v>
      </c>
      <c r="CS8" s="52"/>
      <c r="CT8" s="52"/>
      <c r="CU8" s="52"/>
      <c r="CV8" s="101" t="s">
        <v>715</v>
      </c>
      <c r="CW8" s="129" t="str">
        <f>IF(COUNTIF($CV:$CV,CV8)&gt;1,"중복","")</f>
        <v>중복</v>
      </c>
      <c r="CX8" s="131" t="s">
        <v>186</v>
      </c>
      <c r="CY8" s="11" t="s">
        <v>156</v>
      </c>
      <c r="CZ8" s="11" t="s">
        <v>224</v>
      </c>
      <c r="DA8" s="11" t="s">
        <v>83</v>
      </c>
      <c r="DB8" s="80" t="s">
        <v>87</v>
      </c>
      <c r="DC8" s="80" t="s">
        <v>87</v>
      </c>
      <c r="DD8" s="2">
        <f t="shared" si="114"/>
        <v>31211</v>
      </c>
      <c r="DE8" s="80" t="str">
        <f>IF(DD8="-","-",VLOOKUP(DD8,'프로젝트 담당자'!$T$3:$W$80,4,0))</f>
        <v>구로</v>
      </c>
      <c r="DF8" s="82" t="s">
        <v>29</v>
      </c>
      <c r="DG8" s="82" t="str">
        <f>VLOOKUP(DD8,'프로젝트 담당자'!$T$2:$Y$80,6,0)</f>
        <v>최우성</v>
      </c>
      <c r="DH8" s="82" t="s">
        <v>91</v>
      </c>
      <c r="DI8" s="82" t="s">
        <v>107</v>
      </c>
      <c r="DJ8" s="82" t="s">
        <v>91</v>
      </c>
    </row>
    <row r="9" spans="1:114" ht="187.2" x14ac:dyDescent="0.4">
      <c r="A9" s="218">
        <v>324</v>
      </c>
      <c r="B9" s="71">
        <f t="shared" ref="B9:B13" si="118">IFERROR(DATE(D9,E9,F9),"")</f>
        <v>44970</v>
      </c>
      <c r="C9" s="188">
        <f t="shared" ref="C9:C13" si="119">WEEKNUM(B9)</f>
        <v>7</v>
      </c>
      <c r="D9" s="82">
        <v>2023</v>
      </c>
      <c r="E9" s="82">
        <v>2</v>
      </c>
      <c r="F9" s="82">
        <v>13</v>
      </c>
      <c r="G9" s="71">
        <v>44971</v>
      </c>
      <c r="H9" s="1" t="str">
        <f t="shared" si="115"/>
        <v>화</v>
      </c>
      <c r="I9" s="82" t="s">
        <v>14</v>
      </c>
      <c r="J9" s="82" t="s">
        <v>3</v>
      </c>
      <c r="K9" s="1" t="str">
        <f t="shared" ref="K9:K13" si="120">IF(OR(L9="경원선 18량",L9="과천안산선 70량",L9="1호선 40량"),"128R",IF(OR(L9="경인선 80량",L9="과천안산선 180량",L9="분당선 108량"),"448R","기타"))</f>
        <v>448R</v>
      </c>
      <c r="L9" s="56" t="str">
        <f>VLOOKUP('2023년 신조차 고장관리 세부현황'!DD9,'프로젝트 담당자'!$T$2:$Z$80,7,0)</f>
        <v>분당선 108량</v>
      </c>
      <c r="M9" s="82" t="s">
        <v>169</v>
      </c>
      <c r="N9" s="82">
        <v>351052</v>
      </c>
      <c r="O9" s="105">
        <f>IF(OR(K9="128R",K9="448R"),VLOOKUP('2023년 신조차 고장관리 세부현황'!DD9,'프로젝트 담당자'!$T$2:$AB$80,9,0),"기타")</f>
        <v>44804</v>
      </c>
      <c r="P9" s="137">
        <f t="shared" si="116"/>
        <v>166</v>
      </c>
      <c r="Q9" s="89" t="s">
        <v>170</v>
      </c>
      <c r="R9" s="96"/>
      <c r="S9" s="131" t="s">
        <v>186</v>
      </c>
      <c r="T9" s="340" t="s">
        <v>18</v>
      </c>
      <c r="U9" s="340" t="s">
        <v>18</v>
      </c>
      <c r="V9" s="2" t="s">
        <v>162</v>
      </c>
      <c r="W9" s="226" t="s">
        <v>466</v>
      </c>
      <c r="X9" s="234" t="s">
        <v>319</v>
      </c>
      <c r="Y9" s="82"/>
      <c r="Z9" s="82"/>
      <c r="AA9" s="82"/>
      <c r="AB9" s="82"/>
      <c r="AC9" s="82"/>
      <c r="AD9" s="82"/>
      <c r="AE9" s="82"/>
      <c r="AF9" s="82"/>
      <c r="AG9" s="82"/>
      <c r="AH9" s="82"/>
      <c r="AI9" s="82"/>
      <c r="AJ9" s="2" t="s">
        <v>456</v>
      </c>
      <c r="AK9" s="11"/>
      <c r="AL9" s="80" t="s">
        <v>482</v>
      </c>
      <c r="AM9" s="12" t="s">
        <v>485</v>
      </c>
      <c r="AN9" s="80"/>
      <c r="AO9" s="11"/>
      <c r="AP9" s="80" t="s">
        <v>420</v>
      </c>
      <c r="AQ9" s="11" t="s">
        <v>425</v>
      </c>
      <c r="AR9" s="3" t="s">
        <v>594</v>
      </c>
      <c r="AS9" s="53" t="s">
        <v>10</v>
      </c>
      <c r="AT9" s="7">
        <v>44971</v>
      </c>
      <c r="AU9" s="7"/>
      <c r="AV9" s="82"/>
      <c r="AW9" s="128"/>
      <c r="AX9" s="128"/>
      <c r="AY9" s="7"/>
      <c r="AZ9" s="7" t="str">
        <f t="shared" si="117"/>
        <v>완료</v>
      </c>
      <c r="BA9" s="7">
        <v>44978</v>
      </c>
      <c r="BB9" s="7">
        <v>44972</v>
      </c>
      <c r="BC9" s="2" t="str">
        <f t="shared" ca="1" si="81"/>
        <v>완료</v>
      </c>
      <c r="BD9" s="7" t="s">
        <v>460</v>
      </c>
      <c r="BE9" s="7">
        <v>44983</v>
      </c>
      <c r="BF9" s="82" t="s">
        <v>5</v>
      </c>
      <c r="BG9" s="2" t="str">
        <f t="shared" ref="BG9:BG13" ca="1" si="121">IF(ISBLANK(BF9),"",IF(OR(BF9&lt;=BE9,BF9="조치완료보고 대체",BF9="제출불가"),"완료",IF(AND(BF9="-",BE9&gt;=TODAY()),"예정",IF(AND(BF9="-",BE9&lt;TODAY()),"지연",IF(BF9&gt;BE9,"완료","")))))</f>
        <v>지연</v>
      </c>
      <c r="BH9" s="7">
        <v>45023</v>
      </c>
      <c r="BI9" s="10">
        <v>45056</v>
      </c>
      <c r="BJ9" s="2" t="str">
        <f t="shared" ca="1" si="83"/>
        <v>완료</v>
      </c>
      <c r="BK9" s="10" t="s">
        <v>479</v>
      </c>
      <c r="BL9" s="7">
        <v>45044</v>
      </c>
      <c r="BM9" s="82" t="s">
        <v>5</v>
      </c>
      <c r="BN9" s="2" t="str">
        <f t="shared" ca="1" si="84"/>
        <v>지연</v>
      </c>
      <c r="BO9" s="2"/>
      <c r="BP9" s="10">
        <f t="shared" ref="BP9:BP13" si="122">IF(ISBLANK(BA9),"",BA9)</f>
        <v>44978</v>
      </c>
      <c r="BQ9" s="10">
        <f t="shared" ref="BQ9:BQ13" si="123">IF(ISBLANK(BE9),"",BE9)</f>
        <v>44983</v>
      </c>
      <c r="BR9" s="10">
        <f t="shared" ref="BR9:BR13" si="124">IF(ISBLANK(BH9),"",BH9)</f>
        <v>45023</v>
      </c>
      <c r="BS9" s="10">
        <f t="shared" ref="BS9:BS13" si="125">IF(ISBLANK(BL9),"",BL9)</f>
        <v>45044</v>
      </c>
      <c r="BT9" s="75">
        <f t="shared" ref="BT9:BT13" si="126">IF(ISBLANK(BP9),"",IFERROR(YEAR(BP9),""))</f>
        <v>2023</v>
      </c>
      <c r="BU9" s="75">
        <f t="shared" ref="BU9:BU13" si="127">IF(ISBLANK(BQ9),"",IFERROR(YEAR(BQ9),""))</f>
        <v>2023</v>
      </c>
      <c r="BV9" s="75">
        <f t="shared" ref="BV9:BV13" si="128">IF(ISBLANK(BR9),"",IFERROR(YEAR(BR9),""))</f>
        <v>2023</v>
      </c>
      <c r="BW9" s="75">
        <f t="shared" ref="BW9:BW13" si="129">IF(ISBLANK(BS9),"",IFERROR(YEAR(BS9),""))</f>
        <v>2023</v>
      </c>
      <c r="BX9" s="75">
        <f t="shared" ref="BX9:BX13" si="130">IF(ISBLANK(BP9),"",IF(OR(BP9="제출불가",BP9="조치완료보고 대체"),BP9,IFERROR(WEEKNUM(BP9),"")))</f>
        <v>8</v>
      </c>
      <c r="BY9" s="75">
        <f t="shared" ref="BY9:BY13" si="131">IF(ISBLANK(BQ9),"",IF(OR(BQ9="제출불가",BQ9="조치완료보고 대체"),BQ9,IFERROR(WEEKNUM(BQ9),"")))</f>
        <v>9</v>
      </c>
      <c r="BZ9" s="75">
        <f t="shared" ref="BZ9:BZ13" si="132">IF(ISBLANK(BR9),"",IF(OR(BR9="제출불가",BR9="조치완료보고 대체"),BR9,IFERROR(WEEKNUM(BR9),"")))</f>
        <v>14</v>
      </c>
      <c r="CA9" s="75">
        <f t="shared" ref="CA9:CA13" si="133">IF(ISBLANK(BS9),"",IF(OR(BS9="제출불가",BS9="조치완료보고 대체"),BS9,IFERROR(WEEKNUM(BS9),"")))</f>
        <v>17</v>
      </c>
      <c r="CB9" s="10">
        <f t="shared" ref="CB9:CB13" si="134">IF(ISBLANK(BB9),"",BB9)</f>
        <v>44972</v>
      </c>
      <c r="CC9" s="10" t="str">
        <f t="shared" ref="CC9:CC13" si="135">IF(ISBLANK(BF9),"",BF9)</f>
        <v>-</v>
      </c>
      <c r="CD9" s="10">
        <f t="shared" ref="CD9:CD13" si="136">IF(ISBLANK(BI9),"",BI9)</f>
        <v>45056</v>
      </c>
      <c r="CE9" s="10" t="str">
        <f t="shared" ref="CE9:CE13" si="137">IF(ISBLANK(BM9),"",BM9)</f>
        <v>-</v>
      </c>
      <c r="CF9" s="75">
        <f t="shared" ref="CF9:CF13" si="138">IF(ISBLANK(CB9),"",IFERROR(YEAR(CB9),""))</f>
        <v>2023</v>
      </c>
      <c r="CG9" s="75" t="str">
        <f t="shared" ref="CG9:CG13" si="139">IF(ISBLANK(CC9),"",IFERROR(YEAR(CC9),""))</f>
        <v/>
      </c>
      <c r="CH9" s="75">
        <f t="shared" ref="CH9:CH13" si="140">IF(ISBLANK(CD9),"",IFERROR(YEAR(CD9),""))</f>
        <v>2023</v>
      </c>
      <c r="CI9" s="75" t="str">
        <f t="shared" ref="CI9:CI13" si="141">IF(ISBLANK(CE9),"",IFERROR(YEAR(CE9),""))</f>
        <v/>
      </c>
      <c r="CJ9" s="75">
        <f t="shared" ref="CJ9:CJ13" si="142">IF(ISBLANK(CB9),"",IF(OR(CB9="제출불가",CB9="조치완료보고 대체"),CB9,IFERROR(WEEKNUM(CB9),"")))</f>
        <v>7</v>
      </c>
      <c r="CK9" s="75" t="str">
        <f t="shared" ref="CK9:CK13" si="143">IF(ISBLANK(CC9),"",IF(OR(CC9="제출불가",CC9="조치완료보고 대체"),CC9,IFERROR(WEEKNUM(CC9),"")))</f>
        <v/>
      </c>
      <c r="CL9" s="75">
        <f t="shared" ref="CL9:CL13" si="144">IF(ISBLANK(CD9),"",IF(OR(CD9="제출불가",CD9="조치완료보고 대체"),CD9,IFERROR(WEEKNUM(CD9),"")))</f>
        <v>19</v>
      </c>
      <c r="CM9" s="75" t="str">
        <f t="shared" ref="CM9:CM13" si="145">IF(ISBLANK(CE9),"",IF(OR(CE9="제출불가",CE9="조치완료보고 대체"),CE9,IFERROR(WEEKNUM(CE9),"")))</f>
        <v/>
      </c>
      <c r="CN9" s="2" t="str">
        <f t="shared" ref="CN9:CN13" ca="1" si="146">BC9</f>
        <v>완료</v>
      </c>
      <c r="CO9" s="2" t="str">
        <f t="shared" ref="CO9:CO13" ca="1" si="147">BG9</f>
        <v>지연</v>
      </c>
      <c r="CP9" s="2" t="str">
        <f t="shared" ref="CP9:CP13" ca="1" si="148">BJ9</f>
        <v>완료</v>
      </c>
      <c r="CQ9" s="2" t="str">
        <f t="shared" ref="CQ9:CQ13" ca="1" si="149">BN9</f>
        <v>지연</v>
      </c>
      <c r="CR9" s="52" t="str">
        <f t="shared" ref="CR9:CR13" si="150">IF(BD9="","",BD9)</f>
        <v>종결</v>
      </c>
      <c r="CS9" s="52"/>
      <c r="CT9" s="52"/>
      <c r="CU9" s="52"/>
      <c r="CV9" s="101" t="s">
        <v>715</v>
      </c>
      <c r="CW9" s="129" t="str">
        <f>IF(COUNTIF($CV:$CV,CV9)&gt;1,"중복","")</f>
        <v>중복</v>
      </c>
      <c r="CX9" s="131" t="s">
        <v>186</v>
      </c>
      <c r="CY9" s="11" t="s">
        <v>156</v>
      </c>
      <c r="CZ9" s="11" t="s">
        <v>224</v>
      </c>
      <c r="DA9" s="11" t="s">
        <v>83</v>
      </c>
      <c r="DB9" s="80" t="s">
        <v>87</v>
      </c>
      <c r="DC9" s="80" t="s">
        <v>87</v>
      </c>
      <c r="DD9" s="2">
        <f t="shared" ref="DD9:DD13" si="151">IF(N9="-","-",VALUE(LEFT(N9,3)&amp;RIGHT(N9,2)))</f>
        <v>35152</v>
      </c>
      <c r="DE9" s="80" t="str">
        <f>IF(DD9="-","-",VLOOKUP(DD9,'프로젝트 담당자'!$T$3:$W$80,4,0))</f>
        <v>분당</v>
      </c>
      <c r="DF9" s="82" t="s">
        <v>29</v>
      </c>
      <c r="DG9" s="82" t="str">
        <f>VLOOKUP(DD9,'프로젝트 담당자'!$T$2:$Y$80,6,0)</f>
        <v>이성규</v>
      </c>
      <c r="DH9" s="82" t="s">
        <v>91</v>
      </c>
      <c r="DI9" s="82" t="s">
        <v>107</v>
      </c>
      <c r="DJ9" s="82" t="s">
        <v>91</v>
      </c>
    </row>
    <row r="10" spans="1:114" ht="409.6" x14ac:dyDescent="0.4">
      <c r="A10" s="212">
        <v>337</v>
      </c>
      <c r="B10" s="71">
        <f t="shared" si="118"/>
        <v>44975</v>
      </c>
      <c r="C10" s="188">
        <f t="shared" si="119"/>
        <v>7</v>
      </c>
      <c r="D10" s="100">
        <v>2023</v>
      </c>
      <c r="E10" s="82">
        <v>2</v>
      </c>
      <c r="F10" s="82">
        <v>18</v>
      </c>
      <c r="G10" s="71">
        <v>44977</v>
      </c>
      <c r="H10" s="1" t="str">
        <f t="shared" si="115"/>
        <v>월</v>
      </c>
      <c r="I10" s="82" t="s">
        <v>14</v>
      </c>
      <c r="J10" s="82" t="s">
        <v>3</v>
      </c>
      <c r="K10" s="1" t="str">
        <f t="shared" si="120"/>
        <v>448R</v>
      </c>
      <c r="L10" s="56" t="str">
        <f>VLOOKUP('2023년 신조차 고장관리 세부현황'!DD10,'프로젝트 담당자'!$T$2:$Z$80,7,0)</f>
        <v>분당선 108량</v>
      </c>
      <c r="M10" s="82" t="s">
        <v>182</v>
      </c>
      <c r="N10" s="82">
        <v>351044</v>
      </c>
      <c r="O10" s="105">
        <f>IF(OR(K10="128R",K10="448R"),VLOOKUP('2023년 신조차 고장관리 세부현황'!DD10,'프로젝트 담당자'!$T$2:$AB$80,9,0),"기타")</f>
        <v>44681</v>
      </c>
      <c r="P10" s="137">
        <f t="shared" si="116"/>
        <v>294</v>
      </c>
      <c r="Q10" s="89" t="s">
        <v>184</v>
      </c>
      <c r="R10" s="96"/>
      <c r="S10" s="131" t="s">
        <v>186</v>
      </c>
      <c r="T10" s="340" t="s">
        <v>18</v>
      </c>
      <c r="U10" s="340" t="s">
        <v>18</v>
      </c>
      <c r="V10" s="2" t="s">
        <v>162</v>
      </c>
      <c r="W10" s="226" t="s">
        <v>467</v>
      </c>
      <c r="X10" s="226" t="s">
        <v>701</v>
      </c>
      <c r="Y10" s="82"/>
      <c r="Z10" s="82"/>
      <c r="AA10" s="82"/>
      <c r="AB10" s="82"/>
      <c r="AC10" s="82"/>
      <c r="AD10" s="82"/>
      <c r="AE10" s="82"/>
      <c r="AF10" s="82"/>
      <c r="AG10" s="82"/>
      <c r="AH10" s="82"/>
      <c r="AI10" s="82"/>
      <c r="AJ10" s="2" t="s">
        <v>456</v>
      </c>
      <c r="AK10" s="11"/>
      <c r="AL10" s="80" t="s">
        <v>482</v>
      </c>
      <c r="AM10" s="12" t="s">
        <v>485</v>
      </c>
      <c r="AN10" s="80"/>
      <c r="AO10" s="11"/>
      <c r="AP10" s="80" t="s">
        <v>420</v>
      </c>
      <c r="AQ10" s="11" t="s">
        <v>425</v>
      </c>
      <c r="AR10" s="3" t="s">
        <v>594</v>
      </c>
      <c r="AS10" s="53" t="s">
        <v>10</v>
      </c>
      <c r="AT10" s="7">
        <v>44979</v>
      </c>
      <c r="AU10" s="7"/>
      <c r="AV10" s="82"/>
      <c r="AW10" s="128"/>
      <c r="AX10" s="128"/>
      <c r="AY10" s="7"/>
      <c r="AZ10" s="7" t="str">
        <f t="shared" si="117"/>
        <v>완료</v>
      </c>
      <c r="BA10" s="7">
        <v>44984</v>
      </c>
      <c r="BB10" s="7">
        <v>45040</v>
      </c>
      <c r="BC10" s="2" t="str">
        <f t="shared" ref="BC10:BC14" ca="1" si="152">IF(ISBLANK(BB10),"",IF(OR(BB10&lt;=BA10,BB10="조치완료보고 대체",BB10="제출불가"),"완료",IF(AND(BB10="-",BA10&gt;=TODAY()),"예정",IF(AND(BB10="-",BA10&lt;TODAY()),"지연",IF(BB10&gt;BA10,"완료","")))))</f>
        <v>완료</v>
      </c>
      <c r="BD10" s="7" t="s">
        <v>460</v>
      </c>
      <c r="BE10" s="7">
        <v>44996</v>
      </c>
      <c r="BF10" s="82" t="s">
        <v>443</v>
      </c>
      <c r="BG10" s="2" t="str">
        <f t="shared" ca="1" si="121"/>
        <v>지연</v>
      </c>
      <c r="BH10" s="7">
        <v>44996</v>
      </c>
      <c r="BI10" s="10">
        <v>45056</v>
      </c>
      <c r="BJ10" s="2" t="str">
        <f t="shared" ref="BJ10:BJ14" ca="1" si="153">IF(ISBLANK(BI10),"",IF(OR(BI10&lt;=BH10,BI10="조치완료보고 대체",BI10="제출불가"),"완료",IF(AND(BI10="-",BH10&gt;=TODAY()),"예정",IF(AND(BI10="-",BH10&lt;TODAY()),"지연",IF(BI10&gt;BH10,"완료","")))))</f>
        <v>완료</v>
      </c>
      <c r="BK10" s="10" t="s">
        <v>479</v>
      </c>
      <c r="BL10" s="7">
        <v>45029</v>
      </c>
      <c r="BM10" s="82" t="s">
        <v>5</v>
      </c>
      <c r="BN10" s="2" t="str">
        <f t="shared" ref="BN10:BN14" ca="1" si="154">IF(ISBLANK(BM10),"",IF(OR(BM10&lt;=BL10,BM10="조치완료보고 대체",BM10="제출불가"),"완료",IF(AND(BM10="-",BL10&gt;=TODAY()),"예정",IF(AND(BM10="-",BL10&lt;TODAY()),"지연",IF(BM10&gt;BL10,"완료","")))))</f>
        <v>지연</v>
      </c>
      <c r="BO10" s="2"/>
      <c r="BP10" s="10">
        <f t="shared" si="122"/>
        <v>44984</v>
      </c>
      <c r="BQ10" s="10">
        <f t="shared" si="123"/>
        <v>44996</v>
      </c>
      <c r="BR10" s="10">
        <f t="shared" si="124"/>
        <v>44996</v>
      </c>
      <c r="BS10" s="10">
        <f t="shared" si="125"/>
        <v>45029</v>
      </c>
      <c r="BT10" s="75">
        <f t="shared" si="126"/>
        <v>2023</v>
      </c>
      <c r="BU10" s="75">
        <f t="shared" si="127"/>
        <v>2023</v>
      </c>
      <c r="BV10" s="75">
        <f t="shared" si="128"/>
        <v>2023</v>
      </c>
      <c r="BW10" s="75">
        <f t="shared" si="129"/>
        <v>2023</v>
      </c>
      <c r="BX10" s="75">
        <f t="shared" si="130"/>
        <v>9</v>
      </c>
      <c r="BY10" s="75">
        <f t="shared" si="131"/>
        <v>10</v>
      </c>
      <c r="BZ10" s="75">
        <f t="shared" si="132"/>
        <v>10</v>
      </c>
      <c r="CA10" s="75">
        <f t="shared" si="133"/>
        <v>15</v>
      </c>
      <c r="CB10" s="10">
        <f t="shared" si="134"/>
        <v>45040</v>
      </c>
      <c r="CC10" s="10" t="str">
        <f t="shared" si="135"/>
        <v>-</v>
      </c>
      <c r="CD10" s="10">
        <f t="shared" si="136"/>
        <v>45056</v>
      </c>
      <c r="CE10" s="10" t="str">
        <f t="shared" si="137"/>
        <v>-</v>
      </c>
      <c r="CF10" s="75">
        <f t="shared" si="138"/>
        <v>2023</v>
      </c>
      <c r="CG10" s="75" t="str">
        <f t="shared" si="139"/>
        <v/>
      </c>
      <c r="CH10" s="75">
        <f t="shared" si="140"/>
        <v>2023</v>
      </c>
      <c r="CI10" s="75" t="str">
        <f t="shared" si="141"/>
        <v/>
      </c>
      <c r="CJ10" s="75">
        <f t="shared" si="142"/>
        <v>17</v>
      </c>
      <c r="CK10" s="75" t="str">
        <f t="shared" si="143"/>
        <v/>
      </c>
      <c r="CL10" s="75">
        <f t="shared" si="144"/>
        <v>19</v>
      </c>
      <c r="CM10" s="75" t="str">
        <f t="shared" si="145"/>
        <v/>
      </c>
      <c r="CN10" s="2" t="str">
        <f t="shared" ca="1" si="146"/>
        <v>완료</v>
      </c>
      <c r="CO10" s="2" t="str">
        <f t="shared" ca="1" si="147"/>
        <v>지연</v>
      </c>
      <c r="CP10" s="2" t="str">
        <f t="shared" ca="1" si="148"/>
        <v>완료</v>
      </c>
      <c r="CQ10" s="2" t="str">
        <f t="shared" ca="1" si="149"/>
        <v>지연</v>
      </c>
      <c r="CR10" s="52" t="str">
        <f t="shared" si="150"/>
        <v>종결</v>
      </c>
      <c r="CS10" s="52"/>
      <c r="CT10" s="52"/>
      <c r="CU10" s="52"/>
      <c r="CV10" s="101" t="s">
        <v>715</v>
      </c>
      <c r="CW10" s="129" t="str">
        <f>IF(COUNTIF($CV:$CV,CV10)&gt;1,"중복","")</f>
        <v>중복</v>
      </c>
      <c r="CX10" s="131" t="s">
        <v>186</v>
      </c>
      <c r="CY10" s="11" t="s">
        <v>156</v>
      </c>
      <c r="CZ10" s="11" t="s">
        <v>224</v>
      </c>
      <c r="DA10" s="11" t="s">
        <v>83</v>
      </c>
      <c r="DB10" s="80" t="s">
        <v>87</v>
      </c>
      <c r="DC10" s="80" t="s">
        <v>87</v>
      </c>
      <c r="DD10" s="2">
        <f t="shared" si="151"/>
        <v>35144</v>
      </c>
      <c r="DE10" s="80" t="str">
        <f>IF(DD10="-","-",VLOOKUP(DD10,'프로젝트 담당자'!$T$3:$W$80,4,0))</f>
        <v>분당</v>
      </c>
      <c r="DF10" s="82" t="s">
        <v>29</v>
      </c>
      <c r="DG10" s="82" t="str">
        <f>VLOOKUP(DD10,'프로젝트 담당자'!$T$2:$Y$80,6,0)</f>
        <v>이성규</v>
      </c>
      <c r="DH10" s="82" t="s">
        <v>91</v>
      </c>
      <c r="DI10" s="82" t="s">
        <v>107</v>
      </c>
      <c r="DJ10" s="82" t="s">
        <v>91</v>
      </c>
    </row>
    <row r="11" spans="1:114" ht="180" x14ac:dyDescent="0.4">
      <c r="A11" s="218">
        <v>348</v>
      </c>
      <c r="B11" s="71">
        <f t="shared" si="118"/>
        <v>44978</v>
      </c>
      <c r="C11" s="188">
        <f t="shared" si="119"/>
        <v>8</v>
      </c>
      <c r="D11" s="100">
        <v>2023</v>
      </c>
      <c r="E11" s="82">
        <v>2</v>
      </c>
      <c r="F11" s="82">
        <v>21</v>
      </c>
      <c r="G11" s="71">
        <v>44979</v>
      </c>
      <c r="H11" s="1" t="str">
        <f t="shared" si="115"/>
        <v>수</v>
      </c>
      <c r="I11" s="82" t="s">
        <v>2</v>
      </c>
      <c r="J11" s="82" t="s">
        <v>4</v>
      </c>
      <c r="K11" s="56" t="str">
        <f t="shared" si="120"/>
        <v>128R</v>
      </c>
      <c r="L11" s="56" t="str">
        <f>VLOOKUP('2023년 신조차 고장관리 세부현황'!DD11,'프로젝트 담당자'!$T$2:$Z$80,7,0)</f>
        <v>1호선 40량</v>
      </c>
      <c r="M11" s="2" t="s">
        <v>689</v>
      </c>
      <c r="N11" s="82">
        <v>312005</v>
      </c>
      <c r="O11" s="105">
        <f>IF(OR(K11="128R",K11="448R"),VLOOKUP('2023년 신조차 고장관리 세부현황'!DD11,'프로젝트 담당자'!$T$2:$AB$80,9,0),"기타")</f>
        <v>43788</v>
      </c>
      <c r="P11" s="137">
        <f t="shared" si="116"/>
        <v>1190</v>
      </c>
      <c r="Q11" s="89" t="s">
        <v>219</v>
      </c>
      <c r="R11" s="96" t="s">
        <v>426</v>
      </c>
      <c r="S11" s="82" t="s">
        <v>188</v>
      </c>
      <c r="T11" s="2" t="s">
        <v>11</v>
      </c>
      <c r="U11" s="12" t="s">
        <v>162</v>
      </c>
      <c r="V11" s="2" t="s">
        <v>162</v>
      </c>
      <c r="W11" s="223" t="s">
        <v>249</v>
      </c>
      <c r="X11" s="258" t="s">
        <v>673</v>
      </c>
      <c r="Y11" s="82"/>
      <c r="Z11" s="82"/>
      <c r="AA11" s="82"/>
      <c r="AB11" s="82"/>
      <c r="AC11" s="82"/>
      <c r="AD11" s="82"/>
      <c r="AE11" s="82" t="s">
        <v>527</v>
      </c>
      <c r="AF11" s="82" t="s">
        <v>718</v>
      </c>
      <c r="AG11" s="82"/>
      <c r="AH11" s="82"/>
      <c r="AI11" s="79" t="s">
        <v>569</v>
      </c>
      <c r="AJ11" s="80"/>
      <c r="AK11" s="80"/>
      <c r="AL11" s="80" t="s">
        <v>264</v>
      </c>
      <c r="AM11" s="80"/>
      <c r="AN11" s="80"/>
      <c r="AO11" s="80"/>
      <c r="AP11" s="80"/>
      <c r="AQ11" s="11" t="s">
        <v>173</v>
      </c>
      <c r="AR11" s="3" t="s">
        <v>570</v>
      </c>
      <c r="AS11" s="53" t="s">
        <v>10</v>
      </c>
      <c r="AT11" s="7">
        <v>44988</v>
      </c>
      <c r="AU11" s="7" t="s">
        <v>368</v>
      </c>
      <c r="AV11" s="82"/>
      <c r="AW11" s="56"/>
      <c r="AX11" s="56"/>
      <c r="AY11" s="7"/>
      <c r="AZ11" s="7" t="str">
        <f t="shared" ref="AZ11:AZ16" si="155">IF(OR(AS11="O",AS11="삭제"),"완료","지연")</f>
        <v>완료</v>
      </c>
      <c r="BA11" s="2" t="s">
        <v>128</v>
      </c>
      <c r="BB11" s="82"/>
      <c r="BC11" s="2" t="str">
        <f t="shared" ca="1" si="152"/>
        <v/>
      </c>
      <c r="BD11" s="82"/>
      <c r="BE11" s="2" t="s">
        <v>128</v>
      </c>
      <c r="BF11" s="82"/>
      <c r="BG11" s="2" t="str">
        <f t="shared" ca="1" si="121"/>
        <v/>
      </c>
      <c r="BH11" s="2" t="s">
        <v>128</v>
      </c>
      <c r="BI11" s="82"/>
      <c r="BJ11" s="2" t="str">
        <f t="shared" ca="1" si="153"/>
        <v/>
      </c>
      <c r="BK11" s="82"/>
      <c r="BL11" s="2" t="s">
        <v>128</v>
      </c>
      <c r="BM11" s="82"/>
      <c r="BN11" s="2" t="str">
        <f t="shared" ca="1" si="154"/>
        <v/>
      </c>
      <c r="BO11" s="2"/>
      <c r="BP11" s="10" t="str">
        <f t="shared" si="122"/>
        <v>코레일 협의중</v>
      </c>
      <c r="BQ11" s="10" t="str">
        <f t="shared" si="123"/>
        <v>코레일 협의중</v>
      </c>
      <c r="BR11" s="10" t="str">
        <f t="shared" si="124"/>
        <v>코레일 협의중</v>
      </c>
      <c r="BS11" s="10" t="str">
        <f t="shared" si="125"/>
        <v>코레일 협의중</v>
      </c>
      <c r="BT11" s="75" t="str">
        <f t="shared" si="126"/>
        <v/>
      </c>
      <c r="BU11" s="75" t="str">
        <f t="shared" si="127"/>
        <v/>
      </c>
      <c r="BV11" s="75" t="str">
        <f t="shared" si="128"/>
        <v/>
      </c>
      <c r="BW11" s="75" t="str">
        <f t="shared" si="129"/>
        <v/>
      </c>
      <c r="BX11" s="75" t="str">
        <f t="shared" si="130"/>
        <v/>
      </c>
      <c r="BY11" s="75" t="str">
        <f t="shared" si="131"/>
        <v/>
      </c>
      <c r="BZ11" s="75" t="str">
        <f t="shared" si="132"/>
        <v/>
      </c>
      <c r="CA11" s="75" t="str">
        <f t="shared" si="133"/>
        <v/>
      </c>
      <c r="CB11" s="10" t="str">
        <f t="shared" si="134"/>
        <v/>
      </c>
      <c r="CC11" s="10" t="str">
        <f t="shared" si="135"/>
        <v/>
      </c>
      <c r="CD11" s="10" t="str">
        <f t="shared" si="136"/>
        <v/>
      </c>
      <c r="CE11" s="10" t="str">
        <f t="shared" si="137"/>
        <v/>
      </c>
      <c r="CF11" s="75" t="str">
        <f t="shared" si="138"/>
        <v/>
      </c>
      <c r="CG11" s="75" t="str">
        <f t="shared" si="139"/>
        <v/>
      </c>
      <c r="CH11" s="75" t="str">
        <f t="shared" si="140"/>
        <v/>
      </c>
      <c r="CI11" s="75" t="str">
        <f t="shared" si="141"/>
        <v/>
      </c>
      <c r="CJ11" s="75" t="str">
        <f t="shared" si="142"/>
        <v/>
      </c>
      <c r="CK11" s="75" t="str">
        <f t="shared" si="143"/>
        <v/>
      </c>
      <c r="CL11" s="75" t="str">
        <f t="shared" si="144"/>
        <v/>
      </c>
      <c r="CM11" s="75" t="str">
        <f t="shared" si="145"/>
        <v/>
      </c>
      <c r="CN11" s="2" t="str">
        <f t="shared" ca="1" si="146"/>
        <v/>
      </c>
      <c r="CO11" s="2" t="str">
        <f t="shared" ca="1" si="147"/>
        <v/>
      </c>
      <c r="CP11" s="2" t="str">
        <f t="shared" ca="1" si="148"/>
        <v/>
      </c>
      <c r="CQ11" s="2" t="str">
        <f t="shared" ca="1" si="149"/>
        <v/>
      </c>
      <c r="CR11" s="52" t="str">
        <f t="shared" si="150"/>
        <v/>
      </c>
      <c r="CS11" s="2"/>
      <c r="CT11" s="2"/>
      <c r="CU11" s="2"/>
      <c r="CV11" s="79" t="s">
        <v>428</v>
      </c>
      <c r="CW11" s="129" t="str">
        <f>IF(COUNTIF($CV:$CV,CV11)&gt;1,"중복","")</f>
        <v>중복</v>
      </c>
      <c r="CX11" s="82" t="s">
        <v>188</v>
      </c>
      <c r="CY11" s="11" t="s">
        <v>277</v>
      </c>
      <c r="CZ11" s="82" t="s">
        <v>156</v>
      </c>
      <c r="DA11" s="11" t="s">
        <v>83</v>
      </c>
      <c r="DB11" s="11" t="s">
        <v>435</v>
      </c>
      <c r="DC11" s="79" t="s">
        <v>87</v>
      </c>
      <c r="DD11" s="82">
        <f t="shared" si="151"/>
        <v>31205</v>
      </c>
      <c r="DE11" s="80" t="str">
        <f>IF(DD11="-","-",VLOOKUP(DD11,'프로젝트 담당자'!$T$3:$W$80,4,0))</f>
        <v>구로</v>
      </c>
      <c r="DF11" s="82" t="s">
        <v>29</v>
      </c>
      <c r="DG11" s="82" t="str">
        <f>VLOOKUP(DD11,'프로젝트 담당자'!$T$2:$Y$80,6,0)</f>
        <v>최우성</v>
      </c>
      <c r="DH11" s="82" t="s">
        <v>91</v>
      </c>
      <c r="DI11" s="82" t="s">
        <v>107</v>
      </c>
      <c r="DJ11" s="82" t="s">
        <v>91</v>
      </c>
    </row>
    <row r="12" spans="1:114" ht="108" x14ac:dyDescent="0.4">
      <c r="A12" s="218">
        <v>353</v>
      </c>
      <c r="B12" s="71">
        <f t="shared" si="118"/>
        <v>44979</v>
      </c>
      <c r="C12" s="188">
        <f t="shared" si="119"/>
        <v>8</v>
      </c>
      <c r="D12" s="100">
        <v>2023</v>
      </c>
      <c r="E12" s="82">
        <v>2</v>
      </c>
      <c r="F12" s="82">
        <v>22</v>
      </c>
      <c r="G12" s="71">
        <v>44980</v>
      </c>
      <c r="H12" s="1" t="str">
        <f t="shared" si="115"/>
        <v>목</v>
      </c>
      <c r="I12" s="82" t="s">
        <v>6</v>
      </c>
      <c r="J12" s="82" t="s">
        <v>4</v>
      </c>
      <c r="K12" s="56" t="str">
        <f t="shared" si="120"/>
        <v>448R</v>
      </c>
      <c r="L12" s="56" t="str">
        <f>VLOOKUP('2023년 신조차 고장관리 세부현황'!DD12,'프로젝트 담당자'!$T$2:$Z$80,7,0)</f>
        <v>경인선 80량</v>
      </c>
      <c r="M12" s="2" t="s">
        <v>689</v>
      </c>
      <c r="N12" s="82">
        <v>312014</v>
      </c>
      <c r="O12" s="105">
        <f>IF(OR(K12="128R",K12="448R"),VLOOKUP('2023년 신조차 고장관리 세부현황'!DD12,'프로젝트 담당자'!$T$2:$AB$80,9,0),"기타")</f>
        <v>44620</v>
      </c>
      <c r="P12" s="137">
        <f t="shared" ref="P12:P18" si="156">IF(OR(V12="삭제",O12="기타"),"",IF(ISBLANK(O12),"",B12-O12))</f>
        <v>359</v>
      </c>
      <c r="Q12" s="89" t="s">
        <v>221</v>
      </c>
      <c r="R12" s="96" t="s">
        <v>426</v>
      </c>
      <c r="S12" s="82" t="s">
        <v>188</v>
      </c>
      <c r="T12" s="2" t="s">
        <v>17</v>
      </c>
      <c r="U12" s="2" t="s">
        <v>17</v>
      </c>
      <c r="V12" s="2" t="s">
        <v>162</v>
      </c>
      <c r="W12" s="223" t="s">
        <v>250</v>
      </c>
      <c r="X12" s="249" t="s">
        <v>463</v>
      </c>
      <c r="Y12" s="82"/>
      <c r="Z12" s="82"/>
      <c r="AA12" s="82"/>
      <c r="AB12" s="82"/>
      <c r="AC12" s="82"/>
      <c r="AD12" s="82"/>
      <c r="AE12" s="82" t="s">
        <v>173</v>
      </c>
      <c r="AF12" s="80" t="s">
        <v>718</v>
      </c>
      <c r="AG12" s="82"/>
      <c r="AH12" s="7">
        <v>45055</v>
      </c>
      <c r="AI12" s="79" t="s">
        <v>571</v>
      </c>
      <c r="AJ12" s="80"/>
      <c r="AK12" s="80"/>
      <c r="AL12" s="82" t="s">
        <v>173</v>
      </c>
      <c r="AM12" s="80"/>
      <c r="AN12" s="11"/>
      <c r="AO12" s="80"/>
      <c r="AP12" s="2" t="s">
        <v>420</v>
      </c>
      <c r="AQ12" s="11" t="s">
        <v>173</v>
      </c>
      <c r="AR12" s="3" t="s">
        <v>658</v>
      </c>
      <c r="AS12" s="53" t="s">
        <v>10</v>
      </c>
      <c r="AT12" s="7">
        <v>44992</v>
      </c>
      <c r="AU12" s="7" t="s">
        <v>368</v>
      </c>
      <c r="AV12" s="82"/>
      <c r="AW12" s="56"/>
      <c r="AX12" s="56"/>
      <c r="AY12" s="82"/>
      <c r="AZ12" s="7" t="str">
        <f t="shared" si="155"/>
        <v>완료</v>
      </c>
      <c r="BA12" s="2" t="s">
        <v>128</v>
      </c>
      <c r="BB12" s="82"/>
      <c r="BC12" s="2" t="str">
        <f t="shared" ca="1" si="152"/>
        <v/>
      </c>
      <c r="BD12" s="82"/>
      <c r="BE12" s="2" t="s">
        <v>128</v>
      </c>
      <c r="BF12" s="82"/>
      <c r="BG12" s="2" t="str">
        <f t="shared" ca="1" si="121"/>
        <v/>
      </c>
      <c r="BH12" s="2" t="s">
        <v>128</v>
      </c>
      <c r="BI12" s="82"/>
      <c r="BJ12" s="2" t="str">
        <f t="shared" ca="1" si="153"/>
        <v/>
      </c>
      <c r="BK12" s="82"/>
      <c r="BL12" s="2" t="s">
        <v>128</v>
      </c>
      <c r="BM12" s="82"/>
      <c r="BN12" s="2" t="str">
        <f t="shared" ca="1" si="154"/>
        <v/>
      </c>
      <c r="BO12" s="2"/>
      <c r="BP12" s="10" t="str">
        <f t="shared" si="122"/>
        <v>코레일 협의중</v>
      </c>
      <c r="BQ12" s="10" t="str">
        <f t="shared" si="123"/>
        <v>코레일 협의중</v>
      </c>
      <c r="BR12" s="10" t="str">
        <f t="shared" si="124"/>
        <v>코레일 협의중</v>
      </c>
      <c r="BS12" s="10" t="str">
        <f t="shared" si="125"/>
        <v>코레일 협의중</v>
      </c>
      <c r="BT12" s="75" t="str">
        <f t="shared" si="126"/>
        <v/>
      </c>
      <c r="BU12" s="75" t="str">
        <f t="shared" si="127"/>
        <v/>
      </c>
      <c r="BV12" s="75" t="str">
        <f t="shared" si="128"/>
        <v/>
      </c>
      <c r="BW12" s="75" t="str">
        <f t="shared" si="129"/>
        <v/>
      </c>
      <c r="BX12" s="75" t="str">
        <f t="shared" si="130"/>
        <v/>
      </c>
      <c r="BY12" s="75" t="str">
        <f t="shared" si="131"/>
        <v/>
      </c>
      <c r="BZ12" s="75" t="str">
        <f t="shared" si="132"/>
        <v/>
      </c>
      <c r="CA12" s="75" t="str">
        <f t="shared" si="133"/>
        <v/>
      </c>
      <c r="CB12" s="10" t="str">
        <f t="shared" si="134"/>
        <v/>
      </c>
      <c r="CC12" s="10" t="str">
        <f t="shared" si="135"/>
        <v/>
      </c>
      <c r="CD12" s="10" t="str">
        <f t="shared" si="136"/>
        <v/>
      </c>
      <c r="CE12" s="10" t="str">
        <f t="shared" si="137"/>
        <v/>
      </c>
      <c r="CF12" s="75" t="str">
        <f t="shared" si="138"/>
        <v/>
      </c>
      <c r="CG12" s="75" t="str">
        <f t="shared" si="139"/>
        <v/>
      </c>
      <c r="CH12" s="75" t="str">
        <f t="shared" si="140"/>
        <v/>
      </c>
      <c r="CI12" s="75" t="str">
        <f t="shared" si="141"/>
        <v/>
      </c>
      <c r="CJ12" s="75" t="str">
        <f t="shared" si="142"/>
        <v/>
      </c>
      <c r="CK12" s="75" t="str">
        <f t="shared" si="143"/>
        <v/>
      </c>
      <c r="CL12" s="75" t="str">
        <f t="shared" si="144"/>
        <v/>
      </c>
      <c r="CM12" s="75" t="str">
        <f t="shared" si="145"/>
        <v/>
      </c>
      <c r="CN12" s="2" t="str">
        <f t="shared" ca="1" si="146"/>
        <v/>
      </c>
      <c r="CO12" s="2" t="str">
        <f t="shared" ca="1" si="147"/>
        <v/>
      </c>
      <c r="CP12" s="2" t="str">
        <f t="shared" ca="1" si="148"/>
        <v/>
      </c>
      <c r="CQ12" s="2" t="str">
        <f t="shared" ca="1" si="149"/>
        <v/>
      </c>
      <c r="CR12" s="52" t="str">
        <f t="shared" si="150"/>
        <v/>
      </c>
      <c r="CS12" s="2"/>
      <c r="CT12" s="2"/>
      <c r="CU12" s="2"/>
      <c r="CV12" s="79" t="s">
        <v>661</v>
      </c>
      <c r="CW12" s="129" t="str">
        <f>IF(COUNTIF($CV:$CV,CV12)&gt;1,"중복","")</f>
        <v>중복</v>
      </c>
      <c r="CX12" s="82" t="s">
        <v>188</v>
      </c>
      <c r="CY12" s="11" t="s">
        <v>277</v>
      </c>
      <c r="CZ12" s="82" t="s">
        <v>156</v>
      </c>
      <c r="DA12" s="11" t="s">
        <v>83</v>
      </c>
      <c r="DB12" s="255" t="s">
        <v>435</v>
      </c>
      <c r="DC12" s="94" t="s">
        <v>87</v>
      </c>
      <c r="DD12" s="82">
        <f t="shared" si="151"/>
        <v>31214</v>
      </c>
      <c r="DE12" s="80" t="str">
        <f>IF(DD12="-","-",VLOOKUP(DD12,'프로젝트 담당자'!$T$3:$W$80,4,0))</f>
        <v>이문</v>
      </c>
      <c r="DF12" s="82" t="s">
        <v>29</v>
      </c>
      <c r="DG12" s="82" t="str">
        <f>VLOOKUP(DD12,'프로젝트 담당자'!$T$2:$Y$80,6,0)</f>
        <v>최우성</v>
      </c>
      <c r="DH12" s="2" t="s">
        <v>91</v>
      </c>
      <c r="DI12" s="2" t="s">
        <v>107</v>
      </c>
      <c r="DJ12" s="2" t="s">
        <v>91</v>
      </c>
    </row>
    <row r="13" spans="1:114" ht="43.2" x14ac:dyDescent="0.4">
      <c r="A13" s="218">
        <v>363</v>
      </c>
      <c r="B13" s="71">
        <f t="shared" si="118"/>
        <v>44984</v>
      </c>
      <c r="C13" s="188">
        <f t="shared" si="119"/>
        <v>9</v>
      </c>
      <c r="D13" s="100">
        <v>2023</v>
      </c>
      <c r="E13" s="82">
        <v>2</v>
      </c>
      <c r="F13" s="82">
        <v>27</v>
      </c>
      <c r="G13" s="71">
        <v>44985</v>
      </c>
      <c r="H13" s="1" t="str">
        <f t="shared" si="115"/>
        <v>화</v>
      </c>
      <c r="I13" s="82" t="s">
        <v>6</v>
      </c>
      <c r="J13" s="82" t="s">
        <v>4</v>
      </c>
      <c r="K13" s="56" t="str">
        <f t="shared" si="120"/>
        <v>448R</v>
      </c>
      <c r="L13" s="56" t="str">
        <f>VLOOKUP('2023년 신조차 고장관리 세부현황'!DD13,'프로젝트 담당자'!$T$2:$Z$80,7,0)</f>
        <v>경인선 80량</v>
      </c>
      <c r="M13" s="2" t="s">
        <v>689</v>
      </c>
      <c r="N13" s="82">
        <v>312914</v>
      </c>
      <c r="O13" s="105">
        <f>IF(OR(K13="128R",K13="448R"),VLOOKUP('2023년 신조차 고장관리 세부현황'!DD13,'프로젝트 담당자'!$T$2:$AB$80,9,0),"기타")</f>
        <v>44620</v>
      </c>
      <c r="P13" s="137">
        <f t="shared" si="156"/>
        <v>364</v>
      </c>
      <c r="Q13" s="89" t="s">
        <v>230</v>
      </c>
      <c r="R13" s="96" t="s">
        <v>427</v>
      </c>
      <c r="S13" s="131" t="s">
        <v>186</v>
      </c>
      <c r="T13" s="340" t="s">
        <v>18</v>
      </c>
      <c r="U13" s="340" t="s">
        <v>18</v>
      </c>
      <c r="V13" s="2" t="s">
        <v>162</v>
      </c>
      <c r="W13" s="223" t="s">
        <v>322</v>
      </c>
      <c r="X13" s="235" t="s">
        <v>379</v>
      </c>
      <c r="Y13" s="82"/>
      <c r="Z13" s="82"/>
      <c r="AA13" s="82"/>
      <c r="AB13" s="82"/>
      <c r="AC13" s="82"/>
      <c r="AD13" s="82"/>
      <c r="AE13" s="82"/>
      <c r="AF13" s="82"/>
      <c r="AG13" s="82"/>
      <c r="AH13" s="82"/>
      <c r="AI13" s="82"/>
      <c r="AJ13" s="2" t="s">
        <v>456</v>
      </c>
      <c r="AK13" s="11"/>
      <c r="AL13" s="80" t="s">
        <v>482</v>
      </c>
      <c r="AM13" s="11"/>
      <c r="AN13" s="80"/>
      <c r="AO13" s="11"/>
      <c r="AP13" s="80"/>
      <c r="AQ13" s="11" t="s">
        <v>425</v>
      </c>
      <c r="AR13" s="3" t="s">
        <v>594</v>
      </c>
      <c r="AS13" s="53" t="s">
        <v>10</v>
      </c>
      <c r="AT13" s="7">
        <v>45020</v>
      </c>
      <c r="AU13" s="7" t="s">
        <v>368</v>
      </c>
      <c r="AV13" s="82"/>
      <c r="AW13" s="56"/>
      <c r="AX13" s="56"/>
      <c r="AY13" s="82"/>
      <c r="AZ13" s="7" t="str">
        <f t="shared" si="155"/>
        <v>완료</v>
      </c>
      <c r="BA13" s="7">
        <v>44992</v>
      </c>
      <c r="BB13" s="7">
        <v>45055</v>
      </c>
      <c r="BC13" s="2" t="str">
        <f t="shared" ca="1" si="152"/>
        <v>완료</v>
      </c>
      <c r="BD13" s="7" t="s">
        <v>460</v>
      </c>
      <c r="BE13" s="7">
        <v>44997</v>
      </c>
      <c r="BF13" s="82" t="s">
        <v>5</v>
      </c>
      <c r="BG13" s="2" t="str">
        <f t="shared" ca="1" si="121"/>
        <v>지연</v>
      </c>
      <c r="BH13" s="7">
        <v>45004</v>
      </c>
      <c r="BI13" s="10">
        <v>45056</v>
      </c>
      <c r="BJ13" s="2" t="str">
        <f t="shared" ca="1" si="153"/>
        <v>완료</v>
      </c>
      <c r="BK13" s="10" t="s">
        <v>479</v>
      </c>
      <c r="BL13" s="7">
        <v>45037</v>
      </c>
      <c r="BM13" s="82" t="s">
        <v>5</v>
      </c>
      <c r="BN13" s="2" t="str">
        <f t="shared" ca="1" si="154"/>
        <v>지연</v>
      </c>
      <c r="BO13" s="2"/>
      <c r="BP13" s="10">
        <f t="shared" si="122"/>
        <v>44992</v>
      </c>
      <c r="BQ13" s="10">
        <f t="shared" si="123"/>
        <v>44997</v>
      </c>
      <c r="BR13" s="10">
        <f t="shared" si="124"/>
        <v>45004</v>
      </c>
      <c r="BS13" s="10">
        <f t="shared" si="125"/>
        <v>45037</v>
      </c>
      <c r="BT13" s="75">
        <f t="shared" si="126"/>
        <v>2023</v>
      </c>
      <c r="BU13" s="75">
        <f t="shared" si="127"/>
        <v>2023</v>
      </c>
      <c r="BV13" s="75">
        <f t="shared" si="128"/>
        <v>2023</v>
      </c>
      <c r="BW13" s="75">
        <f t="shared" si="129"/>
        <v>2023</v>
      </c>
      <c r="BX13" s="75">
        <f t="shared" si="130"/>
        <v>10</v>
      </c>
      <c r="BY13" s="75">
        <f t="shared" si="131"/>
        <v>11</v>
      </c>
      <c r="BZ13" s="75">
        <f t="shared" si="132"/>
        <v>12</v>
      </c>
      <c r="CA13" s="75">
        <f t="shared" si="133"/>
        <v>16</v>
      </c>
      <c r="CB13" s="10">
        <f t="shared" si="134"/>
        <v>45055</v>
      </c>
      <c r="CC13" s="10" t="str">
        <f t="shared" si="135"/>
        <v>-</v>
      </c>
      <c r="CD13" s="10">
        <f t="shared" si="136"/>
        <v>45056</v>
      </c>
      <c r="CE13" s="10" t="str">
        <f t="shared" si="137"/>
        <v>-</v>
      </c>
      <c r="CF13" s="75">
        <f t="shared" si="138"/>
        <v>2023</v>
      </c>
      <c r="CG13" s="75" t="str">
        <f t="shared" si="139"/>
        <v/>
      </c>
      <c r="CH13" s="75">
        <f t="shared" si="140"/>
        <v>2023</v>
      </c>
      <c r="CI13" s="75" t="str">
        <f t="shared" si="141"/>
        <v/>
      </c>
      <c r="CJ13" s="75">
        <f t="shared" si="142"/>
        <v>19</v>
      </c>
      <c r="CK13" s="75" t="str">
        <f t="shared" si="143"/>
        <v/>
      </c>
      <c r="CL13" s="75">
        <f t="shared" si="144"/>
        <v>19</v>
      </c>
      <c r="CM13" s="75" t="str">
        <f t="shared" si="145"/>
        <v/>
      </c>
      <c r="CN13" s="2" t="str">
        <f t="shared" ca="1" si="146"/>
        <v>완료</v>
      </c>
      <c r="CO13" s="2" t="str">
        <f t="shared" ca="1" si="147"/>
        <v>지연</v>
      </c>
      <c r="CP13" s="2" t="str">
        <f t="shared" ca="1" si="148"/>
        <v>완료</v>
      </c>
      <c r="CQ13" s="2" t="str">
        <f t="shared" ca="1" si="149"/>
        <v>지연</v>
      </c>
      <c r="CR13" s="52" t="str">
        <f t="shared" si="150"/>
        <v>종결</v>
      </c>
      <c r="CS13" s="52"/>
      <c r="CT13" s="52"/>
      <c r="CU13" s="52"/>
      <c r="CV13" s="101" t="s">
        <v>715</v>
      </c>
      <c r="CW13" s="129" t="str">
        <f>IF(COUNTIF($CV:$CV,CV13)&gt;1,"중복","")</f>
        <v>중복</v>
      </c>
      <c r="CX13" s="131" t="s">
        <v>186</v>
      </c>
      <c r="CY13" s="11" t="s">
        <v>156</v>
      </c>
      <c r="CZ13" s="11" t="s">
        <v>224</v>
      </c>
      <c r="DA13" s="11" t="s">
        <v>83</v>
      </c>
      <c r="DB13" s="80" t="s">
        <v>87</v>
      </c>
      <c r="DC13" s="80" t="s">
        <v>87</v>
      </c>
      <c r="DD13" s="82">
        <f t="shared" si="151"/>
        <v>31214</v>
      </c>
      <c r="DE13" s="80" t="str">
        <f>IF(DD13="-","-",VLOOKUP(DD13,'프로젝트 담당자'!$T$3:$W$80,4,0))</f>
        <v>이문</v>
      </c>
      <c r="DF13" s="82" t="s">
        <v>29</v>
      </c>
      <c r="DG13" s="82" t="str">
        <f>VLOOKUP(DD13,'프로젝트 담당자'!$T$2:$Y$80,6,0)</f>
        <v>최우성</v>
      </c>
      <c r="DH13" s="82" t="s">
        <v>91</v>
      </c>
      <c r="DI13" s="79" t="s">
        <v>107</v>
      </c>
      <c r="DJ13" s="82" t="s">
        <v>91</v>
      </c>
    </row>
    <row r="14" spans="1:114" s="244" customFormat="1" ht="87" x14ac:dyDescent="0.4">
      <c r="A14" s="236">
        <v>389</v>
      </c>
      <c r="B14" s="71">
        <f t="shared" ref="B14:B19" si="157">IFERROR(DATE(D14,E14,F14),"")</f>
        <v>44994</v>
      </c>
      <c r="C14" s="188">
        <f t="shared" ref="C14:C19" si="158">WEEKNUM(B14)</f>
        <v>10</v>
      </c>
      <c r="D14" s="239">
        <v>2023</v>
      </c>
      <c r="E14" s="96">
        <v>3</v>
      </c>
      <c r="F14" s="96">
        <v>9</v>
      </c>
      <c r="G14" s="240">
        <v>44998</v>
      </c>
      <c r="H14" s="1" t="str">
        <f t="shared" ref="H14:H19" si="159">IF(WEEKDAY(G14)=1,"일",IF(WEEKDAY(G14)=2,"월",IF(WEEKDAY(G14)=3,"화",IF(WEEKDAY(G14)=4,"수",IF(WEEKDAY(G14)=5,"목",IF(WEEKDAY(G14)=6,"금",IF(WEEKDAY(G14)=7,"토")))))))</f>
        <v>월</v>
      </c>
      <c r="I14" s="96" t="s">
        <v>2</v>
      </c>
      <c r="J14" s="96" t="s">
        <v>3</v>
      </c>
      <c r="K14" s="96" t="str">
        <f t="shared" ref="K14:K19" si="160">IF(OR(L14="경원선 18량",L14="과천안산선 70량",L14="1호선 40량"),"128R",IF(OR(L14="경인선 80량",L14="과천안산선 180량",L14="분당선 108량"),"448R","기타"))</f>
        <v>448R</v>
      </c>
      <c r="L14" s="96" t="str">
        <f>VLOOKUP('2023년 신조차 고장관리 세부현황'!DD14,'프로젝트 담당자'!$T$2:$Z$80,7,0)</f>
        <v>경인선 80량</v>
      </c>
      <c r="M14" s="96" t="s">
        <v>273</v>
      </c>
      <c r="N14" s="96">
        <v>312012</v>
      </c>
      <c r="O14" s="241">
        <f>IF(OR(K14="128R",K14="448R"),VLOOKUP('2023년 신조차 고장관리 세부현황'!DD14,'프로젝트 담당자'!$T$2:$AB$80,9,0),"기타")</f>
        <v>44592</v>
      </c>
      <c r="P14" s="242">
        <f t="shared" si="156"/>
        <v>402</v>
      </c>
      <c r="Q14" s="232" t="s">
        <v>274</v>
      </c>
      <c r="R14" s="96" t="s">
        <v>426</v>
      </c>
      <c r="S14" s="82" t="s">
        <v>188</v>
      </c>
      <c r="T14" s="2" t="s">
        <v>17</v>
      </c>
      <c r="U14" s="2" t="s">
        <v>17</v>
      </c>
      <c r="V14" s="2" t="s">
        <v>162</v>
      </c>
      <c r="W14" s="223" t="s">
        <v>405</v>
      </c>
      <c r="X14" s="265" t="s">
        <v>470</v>
      </c>
      <c r="Y14" s="82"/>
      <c r="Z14" s="82"/>
      <c r="AA14" s="82"/>
      <c r="AB14" s="96"/>
      <c r="AC14" s="96"/>
      <c r="AD14" s="96"/>
      <c r="AE14" s="82" t="s">
        <v>173</v>
      </c>
      <c r="AF14" s="82" t="s">
        <v>718</v>
      </c>
      <c r="AG14" s="96"/>
      <c r="AH14" s="96"/>
      <c r="AI14" s="79" t="s">
        <v>569</v>
      </c>
      <c r="AJ14" s="80"/>
      <c r="AK14" s="80"/>
      <c r="AL14" s="82" t="s">
        <v>173</v>
      </c>
      <c r="AM14" s="80"/>
      <c r="AN14" s="80"/>
      <c r="AO14" s="80"/>
      <c r="AP14" s="80"/>
      <c r="AQ14" s="11" t="s">
        <v>173</v>
      </c>
      <c r="AR14" s="3" t="s">
        <v>570</v>
      </c>
      <c r="AS14" s="53" t="s">
        <v>10</v>
      </c>
      <c r="AT14" s="7">
        <v>45005</v>
      </c>
      <c r="AU14" s="7" t="s">
        <v>368</v>
      </c>
      <c r="AV14" s="82"/>
      <c r="AW14" s="128"/>
      <c r="AX14" s="128"/>
      <c r="AY14" s="82"/>
      <c r="AZ14" s="240" t="str">
        <f t="shared" si="155"/>
        <v>완료</v>
      </c>
      <c r="BA14" s="2" t="s">
        <v>128</v>
      </c>
      <c r="BB14" s="82"/>
      <c r="BC14" s="96" t="str">
        <f t="shared" ca="1" si="152"/>
        <v/>
      </c>
      <c r="BD14" s="243"/>
      <c r="BE14" s="2" t="s">
        <v>128</v>
      </c>
      <c r="BF14" s="96"/>
      <c r="BG14" s="96" t="str">
        <f t="shared" ref="BG14:BG19" ca="1" si="161">IF(ISBLANK(BF14),"",IF(OR(BF14&lt;=BE14,BF14="조치완료보고 대체",BF14="제출불가"),"완료",IF(AND(BF14="-",BE14&gt;=TODAY()),"예정",IF(AND(BF14="-",BE14&lt;TODAY()),"지연",IF(BF14&gt;BE14,"완료","")))))</f>
        <v/>
      </c>
      <c r="BH14" s="2" t="s">
        <v>128</v>
      </c>
      <c r="BI14" s="96"/>
      <c r="BJ14" s="96" t="str">
        <f t="shared" ca="1" si="153"/>
        <v/>
      </c>
      <c r="BK14" s="9"/>
      <c r="BL14" s="2" t="s">
        <v>128</v>
      </c>
      <c r="BM14" s="96"/>
      <c r="BN14" s="96" t="str">
        <f t="shared" ca="1" si="154"/>
        <v/>
      </c>
      <c r="BO14" s="96"/>
      <c r="BP14" s="7" t="str">
        <f t="shared" ref="BP14:BP19" si="162">IF(ISBLANK(BA14),"",BA14)</f>
        <v>코레일 협의중</v>
      </c>
      <c r="BQ14" s="7" t="str">
        <f t="shared" ref="BQ14:BQ19" si="163">IF(ISBLANK(BE14),"",BE14)</f>
        <v>코레일 협의중</v>
      </c>
      <c r="BR14" s="7" t="str">
        <f t="shared" ref="BR14:BR19" si="164">IF(ISBLANK(BH14),"",BH14)</f>
        <v>코레일 협의중</v>
      </c>
      <c r="BS14" s="7" t="str">
        <f t="shared" ref="BS14:BS19" si="165">IF(ISBLANK(BL14),"",BL14)</f>
        <v>코레일 협의중</v>
      </c>
      <c r="BT14" s="128" t="str">
        <f t="shared" ref="BT14:BT19" si="166">IF(ISBLANK(BP14),"",IFERROR(YEAR(BP14),""))</f>
        <v/>
      </c>
      <c r="BU14" s="128" t="str">
        <f t="shared" ref="BU14:BU19" si="167">IF(ISBLANK(BQ14),"",IFERROR(YEAR(BQ14),""))</f>
        <v/>
      </c>
      <c r="BV14" s="128" t="str">
        <f t="shared" ref="BV14:BV19" si="168">IF(ISBLANK(BR14),"",IFERROR(YEAR(BR14),""))</f>
        <v/>
      </c>
      <c r="BW14" s="128" t="str">
        <f t="shared" ref="BW14:BW19" si="169">IF(ISBLANK(BS14),"",IFERROR(YEAR(BS14),""))</f>
        <v/>
      </c>
      <c r="BX14" s="128" t="str">
        <f t="shared" ref="BX14:BX19" si="170">IF(ISBLANK(BP14),"",IF(OR(BP14="제출불가",BP14="조치완료보고 대체"),BP14,IFERROR(WEEKNUM(BP14),"")))</f>
        <v/>
      </c>
      <c r="BY14" s="128" t="str">
        <f t="shared" ref="BY14:BY19" si="171">IF(ISBLANK(BQ14),"",IF(OR(BQ14="제출불가",BQ14="조치완료보고 대체"),BQ14,IFERROR(WEEKNUM(BQ14),"")))</f>
        <v/>
      </c>
      <c r="BZ14" s="128" t="str">
        <f t="shared" ref="BZ14:BZ19" si="172">IF(ISBLANK(BR14),"",IF(OR(BR14="제출불가",BR14="조치완료보고 대체"),BR14,IFERROR(WEEKNUM(BR14),"")))</f>
        <v/>
      </c>
      <c r="CA14" s="128" t="str">
        <f t="shared" ref="CA14:CA19" si="173">IF(ISBLANK(BS14),"",IF(OR(BS14="제출불가",BS14="조치완료보고 대체"),BS14,IFERROR(WEEKNUM(BS14),"")))</f>
        <v/>
      </c>
      <c r="CB14" s="7" t="str">
        <f t="shared" ref="CB14:CB19" si="174">IF(ISBLANK(BB14),"",BB14)</f>
        <v/>
      </c>
      <c r="CC14" s="7" t="str">
        <f t="shared" ref="CC14:CC19" si="175">IF(ISBLANK(BF14),"",BF14)</f>
        <v/>
      </c>
      <c r="CD14" s="7" t="str">
        <f t="shared" ref="CD14:CD19" si="176">IF(ISBLANK(BI14),"",BI14)</f>
        <v/>
      </c>
      <c r="CE14" s="7" t="str">
        <f t="shared" ref="CE14:CE19" si="177">IF(ISBLANK(BM14),"",BM14)</f>
        <v/>
      </c>
      <c r="CF14" s="128" t="str">
        <f t="shared" ref="CF14:CF19" si="178">IF(ISBLANK(CB14),"",IFERROR(YEAR(CB14),""))</f>
        <v/>
      </c>
      <c r="CG14" s="128" t="str">
        <f t="shared" ref="CG14:CG19" si="179">IF(ISBLANK(CC14),"",IFERROR(YEAR(CC14),""))</f>
        <v/>
      </c>
      <c r="CH14" s="128" t="str">
        <f t="shared" ref="CH14:CH19" si="180">IF(ISBLANK(CD14),"",IFERROR(YEAR(CD14),""))</f>
        <v/>
      </c>
      <c r="CI14" s="128" t="str">
        <f t="shared" ref="CI14:CI19" si="181">IF(ISBLANK(CE14),"",IFERROR(YEAR(CE14),""))</f>
        <v/>
      </c>
      <c r="CJ14" s="128" t="str">
        <f t="shared" ref="CJ14:CJ19" si="182">IF(ISBLANK(CB14),"",IF(OR(CB14="제출불가",CB14="조치완료보고 대체"),CB14,IFERROR(WEEKNUM(CB14),"")))</f>
        <v/>
      </c>
      <c r="CK14" s="128" t="str">
        <f t="shared" ref="CK14:CK19" si="183">IF(ISBLANK(CC14),"",IF(OR(CC14="제출불가",CC14="조치완료보고 대체"),CC14,IFERROR(WEEKNUM(CC14),"")))</f>
        <v/>
      </c>
      <c r="CL14" s="128" t="str">
        <f t="shared" ref="CL14:CL19" si="184">IF(ISBLANK(CD14),"",IF(OR(CD14="제출불가",CD14="조치완료보고 대체"),CD14,IFERROR(WEEKNUM(CD14),"")))</f>
        <v/>
      </c>
      <c r="CM14" s="128" t="str">
        <f t="shared" ref="CM14:CM19" si="185">IF(ISBLANK(CE14),"",IF(OR(CE14="제출불가",CE14="조치완료보고 대체"),CE14,IFERROR(WEEKNUM(CE14),"")))</f>
        <v/>
      </c>
      <c r="CN14" s="82" t="str">
        <f t="shared" ref="CN14:CN19" ca="1" si="186">BC14</f>
        <v/>
      </c>
      <c r="CO14" s="82" t="str">
        <f t="shared" ref="CO14:CO19" ca="1" si="187">BG14</f>
        <v/>
      </c>
      <c r="CP14" s="82" t="str">
        <f t="shared" ref="CP14:CP19" ca="1" si="188">BJ14</f>
        <v/>
      </c>
      <c r="CQ14" s="82" t="str">
        <f t="shared" ref="CQ14:CQ19" ca="1" si="189">BN14</f>
        <v/>
      </c>
      <c r="CR14" s="52" t="str">
        <f t="shared" ref="CR14:CR19" si="190">IF(BD14="","",BD14)</f>
        <v/>
      </c>
      <c r="CS14" s="82"/>
      <c r="CT14" s="82"/>
      <c r="CU14" s="82"/>
      <c r="CV14" s="79" t="s">
        <v>428</v>
      </c>
      <c r="CW14" s="129" t="str">
        <f>IF(COUNTIF($CV:$CV,CV14)&gt;1,"중복","")</f>
        <v>중복</v>
      </c>
      <c r="CX14" s="82" t="s">
        <v>188</v>
      </c>
      <c r="CY14" s="11" t="s">
        <v>277</v>
      </c>
      <c r="CZ14" s="82" t="s">
        <v>156</v>
      </c>
      <c r="DA14" s="11" t="s">
        <v>83</v>
      </c>
      <c r="DB14" s="82" t="s">
        <v>435</v>
      </c>
      <c r="DC14" s="79" t="s">
        <v>87</v>
      </c>
      <c r="DD14" s="82">
        <f t="shared" ref="DD14:DD19" si="191">IF(N14="-","-",VALUE(LEFT(N14,3)&amp;RIGHT(N14,2)))</f>
        <v>31212</v>
      </c>
      <c r="DE14" s="80" t="str">
        <f>IF(DD14="-","-",VLOOKUP(DD14,'프로젝트 담당자'!$T$3:$W$80,4,0))</f>
        <v>구로</v>
      </c>
      <c r="DF14" s="82" t="s">
        <v>29</v>
      </c>
      <c r="DG14" s="82" t="str">
        <f>VLOOKUP(DD14,'프로젝트 담당자'!$T$2:$Y$80,6,0)</f>
        <v>최우성</v>
      </c>
      <c r="DH14" s="82" t="s">
        <v>91</v>
      </c>
      <c r="DI14" s="82" t="s">
        <v>107</v>
      </c>
      <c r="DJ14" s="82" t="s">
        <v>91</v>
      </c>
    </row>
    <row r="15" spans="1:114" ht="78" x14ac:dyDescent="0.4">
      <c r="A15" s="218">
        <v>398</v>
      </c>
      <c r="B15" s="71">
        <f t="shared" si="157"/>
        <v>44998</v>
      </c>
      <c r="C15" s="188">
        <f t="shared" si="158"/>
        <v>11</v>
      </c>
      <c r="D15" s="100">
        <v>2023</v>
      </c>
      <c r="E15" s="82">
        <v>3</v>
      </c>
      <c r="F15" s="82">
        <v>13</v>
      </c>
      <c r="G15" s="71">
        <v>44999</v>
      </c>
      <c r="H15" s="1" t="str">
        <f t="shared" si="159"/>
        <v>화</v>
      </c>
      <c r="I15" s="82" t="s">
        <v>6</v>
      </c>
      <c r="J15" s="82" t="s">
        <v>153</v>
      </c>
      <c r="K15" s="56" t="str">
        <f t="shared" si="160"/>
        <v>448R</v>
      </c>
      <c r="L15" s="56" t="str">
        <f>VLOOKUP('2023년 신조차 고장관리 세부현황'!DD15,'프로젝트 담당자'!$T$2:$Z$80,7,0)</f>
        <v>경인선 80량</v>
      </c>
      <c r="M15" s="82" t="s">
        <v>275</v>
      </c>
      <c r="N15" s="82">
        <v>312014</v>
      </c>
      <c r="O15" s="105">
        <f>IF(OR(K15="128R",K15="448R"),VLOOKUP('2023년 신조차 고장관리 세부현황'!DD15,'프로젝트 담당자'!$T$2:$AB$80,9,0),"기타")</f>
        <v>44620</v>
      </c>
      <c r="P15" s="137">
        <f t="shared" si="156"/>
        <v>378</v>
      </c>
      <c r="Q15" s="89" t="s">
        <v>276</v>
      </c>
      <c r="R15" s="96" t="s">
        <v>427</v>
      </c>
      <c r="S15" s="131" t="s">
        <v>186</v>
      </c>
      <c r="T15" s="340" t="s">
        <v>18</v>
      </c>
      <c r="U15" s="340" t="s">
        <v>18</v>
      </c>
      <c r="V15" s="2" t="s">
        <v>162</v>
      </c>
      <c r="W15" s="223" t="s">
        <v>404</v>
      </c>
      <c r="X15" s="235" t="s">
        <v>379</v>
      </c>
      <c r="Y15" s="82"/>
      <c r="Z15" s="82"/>
      <c r="AA15" s="82"/>
      <c r="AB15" s="82"/>
      <c r="AC15" s="82"/>
      <c r="AD15" s="82"/>
      <c r="AE15" s="82"/>
      <c r="AF15" s="82"/>
      <c r="AG15" s="82"/>
      <c r="AH15" s="82"/>
      <c r="AI15" s="82"/>
      <c r="AJ15" s="2" t="s">
        <v>456</v>
      </c>
      <c r="AK15" s="11"/>
      <c r="AL15" s="80" t="s">
        <v>482</v>
      </c>
      <c r="AM15" s="11"/>
      <c r="AN15" s="80"/>
      <c r="AO15" s="11"/>
      <c r="AP15" s="80"/>
      <c r="AQ15" s="11" t="s">
        <v>425</v>
      </c>
      <c r="AR15" s="3" t="s">
        <v>594</v>
      </c>
      <c r="AS15" s="53" t="s">
        <v>10</v>
      </c>
      <c r="AT15" s="7">
        <v>45002</v>
      </c>
      <c r="AU15" s="7" t="s">
        <v>368</v>
      </c>
      <c r="AV15" s="82"/>
      <c r="AW15" s="128"/>
      <c r="AX15" s="128"/>
      <c r="AY15" s="82"/>
      <c r="AZ15" s="7" t="str">
        <f t="shared" si="155"/>
        <v>완료</v>
      </c>
      <c r="BA15" s="7">
        <v>45006</v>
      </c>
      <c r="BB15" s="7">
        <v>45040</v>
      </c>
      <c r="BC15" s="82" t="str">
        <f t="shared" ref="BC15:BC19" ca="1" si="192">IF(ISBLANK(BB15),"",IF(OR(BB15&lt;=BA15,BB15="조치완료보고 대체",BB15="제출불가"),"완료",IF(AND(BB15="-",BA15&gt;=TODAY()),"예정",IF(AND(BB15="-",BA15&lt;TODAY()),"지연",IF(BB15&gt;BA15,"완료","")))))</f>
        <v>완료</v>
      </c>
      <c r="BD15" s="7" t="s">
        <v>460</v>
      </c>
      <c r="BE15" s="7">
        <v>45011</v>
      </c>
      <c r="BF15" s="82" t="s">
        <v>5</v>
      </c>
      <c r="BG15" s="82" t="str">
        <f t="shared" ca="1" si="161"/>
        <v>지연</v>
      </c>
      <c r="BH15" s="7">
        <v>45018</v>
      </c>
      <c r="BI15" s="10">
        <v>45056</v>
      </c>
      <c r="BJ15" s="82" t="str">
        <f t="shared" ref="BJ15:BJ19" ca="1" si="193">IF(ISBLANK(BI15),"",IF(OR(BI15&lt;=BH15,BI15="조치완료보고 대체",BI15="제출불가"),"완료",IF(AND(BI15="-",BH15&gt;=TODAY()),"예정",IF(AND(BI15="-",BH15&lt;TODAY()),"지연",IF(BI15&gt;BH15,"완료","")))))</f>
        <v>완료</v>
      </c>
      <c r="BK15" s="10" t="s">
        <v>479</v>
      </c>
      <c r="BL15" s="7">
        <v>45051</v>
      </c>
      <c r="BM15" s="82" t="s">
        <v>5</v>
      </c>
      <c r="BN15" s="82" t="str">
        <f t="shared" ref="BN15:BN19" ca="1" si="194">IF(ISBLANK(BM15),"",IF(OR(BM15&lt;=BL15,BM15="조치완료보고 대체",BM15="제출불가"),"완료",IF(AND(BM15="-",BL15&gt;=TODAY()),"예정",IF(AND(BM15="-",BL15&lt;TODAY()),"지연",IF(BM15&gt;BL15,"완료","")))))</f>
        <v>지연</v>
      </c>
      <c r="BO15" s="82"/>
      <c r="BP15" s="7">
        <f t="shared" si="162"/>
        <v>45006</v>
      </c>
      <c r="BQ15" s="7">
        <f t="shared" si="163"/>
        <v>45011</v>
      </c>
      <c r="BR15" s="7">
        <f t="shared" si="164"/>
        <v>45018</v>
      </c>
      <c r="BS15" s="7">
        <f t="shared" si="165"/>
        <v>45051</v>
      </c>
      <c r="BT15" s="128">
        <f t="shared" si="166"/>
        <v>2023</v>
      </c>
      <c r="BU15" s="128">
        <f t="shared" si="167"/>
        <v>2023</v>
      </c>
      <c r="BV15" s="128">
        <f t="shared" si="168"/>
        <v>2023</v>
      </c>
      <c r="BW15" s="128">
        <f t="shared" si="169"/>
        <v>2023</v>
      </c>
      <c r="BX15" s="128">
        <f t="shared" si="170"/>
        <v>12</v>
      </c>
      <c r="BY15" s="128">
        <f t="shared" si="171"/>
        <v>13</v>
      </c>
      <c r="BZ15" s="128">
        <f t="shared" si="172"/>
        <v>14</v>
      </c>
      <c r="CA15" s="128">
        <f t="shared" si="173"/>
        <v>18</v>
      </c>
      <c r="CB15" s="7">
        <f t="shared" si="174"/>
        <v>45040</v>
      </c>
      <c r="CC15" s="7" t="str">
        <f t="shared" si="175"/>
        <v>-</v>
      </c>
      <c r="CD15" s="7">
        <f t="shared" si="176"/>
        <v>45056</v>
      </c>
      <c r="CE15" s="7" t="str">
        <f t="shared" si="177"/>
        <v>-</v>
      </c>
      <c r="CF15" s="128">
        <f t="shared" si="178"/>
        <v>2023</v>
      </c>
      <c r="CG15" s="128" t="str">
        <f t="shared" si="179"/>
        <v/>
      </c>
      <c r="CH15" s="128">
        <f t="shared" si="180"/>
        <v>2023</v>
      </c>
      <c r="CI15" s="128" t="str">
        <f t="shared" si="181"/>
        <v/>
      </c>
      <c r="CJ15" s="128">
        <f t="shared" si="182"/>
        <v>17</v>
      </c>
      <c r="CK15" s="128" t="str">
        <f t="shared" si="183"/>
        <v/>
      </c>
      <c r="CL15" s="128">
        <f t="shared" si="184"/>
        <v>19</v>
      </c>
      <c r="CM15" s="128" t="str">
        <f t="shared" si="185"/>
        <v/>
      </c>
      <c r="CN15" s="82" t="str">
        <f t="shared" ca="1" si="186"/>
        <v>완료</v>
      </c>
      <c r="CO15" s="82" t="str">
        <f t="shared" ca="1" si="187"/>
        <v>지연</v>
      </c>
      <c r="CP15" s="82" t="str">
        <f t="shared" ca="1" si="188"/>
        <v>완료</v>
      </c>
      <c r="CQ15" s="82" t="str">
        <f t="shared" ca="1" si="189"/>
        <v>지연</v>
      </c>
      <c r="CR15" s="52" t="str">
        <f t="shared" si="190"/>
        <v>종결</v>
      </c>
      <c r="CS15" s="53"/>
      <c r="CT15" s="53"/>
      <c r="CU15" s="53"/>
      <c r="CV15" s="101" t="s">
        <v>715</v>
      </c>
      <c r="CW15" s="129" t="str">
        <f>IF(COUNTIF($CV:$CV,CV15)&gt;1,"중복","")</f>
        <v>중복</v>
      </c>
      <c r="CX15" s="131" t="s">
        <v>186</v>
      </c>
      <c r="CY15" s="11" t="s">
        <v>156</v>
      </c>
      <c r="CZ15" s="11" t="s">
        <v>224</v>
      </c>
      <c r="DA15" s="11" t="s">
        <v>83</v>
      </c>
      <c r="DB15" s="80" t="s">
        <v>87</v>
      </c>
      <c r="DC15" s="80" t="s">
        <v>87</v>
      </c>
      <c r="DD15" s="82">
        <f t="shared" si="191"/>
        <v>31214</v>
      </c>
      <c r="DE15" s="80" t="str">
        <f>IF(DD15="-","-",VLOOKUP(DD15,'프로젝트 담당자'!$T$3:$W$80,4,0))</f>
        <v>이문</v>
      </c>
      <c r="DF15" s="82" t="s">
        <v>29</v>
      </c>
      <c r="DG15" s="82" t="str">
        <f>VLOOKUP(DD15,'프로젝트 담당자'!$T$2:$Y$80,6,0)</f>
        <v>최우성</v>
      </c>
      <c r="DH15" s="82" t="s">
        <v>91</v>
      </c>
      <c r="DI15" s="82" t="s">
        <v>107</v>
      </c>
      <c r="DJ15" s="82" t="s">
        <v>91</v>
      </c>
    </row>
    <row r="16" spans="1:114" ht="46.8" x14ac:dyDescent="0.4">
      <c r="A16" s="218">
        <v>402</v>
      </c>
      <c r="B16" s="71">
        <f t="shared" si="157"/>
        <v>44999</v>
      </c>
      <c r="C16" s="188">
        <f t="shared" si="158"/>
        <v>11</v>
      </c>
      <c r="D16" s="100">
        <v>2023</v>
      </c>
      <c r="E16" s="82">
        <v>3</v>
      </c>
      <c r="F16" s="82">
        <v>14</v>
      </c>
      <c r="G16" s="71">
        <v>45000</v>
      </c>
      <c r="H16" s="1" t="str">
        <f t="shared" si="159"/>
        <v>수</v>
      </c>
      <c r="I16" s="82" t="s">
        <v>6</v>
      </c>
      <c r="J16" s="82" t="s">
        <v>4</v>
      </c>
      <c r="K16" s="56" t="str">
        <f t="shared" si="160"/>
        <v>448R</v>
      </c>
      <c r="L16" s="56" t="str">
        <f>VLOOKUP('2023년 신조차 고장관리 세부현황'!DD16,'프로젝트 담당자'!$T$2:$Z$80,7,0)</f>
        <v>과천안산선 180량</v>
      </c>
      <c r="M16" s="2" t="s">
        <v>689</v>
      </c>
      <c r="N16" s="82">
        <v>341941</v>
      </c>
      <c r="O16" s="105">
        <f>IF(OR(K16="128R",K16="448R"),VLOOKUP('2023년 신조차 고장관리 세부현황'!DD16,'프로젝트 담당자'!$T$2:$AB$80,9,0),"기타")</f>
        <v>44712</v>
      </c>
      <c r="P16" s="137">
        <f t="shared" si="156"/>
        <v>287</v>
      </c>
      <c r="Q16" s="89" t="s">
        <v>28</v>
      </c>
      <c r="R16" s="96"/>
      <c r="S16" s="131" t="s">
        <v>186</v>
      </c>
      <c r="T16" s="340" t="s">
        <v>18</v>
      </c>
      <c r="U16" s="340" t="s">
        <v>18</v>
      </c>
      <c r="V16" s="2" t="s">
        <v>162</v>
      </c>
      <c r="W16" s="226" t="s">
        <v>285</v>
      </c>
      <c r="X16" s="235" t="s">
        <v>379</v>
      </c>
      <c r="Y16" s="82"/>
      <c r="Z16" s="82"/>
      <c r="AA16" s="82"/>
      <c r="AB16" s="82"/>
      <c r="AC16" s="82"/>
      <c r="AD16" s="82"/>
      <c r="AE16" s="82"/>
      <c r="AF16" s="82"/>
      <c r="AG16" s="82"/>
      <c r="AH16" s="82"/>
      <c r="AI16" s="82"/>
      <c r="AJ16" s="2" t="s">
        <v>456</v>
      </c>
      <c r="AK16" s="11"/>
      <c r="AL16" s="80" t="s">
        <v>482</v>
      </c>
      <c r="AM16" s="11"/>
      <c r="AN16" s="80"/>
      <c r="AO16" s="11"/>
      <c r="AP16" s="80"/>
      <c r="AQ16" s="11" t="s">
        <v>425</v>
      </c>
      <c r="AR16" s="3" t="s">
        <v>594</v>
      </c>
      <c r="AS16" s="53" t="s">
        <v>10</v>
      </c>
      <c r="AT16" s="7">
        <v>45005</v>
      </c>
      <c r="AU16" s="7" t="s">
        <v>368</v>
      </c>
      <c r="AV16" s="82"/>
      <c r="AW16" s="56"/>
      <c r="AX16" s="56"/>
      <c r="AY16" s="82"/>
      <c r="AZ16" s="7" t="str">
        <f t="shared" si="155"/>
        <v>완료</v>
      </c>
      <c r="BA16" s="7">
        <v>45007</v>
      </c>
      <c r="BB16" s="7">
        <v>45040</v>
      </c>
      <c r="BC16" s="82" t="str">
        <f t="shared" ca="1" si="192"/>
        <v>완료</v>
      </c>
      <c r="BD16" s="7" t="s">
        <v>460</v>
      </c>
      <c r="BE16" s="7">
        <v>45012</v>
      </c>
      <c r="BF16" s="82" t="s">
        <v>5</v>
      </c>
      <c r="BG16" s="82" t="str">
        <f t="shared" ca="1" si="161"/>
        <v>지연</v>
      </c>
      <c r="BH16" s="7">
        <v>45019</v>
      </c>
      <c r="BI16" s="10">
        <v>45056</v>
      </c>
      <c r="BJ16" s="82" t="str">
        <f t="shared" ca="1" si="193"/>
        <v>완료</v>
      </c>
      <c r="BK16" s="10" t="s">
        <v>479</v>
      </c>
      <c r="BL16" s="7">
        <v>45052</v>
      </c>
      <c r="BM16" s="82" t="s">
        <v>5</v>
      </c>
      <c r="BN16" s="82" t="str">
        <f t="shared" ca="1" si="194"/>
        <v>지연</v>
      </c>
      <c r="BO16" s="82"/>
      <c r="BP16" s="7">
        <f t="shared" si="162"/>
        <v>45007</v>
      </c>
      <c r="BQ16" s="7">
        <f t="shared" si="163"/>
        <v>45012</v>
      </c>
      <c r="BR16" s="7">
        <f t="shared" si="164"/>
        <v>45019</v>
      </c>
      <c r="BS16" s="7">
        <f t="shared" si="165"/>
        <v>45052</v>
      </c>
      <c r="BT16" s="128">
        <f t="shared" si="166"/>
        <v>2023</v>
      </c>
      <c r="BU16" s="128">
        <f t="shared" si="167"/>
        <v>2023</v>
      </c>
      <c r="BV16" s="128">
        <f t="shared" si="168"/>
        <v>2023</v>
      </c>
      <c r="BW16" s="128">
        <f t="shared" si="169"/>
        <v>2023</v>
      </c>
      <c r="BX16" s="128">
        <f t="shared" si="170"/>
        <v>12</v>
      </c>
      <c r="BY16" s="128">
        <f t="shared" si="171"/>
        <v>13</v>
      </c>
      <c r="BZ16" s="128">
        <f t="shared" si="172"/>
        <v>14</v>
      </c>
      <c r="CA16" s="128">
        <f t="shared" si="173"/>
        <v>18</v>
      </c>
      <c r="CB16" s="7">
        <f t="shared" si="174"/>
        <v>45040</v>
      </c>
      <c r="CC16" s="7" t="str">
        <f t="shared" si="175"/>
        <v>-</v>
      </c>
      <c r="CD16" s="7">
        <f t="shared" si="176"/>
        <v>45056</v>
      </c>
      <c r="CE16" s="7" t="str">
        <f t="shared" si="177"/>
        <v>-</v>
      </c>
      <c r="CF16" s="128">
        <f t="shared" si="178"/>
        <v>2023</v>
      </c>
      <c r="CG16" s="128" t="str">
        <f t="shared" si="179"/>
        <v/>
      </c>
      <c r="CH16" s="128">
        <f t="shared" si="180"/>
        <v>2023</v>
      </c>
      <c r="CI16" s="128" t="str">
        <f t="shared" si="181"/>
        <v/>
      </c>
      <c r="CJ16" s="128">
        <f t="shared" si="182"/>
        <v>17</v>
      </c>
      <c r="CK16" s="128" t="str">
        <f t="shared" si="183"/>
        <v/>
      </c>
      <c r="CL16" s="128">
        <f t="shared" si="184"/>
        <v>19</v>
      </c>
      <c r="CM16" s="128" t="str">
        <f t="shared" si="185"/>
        <v/>
      </c>
      <c r="CN16" s="82" t="str">
        <f t="shared" ca="1" si="186"/>
        <v>완료</v>
      </c>
      <c r="CO16" s="82" t="str">
        <f t="shared" ca="1" si="187"/>
        <v>지연</v>
      </c>
      <c r="CP16" s="82" t="str">
        <f t="shared" ca="1" si="188"/>
        <v>완료</v>
      </c>
      <c r="CQ16" s="82" t="str">
        <f t="shared" ca="1" si="189"/>
        <v>지연</v>
      </c>
      <c r="CR16" s="52" t="str">
        <f t="shared" si="190"/>
        <v>종결</v>
      </c>
      <c r="CS16" s="53"/>
      <c r="CT16" s="53"/>
      <c r="CU16" s="53"/>
      <c r="CV16" s="101" t="s">
        <v>715</v>
      </c>
      <c r="CW16" s="129" t="str">
        <f>IF(COUNTIF($CV:$CV,CV16)&gt;1,"중복","")</f>
        <v>중복</v>
      </c>
      <c r="CX16" s="131" t="s">
        <v>186</v>
      </c>
      <c r="CY16" s="11" t="s">
        <v>156</v>
      </c>
      <c r="CZ16" s="11" t="s">
        <v>224</v>
      </c>
      <c r="DA16" s="11" t="s">
        <v>83</v>
      </c>
      <c r="DB16" s="80" t="s">
        <v>87</v>
      </c>
      <c r="DC16" s="80" t="s">
        <v>87</v>
      </c>
      <c r="DD16" s="82">
        <f t="shared" si="191"/>
        <v>34141</v>
      </c>
      <c r="DE16" s="80" t="str">
        <f>IF(DD16="-","-",VLOOKUP(DD16,'프로젝트 담당자'!$T$3:$W$80,4,0))</f>
        <v>이문</v>
      </c>
      <c r="DF16" s="82" t="s">
        <v>29</v>
      </c>
      <c r="DG16" s="82" t="str">
        <f>VLOOKUP(DD16,'프로젝트 담당자'!$T$2:$Y$80,6,0)</f>
        <v>이진웅</v>
      </c>
      <c r="DH16" s="82" t="s">
        <v>91</v>
      </c>
      <c r="DI16" s="82" t="s">
        <v>107</v>
      </c>
      <c r="DJ16" s="82" t="s">
        <v>91</v>
      </c>
    </row>
    <row r="17" spans="1:114" ht="43.2" x14ac:dyDescent="0.4">
      <c r="A17" s="218">
        <v>410</v>
      </c>
      <c r="B17" s="71">
        <f t="shared" si="157"/>
        <v>45000</v>
      </c>
      <c r="C17" s="188">
        <f t="shared" si="158"/>
        <v>11</v>
      </c>
      <c r="D17" s="100">
        <v>2023</v>
      </c>
      <c r="E17" s="82">
        <v>3</v>
      </c>
      <c r="F17" s="82">
        <v>15</v>
      </c>
      <c r="G17" s="71">
        <v>45002</v>
      </c>
      <c r="H17" s="1" t="str">
        <f t="shared" si="159"/>
        <v>금</v>
      </c>
      <c r="I17" s="82" t="s">
        <v>6</v>
      </c>
      <c r="J17" s="82" t="s">
        <v>3</v>
      </c>
      <c r="K17" s="56" t="str">
        <f t="shared" si="160"/>
        <v>448R</v>
      </c>
      <c r="L17" s="56" t="str">
        <f>VLOOKUP('2023년 신조차 고장관리 세부현황'!DD17,'프로젝트 담당자'!$T$2:$Z$80,7,0)</f>
        <v>과천안산선 180량</v>
      </c>
      <c r="M17" s="82" t="s">
        <v>278</v>
      </c>
      <c r="N17" s="82">
        <v>341948</v>
      </c>
      <c r="O17" s="105">
        <f>IF(OR(K17="128R",K17="448R"),VLOOKUP('2023년 신조차 고장관리 세부현황'!DD17,'프로젝트 담당자'!$T$2:$AB$80,9,0),"기타")</f>
        <v>44834</v>
      </c>
      <c r="P17" s="137">
        <f t="shared" si="156"/>
        <v>166</v>
      </c>
      <c r="Q17" s="89" t="s">
        <v>279</v>
      </c>
      <c r="R17" s="96"/>
      <c r="S17" s="131" t="s">
        <v>186</v>
      </c>
      <c r="T17" s="340" t="s">
        <v>18</v>
      </c>
      <c r="U17" s="340" t="s">
        <v>18</v>
      </c>
      <c r="V17" s="2" t="s">
        <v>162</v>
      </c>
      <c r="W17" s="227" t="s">
        <v>288</v>
      </c>
      <c r="X17" s="235" t="s">
        <v>379</v>
      </c>
      <c r="Y17" s="82"/>
      <c r="Z17" s="82"/>
      <c r="AA17" s="82"/>
      <c r="AB17" s="82"/>
      <c r="AC17" s="82"/>
      <c r="AD17" s="82"/>
      <c r="AE17" s="82"/>
      <c r="AF17" s="82"/>
      <c r="AG17" s="82"/>
      <c r="AH17" s="82"/>
      <c r="AI17" s="82"/>
      <c r="AJ17" s="2" t="s">
        <v>456</v>
      </c>
      <c r="AK17" s="11"/>
      <c r="AL17" s="80" t="s">
        <v>482</v>
      </c>
      <c r="AM17" s="11"/>
      <c r="AN17" s="80"/>
      <c r="AO17" s="11"/>
      <c r="AP17" s="80"/>
      <c r="AQ17" s="11" t="s">
        <v>425</v>
      </c>
      <c r="AR17" s="3" t="s">
        <v>594</v>
      </c>
      <c r="AS17" s="53" t="s">
        <v>10</v>
      </c>
      <c r="AT17" s="7">
        <v>45005</v>
      </c>
      <c r="AU17" s="7" t="s">
        <v>368</v>
      </c>
      <c r="AV17" s="82"/>
      <c r="AW17" s="128"/>
      <c r="AX17" s="128"/>
      <c r="AY17" s="82"/>
      <c r="AZ17" s="7" t="str">
        <f t="shared" ref="AZ17:AZ20" si="195">IF(OR(AS17="O",AS17="삭제"),"완료","지연")</f>
        <v>완료</v>
      </c>
      <c r="BA17" s="7">
        <v>45009</v>
      </c>
      <c r="BB17" s="7">
        <v>45040</v>
      </c>
      <c r="BC17" s="82" t="str">
        <f t="shared" ca="1" si="192"/>
        <v>완료</v>
      </c>
      <c r="BD17" s="7" t="s">
        <v>460</v>
      </c>
      <c r="BE17" s="7">
        <v>45014</v>
      </c>
      <c r="BF17" s="82" t="s">
        <v>5</v>
      </c>
      <c r="BG17" s="82" t="str">
        <f t="shared" ca="1" si="161"/>
        <v>지연</v>
      </c>
      <c r="BH17" s="7">
        <v>45021</v>
      </c>
      <c r="BI17" s="10">
        <v>45056</v>
      </c>
      <c r="BJ17" s="82" t="str">
        <f t="shared" ca="1" si="193"/>
        <v>완료</v>
      </c>
      <c r="BK17" s="10" t="s">
        <v>479</v>
      </c>
      <c r="BL17" s="7">
        <v>45054</v>
      </c>
      <c r="BM17" s="82" t="s">
        <v>5</v>
      </c>
      <c r="BN17" s="82" t="str">
        <f t="shared" ca="1" si="194"/>
        <v>지연</v>
      </c>
      <c r="BO17" s="82"/>
      <c r="BP17" s="7">
        <f t="shared" si="162"/>
        <v>45009</v>
      </c>
      <c r="BQ17" s="7">
        <f t="shared" si="163"/>
        <v>45014</v>
      </c>
      <c r="BR17" s="7">
        <f t="shared" si="164"/>
        <v>45021</v>
      </c>
      <c r="BS17" s="7">
        <f t="shared" si="165"/>
        <v>45054</v>
      </c>
      <c r="BT17" s="128">
        <f t="shared" si="166"/>
        <v>2023</v>
      </c>
      <c r="BU17" s="128">
        <f t="shared" si="167"/>
        <v>2023</v>
      </c>
      <c r="BV17" s="128">
        <f t="shared" si="168"/>
        <v>2023</v>
      </c>
      <c r="BW17" s="128">
        <f t="shared" si="169"/>
        <v>2023</v>
      </c>
      <c r="BX17" s="128">
        <f t="shared" si="170"/>
        <v>12</v>
      </c>
      <c r="BY17" s="128">
        <f t="shared" si="171"/>
        <v>13</v>
      </c>
      <c r="BZ17" s="128">
        <f t="shared" si="172"/>
        <v>14</v>
      </c>
      <c r="CA17" s="128">
        <f t="shared" si="173"/>
        <v>19</v>
      </c>
      <c r="CB17" s="7">
        <f t="shared" si="174"/>
        <v>45040</v>
      </c>
      <c r="CC17" s="7" t="str">
        <f t="shared" si="175"/>
        <v>-</v>
      </c>
      <c r="CD17" s="7">
        <f t="shared" si="176"/>
        <v>45056</v>
      </c>
      <c r="CE17" s="7" t="str">
        <f t="shared" si="177"/>
        <v>-</v>
      </c>
      <c r="CF17" s="128">
        <f t="shared" si="178"/>
        <v>2023</v>
      </c>
      <c r="CG17" s="128" t="str">
        <f t="shared" si="179"/>
        <v/>
      </c>
      <c r="CH17" s="128">
        <f t="shared" si="180"/>
        <v>2023</v>
      </c>
      <c r="CI17" s="128" t="str">
        <f t="shared" si="181"/>
        <v/>
      </c>
      <c r="CJ17" s="128">
        <f t="shared" si="182"/>
        <v>17</v>
      </c>
      <c r="CK17" s="128" t="str">
        <f t="shared" si="183"/>
        <v/>
      </c>
      <c r="CL17" s="128">
        <f t="shared" si="184"/>
        <v>19</v>
      </c>
      <c r="CM17" s="128" t="str">
        <f t="shared" si="185"/>
        <v/>
      </c>
      <c r="CN17" s="82" t="str">
        <f t="shared" ca="1" si="186"/>
        <v>완료</v>
      </c>
      <c r="CO17" s="82" t="str">
        <f t="shared" ca="1" si="187"/>
        <v>지연</v>
      </c>
      <c r="CP17" s="82" t="str">
        <f t="shared" ca="1" si="188"/>
        <v>완료</v>
      </c>
      <c r="CQ17" s="82" t="str">
        <f t="shared" ca="1" si="189"/>
        <v>지연</v>
      </c>
      <c r="CR17" s="52" t="str">
        <f t="shared" si="190"/>
        <v>종결</v>
      </c>
      <c r="CS17" s="53"/>
      <c r="CT17" s="53"/>
      <c r="CU17" s="53"/>
      <c r="CV17" s="101" t="s">
        <v>715</v>
      </c>
      <c r="CW17" s="129" t="str">
        <f>IF(COUNTIF($CV:$CV,CV17)&gt;1,"중복","")</f>
        <v>중복</v>
      </c>
      <c r="CX17" s="131" t="s">
        <v>186</v>
      </c>
      <c r="CY17" s="11" t="s">
        <v>156</v>
      </c>
      <c r="CZ17" s="11" t="s">
        <v>224</v>
      </c>
      <c r="DA17" s="11" t="s">
        <v>83</v>
      </c>
      <c r="DB17" s="80" t="s">
        <v>87</v>
      </c>
      <c r="DC17" s="80" t="s">
        <v>87</v>
      </c>
      <c r="DD17" s="82">
        <f t="shared" si="191"/>
        <v>34148</v>
      </c>
      <c r="DE17" s="80" t="str">
        <f>IF(DD17="-","-",VLOOKUP(DD17,'프로젝트 담당자'!$T$3:$W$80,4,0))</f>
        <v>이문</v>
      </c>
      <c r="DF17" s="82" t="s">
        <v>29</v>
      </c>
      <c r="DG17" s="82" t="str">
        <f>VLOOKUP(DD17,'프로젝트 담당자'!$T$2:$Y$80,6,0)</f>
        <v>이진웅</v>
      </c>
      <c r="DH17" s="82" t="s">
        <v>91</v>
      </c>
      <c r="DI17" s="82" t="s">
        <v>107</v>
      </c>
      <c r="DJ17" s="82" t="s">
        <v>91</v>
      </c>
    </row>
    <row r="18" spans="1:114" s="55" customFormat="1" ht="62.4" x14ac:dyDescent="0.4">
      <c r="A18" s="218">
        <v>412</v>
      </c>
      <c r="B18" s="7">
        <f t="shared" si="157"/>
        <v>45002</v>
      </c>
      <c r="C18" s="188">
        <f t="shared" si="158"/>
        <v>11</v>
      </c>
      <c r="D18" s="100">
        <v>2023</v>
      </c>
      <c r="E18" s="82">
        <v>3</v>
      </c>
      <c r="F18" s="82">
        <v>17</v>
      </c>
      <c r="G18" s="7">
        <v>45005</v>
      </c>
      <c r="H18" s="1" t="str">
        <f t="shared" si="159"/>
        <v>월</v>
      </c>
      <c r="I18" s="82" t="s">
        <v>14</v>
      </c>
      <c r="J18" s="82" t="s">
        <v>3</v>
      </c>
      <c r="K18" s="82" t="str">
        <f t="shared" si="160"/>
        <v>448R</v>
      </c>
      <c r="L18" s="82" t="str">
        <f>VLOOKUP('2023년 신조차 고장관리 세부현황'!DD18,'프로젝트 담당자'!$T$2:$Z$80,7,0)</f>
        <v>분당선 108량</v>
      </c>
      <c r="M18" s="174">
        <v>6563</v>
      </c>
      <c r="N18" s="170">
        <v>351044</v>
      </c>
      <c r="O18" s="105">
        <f>IF(OR(K18="128R",K18="448R"),VLOOKUP('2023년 신조차 고장관리 세부현황'!DD18,'프로젝트 담당자'!$T$2:$AB$80,9,0),"기타")</f>
        <v>44681</v>
      </c>
      <c r="P18" s="137">
        <f t="shared" si="156"/>
        <v>321</v>
      </c>
      <c r="Q18" s="89" t="s">
        <v>282</v>
      </c>
      <c r="R18" s="96"/>
      <c r="S18" s="131" t="s">
        <v>186</v>
      </c>
      <c r="T18" s="340" t="s">
        <v>18</v>
      </c>
      <c r="U18" s="340" t="s">
        <v>18</v>
      </c>
      <c r="V18" s="2" t="s">
        <v>162</v>
      </c>
      <c r="W18" s="226" t="s">
        <v>468</v>
      </c>
      <c r="X18" s="235" t="s">
        <v>379</v>
      </c>
      <c r="Y18" s="82"/>
      <c r="Z18" s="82"/>
      <c r="AA18" s="82"/>
      <c r="AB18" s="82"/>
      <c r="AC18" s="82"/>
      <c r="AD18" s="82"/>
      <c r="AE18" s="82"/>
      <c r="AF18" s="82"/>
      <c r="AG18" s="82"/>
      <c r="AH18" s="82"/>
      <c r="AI18" s="82"/>
      <c r="AJ18" s="2" t="s">
        <v>456</v>
      </c>
      <c r="AK18" s="11"/>
      <c r="AL18" s="80" t="s">
        <v>482</v>
      </c>
      <c r="AM18" s="12" t="s">
        <v>485</v>
      </c>
      <c r="AN18" s="80"/>
      <c r="AO18" s="11"/>
      <c r="AP18" s="80" t="s">
        <v>420</v>
      </c>
      <c r="AQ18" s="11" t="s">
        <v>425</v>
      </c>
      <c r="AR18" s="3" t="s">
        <v>594</v>
      </c>
      <c r="AS18" s="53" t="s">
        <v>10</v>
      </c>
      <c r="AT18" s="7">
        <v>45009</v>
      </c>
      <c r="AU18" s="7"/>
      <c r="AV18" s="82"/>
      <c r="AW18" s="128"/>
      <c r="AX18" s="128"/>
      <c r="AY18" s="82"/>
      <c r="AZ18" s="7" t="str">
        <f t="shared" si="195"/>
        <v>완료</v>
      </c>
      <c r="BA18" s="7">
        <v>45012</v>
      </c>
      <c r="BB18" s="7">
        <v>45040</v>
      </c>
      <c r="BC18" s="82" t="str">
        <f t="shared" ca="1" si="192"/>
        <v>완료</v>
      </c>
      <c r="BD18" s="7" t="s">
        <v>460</v>
      </c>
      <c r="BE18" s="7">
        <v>45017</v>
      </c>
      <c r="BF18" s="82" t="s">
        <v>284</v>
      </c>
      <c r="BG18" s="82" t="str">
        <f t="shared" ca="1" si="161"/>
        <v>지연</v>
      </c>
      <c r="BH18" s="7">
        <v>45024</v>
      </c>
      <c r="BI18" s="10">
        <v>45056</v>
      </c>
      <c r="BJ18" s="82" t="str">
        <f t="shared" ca="1" si="193"/>
        <v>완료</v>
      </c>
      <c r="BK18" s="10" t="s">
        <v>479</v>
      </c>
      <c r="BL18" s="7">
        <v>45057</v>
      </c>
      <c r="BM18" s="82" t="s">
        <v>284</v>
      </c>
      <c r="BN18" s="82" t="str">
        <f t="shared" ca="1" si="194"/>
        <v>지연</v>
      </c>
      <c r="BO18" s="82"/>
      <c r="BP18" s="10">
        <f t="shared" si="162"/>
        <v>45012</v>
      </c>
      <c r="BQ18" s="10">
        <f t="shared" si="163"/>
        <v>45017</v>
      </c>
      <c r="BR18" s="10">
        <f t="shared" si="164"/>
        <v>45024</v>
      </c>
      <c r="BS18" s="10">
        <f t="shared" si="165"/>
        <v>45057</v>
      </c>
      <c r="BT18" s="75">
        <f t="shared" si="166"/>
        <v>2023</v>
      </c>
      <c r="BU18" s="75">
        <f t="shared" si="167"/>
        <v>2023</v>
      </c>
      <c r="BV18" s="75">
        <f t="shared" si="168"/>
        <v>2023</v>
      </c>
      <c r="BW18" s="75">
        <f t="shared" si="169"/>
        <v>2023</v>
      </c>
      <c r="BX18" s="75">
        <f t="shared" si="170"/>
        <v>13</v>
      </c>
      <c r="BY18" s="75">
        <f t="shared" si="171"/>
        <v>13</v>
      </c>
      <c r="BZ18" s="75">
        <f t="shared" si="172"/>
        <v>14</v>
      </c>
      <c r="CA18" s="75">
        <f t="shared" si="173"/>
        <v>19</v>
      </c>
      <c r="CB18" s="10">
        <f t="shared" si="174"/>
        <v>45040</v>
      </c>
      <c r="CC18" s="10" t="str">
        <f t="shared" si="175"/>
        <v>-</v>
      </c>
      <c r="CD18" s="10">
        <f t="shared" si="176"/>
        <v>45056</v>
      </c>
      <c r="CE18" s="10" t="str">
        <f t="shared" si="177"/>
        <v>-</v>
      </c>
      <c r="CF18" s="75">
        <f t="shared" si="178"/>
        <v>2023</v>
      </c>
      <c r="CG18" s="75" t="str">
        <f t="shared" si="179"/>
        <v/>
      </c>
      <c r="CH18" s="75">
        <f t="shared" si="180"/>
        <v>2023</v>
      </c>
      <c r="CI18" s="75" t="str">
        <f t="shared" si="181"/>
        <v/>
      </c>
      <c r="CJ18" s="75">
        <f t="shared" si="182"/>
        <v>17</v>
      </c>
      <c r="CK18" s="75" t="str">
        <f t="shared" si="183"/>
        <v/>
      </c>
      <c r="CL18" s="75">
        <f t="shared" si="184"/>
        <v>19</v>
      </c>
      <c r="CM18" s="75" t="str">
        <f t="shared" si="185"/>
        <v/>
      </c>
      <c r="CN18" s="2" t="str">
        <f t="shared" ca="1" si="186"/>
        <v>완료</v>
      </c>
      <c r="CO18" s="2" t="str">
        <f t="shared" ca="1" si="187"/>
        <v>지연</v>
      </c>
      <c r="CP18" s="2" t="str">
        <f t="shared" ca="1" si="188"/>
        <v>완료</v>
      </c>
      <c r="CQ18" s="2" t="str">
        <f t="shared" ca="1" si="189"/>
        <v>지연</v>
      </c>
      <c r="CR18" s="52" t="str">
        <f t="shared" si="190"/>
        <v>종결</v>
      </c>
      <c r="CS18" s="52"/>
      <c r="CT18" s="52"/>
      <c r="CU18" s="52"/>
      <c r="CV18" s="101" t="s">
        <v>715</v>
      </c>
      <c r="CW18" s="129" t="str">
        <f>IF(COUNTIF($CV:$CV,CV18)&gt;1,"중복","")</f>
        <v>중복</v>
      </c>
      <c r="CX18" s="131" t="s">
        <v>186</v>
      </c>
      <c r="CY18" s="11" t="s">
        <v>156</v>
      </c>
      <c r="CZ18" s="11" t="s">
        <v>224</v>
      </c>
      <c r="DA18" s="11" t="s">
        <v>83</v>
      </c>
      <c r="DB18" s="80" t="s">
        <v>87</v>
      </c>
      <c r="DC18" s="80" t="s">
        <v>87</v>
      </c>
      <c r="DD18" s="82">
        <f t="shared" si="191"/>
        <v>35144</v>
      </c>
      <c r="DE18" s="80" t="str">
        <f>IF(DD18="-","-",VLOOKUP(DD18,'프로젝트 담당자'!$T$3:$W$80,4,0))</f>
        <v>분당</v>
      </c>
      <c r="DF18" s="82" t="s">
        <v>29</v>
      </c>
      <c r="DG18" s="82" t="str">
        <f>VLOOKUP(DD18,'프로젝트 담당자'!$T$2:$Y$80,6,0)</f>
        <v>이성규</v>
      </c>
      <c r="DH18" s="82" t="s">
        <v>91</v>
      </c>
      <c r="DI18" s="82" t="s">
        <v>107</v>
      </c>
      <c r="DJ18" s="82" t="s">
        <v>91</v>
      </c>
    </row>
    <row r="19" spans="1:114" s="55" customFormat="1" ht="62.4" x14ac:dyDescent="0.4">
      <c r="A19" s="218">
        <v>418</v>
      </c>
      <c r="B19" s="7">
        <f t="shared" si="157"/>
        <v>45002</v>
      </c>
      <c r="C19" s="188">
        <f t="shared" si="158"/>
        <v>11</v>
      </c>
      <c r="D19" s="100">
        <v>2023</v>
      </c>
      <c r="E19" s="82">
        <v>3</v>
      </c>
      <c r="F19" s="82">
        <v>17</v>
      </c>
      <c r="G19" s="7">
        <v>45005</v>
      </c>
      <c r="H19" s="1" t="str">
        <f t="shared" si="159"/>
        <v>월</v>
      </c>
      <c r="I19" s="82" t="s">
        <v>14</v>
      </c>
      <c r="J19" s="82" t="s">
        <v>4</v>
      </c>
      <c r="K19" s="82" t="str">
        <f t="shared" si="160"/>
        <v>448R</v>
      </c>
      <c r="L19" s="82" t="str">
        <f>VLOOKUP('2023년 신조차 고장관리 세부현황'!DD19,'프로젝트 담당자'!$T$2:$Z$80,7,0)</f>
        <v>분당선 108량</v>
      </c>
      <c r="M19" s="2" t="s">
        <v>689</v>
      </c>
      <c r="N19" s="82">
        <v>351044</v>
      </c>
      <c r="O19" s="105">
        <f>IF(OR(K19="128R",K19="448R"),VLOOKUP('2023년 신조차 고장관리 세부현황'!DD19,'프로젝트 담당자'!$T$2:$AB$80,9,0),"기타")</f>
        <v>44681</v>
      </c>
      <c r="P19" s="137">
        <f t="shared" ref="P19:P23" si="196">IF(OR(V19="삭제",O19="기타"),"",IF(ISBLANK(O19),"",B19-O19))</f>
        <v>321</v>
      </c>
      <c r="Q19" s="89" t="s">
        <v>283</v>
      </c>
      <c r="R19" s="96"/>
      <c r="S19" s="131" t="s">
        <v>186</v>
      </c>
      <c r="T19" s="340" t="s">
        <v>18</v>
      </c>
      <c r="U19" s="340" t="s">
        <v>18</v>
      </c>
      <c r="V19" s="2" t="s">
        <v>162</v>
      </c>
      <c r="W19" s="226" t="s">
        <v>468</v>
      </c>
      <c r="X19" s="235" t="s">
        <v>379</v>
      </c>
      <c r="Y19" s="82"/>
      <c r="Z19" s="82"/>
      <c r="AA19" s="82"/>
      <c r="AB19" s="82"/>
      <c r="AC19" s="82"/>
      <c r="AD19" s="82"/>
      <c r="AE19" s="82"/>
      <c r="AF19" s="82"/>
      <c r="AG19" s="82"/>
      <c r="AH19" s="82"/>
      <c r="AI19" s="82"/>
      <c r="AJ19" s="2" t="s">
        <v>456</v>
      </c>
      <c r="AK19" s="11"/>
      <c r="AL19" s="80" t="s">
        <v>482</v>
      </c>
      <c r="AM19" s="12" t="s">
        <v>485</v>
      </c>
      <c r="AN19" s="80"/>
      <c r="AO19" s="11"/>
      <c r="AP19" s="80" t="s">
        <v>420</v>
      </c>
      <c r="AQ19" s="11" t="s">
        <v>425</v>
      </c>
      <c r="AR19" s="3" t="s">
        <v>594</v>
      </c>
      <c r="AS19" s="53" t="s">
        <v>10</v>
      </c>
      <c r="AT19" s="7">
        <v>45009</v>
      </c>
      <c r="AU19" s="7"/>
      <c r="AV19" s="82"/>
      <c r="AW19" s="56"/>
      <c r="AX19" s="56"/>
      <c r="AY19" s="82"/>
      <c r="AZ19" s="7" t="str">
        <f t="shared" si="195"/>
        <v>완료</v>
      </c>
      <c r="BA19" s="7">
        <v>45012</v>
      </c>
      <c r="BB19" s="7">
        <v>45040</v>
      </c>
      <c r="BC19" s="82" t="str">
        <f t="shared" ca="1" si="192"/>
        <v>완료</v>
      </c>
      <c r="BD19" s="7" t="s">
        <v>460</v>
      </c>
      <c r="BE19" s="7">
        <v>45017</v>
      </c>
      <c r="BF19" s="82" t="s">
        <v>284</v>
      </c>
      <c r="BG19" s="82" t="str">
        <f t="shared" ca="1" si="161"/>
        <v>지연</v>
      </c>
      <c r="BH19" s="7">
        <v>45024</v>
      </c>
      <c r="BI19" s="10">
        <v>45056</v>
      </c>
      <c r="BJ19" s="82" t="str">
        <f t="shared" ca="1" si="193"/>
        <v>완료</v>
      </c>
      <c r="BK19" s="10" t="s">
        <v>479</v>
      </c>
      <c r="BL19" s="7">
        <v>45057</v>
      </c>
      <c r="BM19" s="82" t="s">
        <v>284</v>
      </c>
      <c r="BN19" s="82" t="str">
        <f t="shared" ca="1" si="194"/>
        <v>지연</v>
      </c>
      <c r="BO19" s="82"/>
      <c r="BP19" s="10">
        <f t="shared" si="162"/>
        <v>45012</v>
      </c>
      <c r="BQ19" s="10">
        <f t="shared" si="163"/>
        <v>45017</v>
      </c>
      <c r="BR19" s="10">
        <f t="shared" si="164"/>
        <v>45024</v>
      </c>
      <c r="BS19" s="10">
        <f t="shared" si="165"/>
        <v>45057</v>
      </c>
      <c r="BT19" s="75">
        <f t="shared" si="166"/>
        <v>2023</v>
      </c>
      <c r="BU19" s="75">
        <f t="shared" si="167"/>
        <v>2023</v>
      </c>
      <c r="BV19" s="75">
        <f t="shared" si="168"/>
        <v>2023</v>
      </c>
      <c r="BW19" s="75">
        <f t="shared" si="169"/>
        <v>2023</v>
      </c>
      <c r="BX19" s="75">
        <f t="shared" si="170"/>
        <v>13</v>
      </c>
      <c r="BY19" s="75">
        <f t="shared" si="171"/>
        <v>13</v>
      </c>
      <c r="BZ19" s="75">
        <f t="shared" si="172"/>
        <v>14</v>
      </c>
      <c r="CA19" s="75">
        <f t="shared" si="173"/>
        <v>19</v>
      </c>
      <c r="CB19" s="10">
        <f t="shared" si="174"/>
        <v>45040</v>
      </c>
      <c r="CC19" s="10" t="str">
        <f t="shared" si="175"/>
        <v>-</v>
      </c>
      <c r="CD19" s="10">
        <f t="shared" si="176"/>
        <v>45056</v>
      </c>
      <c r="CE19" s="10" t="str">
        <f t="shared" si="177"/>
        <v>-</v>
      </c>
      <c r="CF19" s="75">
        <f t="shared" si="178"/>
        <v>2023</v>
      </c>
      <c r="CG19" s="75" t="str">
        <f t="shared" si="179"/>
        <v/>
      </c>
      <c r="CH19" s="75">
        <f t="shared" si="180"/>
        <v>2023</v>
      </c>
      <c r="CI19" s="75" t="str">
        <f t="shared" si="181"/>
        <v/>
      </c>
      <c r="CJ19" s="75">
        <f t="shared" si="182"/>
        <v>17</v>
      </c>
      <c r="CK19" s="75" t="str">
        <f t="shared" si="183"/>
        <v/>
      </c>
      <c r="CL19" s="75">
        <f t="shared" si="184"/>
        <v>19</v>
      </c>
      <c r="CM19" s="75" t="str">
        <f t="shared" si="185"/>
        <v/>
      </c>
      <c r="CN19" s="2" t="str">
        <f t="shared" ca="1" si="186"/>
        <v>완료</v>
      </c>
      <c r="CO19" s="2" t="str">
        <f t="shared" ca="1" si="187"/>
        <v>지연</v>
      </c>
      <c r="CP19" s="2" t="str">
        <f t="shared" ca="1" si="188"/>
        <v>완료</v>
      </c>
      <c r="CQ19" s="2" t="str">
        <f t="shared" ca="1" si="189"/>
        <v>지연</v>
      </c>
      <c r="CR19" s="52" t="str">
        <f t="shared" si="190"/>
        <v>종결</v>
      </c>
      <c r="CS19" s="52"/>
      <c r="CT19" s="52"/>
      <c r="CU19" s="52"/>
      <c r="CV19" s="101" t="s">
        <v>715</v>
      </c>
      <c r="CW19" s="129" t="str">
        <f>IF(COUNTIF($CV:$CV,CV19)&gt;1,"중복","")</f>
        <v>중복</v>
      </c>
      <c r="CX19" s="131" t="s">
        <v>186</v>
      </c>
      <c r="CY19" s="11" t="s">
        <v>156</v>
      </c>
      <c r="CZ19" s="11" t="s">
        <v>224</v>
      </c>
      <c r="DA19" s="11" t="s">
        <v>83</v>
      </c>
      <c r="DB19" s="80" t="s">
        <v>87</v>
      </c>
      <c r="DC19" s="80" t="s">
        <v>87</v>
      </c>
      <c r="DD19" s="82">
        <f t="shared" si="191"/>
        <v>35144</v>
      </c>
      <c r="DE19" s="80" t="str">
        <f>IF(DD19="-","-",VLOOKUP(DD19,'프로젝트 담당자'!$T$3:$W$80,4,0))</f>
        <v>분당</v>
      </c>
      <c r="DF19" s="82" t="s">
        <v>29</v>
      </c>
      <c r="DG19" s="82" t="str">
        <f>VLOOKUP(DD19,'프로젝트 담당자'!$T$2:$Y$80,6,0)</f>
        <v>이성규</v>
      </c>
      <c r="DH19" s="82" t="s">
        <v>91</v>
      </c>
      <c r="DI19" s="82" t="s">
        <v>107</v>
      </c>
      <c r="DJ19" s="82" t="s">
        <v>91</v>
      </c>
    </row>
    <row r="20" spans="1:114" ht="62.4" x14ac:dyDescent="0.4">
      <c r="A20" s="218">
        <v>467</v>
      </c>
      <c r="B20" s="71">
        <f t="shared" ref="B20:B27" si="197">IFERROR(DATE(D20,E20,F20),"")</f>
        <v>45018</v>
      </c>
      <c r="C20" s="194">
        <f t="shared" ref="C20:C27" si="198">WEEKNUM(B20)</f>
        <v>14</v>
      </c>
      <c r="D20" s="100">
        <v>2023</v>
      </c>
      <c r="E20" s="82">
        <v>4</v>
      </c>
      <c r="F20" s="82">
        <v>2</v>
      </c>
      <c r="G20" s="71">
        <v>45019</v>
      </c>
      <c r="H20" s="1" t="str">
        <f t="shared" ref="H20:H21" si="199">IF(WEEKDAY(G20)=1,"일",IF(WEEKDAY(G20)=2,"월",IF(WEEKDAY(G20)=3,"화",IF(WEEKDAY(G20)=4,"수",IF(WEEKDAY(G20)=5,"목",IF(WEEKDAY(G20)=6,"금",IF(WEEKDAY(G20)=7,"토")))))))</f>
        <v>월</v>
      </c>
      <c r="I20" s="82" t="s">
        <v>155</v>
      </c>
      <c r="J20" s="82" t="s">
        <v>4</v>
      </c>
      <c r="K20" s="56" t="str">
        <f t="shared" ref="K20:K27" si="200">IF(OR(L20="경원선 18량",L20="과천안산선 70량",L20="1호선 40량"),"128R",IF(OR(L20="경인선 80량",L20="과천안산선 180량",L20="분당선 108량"),"448R","기타"))</f>
        <v>128R</v>
      </c>
      <c r="L20" s="56" t="str">
        <f>VLOOKUP('2023년 신조차 고장관리 세부현황'!DD20,'프로젝트 담당자'!$T$2:$Z$80,7,0)</f>
        <v>1호선 40량</v>
      </c>
      <c r="M20" s="81" t="s">
        <v>5</v>
      </c>
      <c r="N20" s="82">
        <v>312007</v>
      </c>
      <c r="O20" s="105">
        <f>IF(OR(K20="128R",K20="448R"),VLOOKUP('2023년 신조차 고장관리 세부현황'!DD20,'프로젝트 담당자'!$T$2:$AB$80,9,0),"기타")</f>
        <v>43797</v>
      </c>
      <c r="P20" s="137">
        <f t="shared" si="196"/>
        <v>1221</v>
      </c>
      <c r="Q20" s="89" t="s">
        <v>312</v>
      </c>
      <c r="R20" s="232" t="s">
        <v>313</v>
      </c>
      <c r="S20" s="82" t="s">
        <v>188</v>
      </c>
      <c r="T20" s="2" t="s">
        <v>17</v>
      </c>
      <c r="U20" s="2" t="s">
        <v>17</v>
      </c>
      <c r="V20" s="2" t="s">
        <v>162</v>
      </c>
      <c r="W20" s="223" t="s">
        <v>378</v>
      </c>
      <c r="X20" s="250" t="s">
        <v>429</v>
      </c>
      <c r="Y20" s="82"/>
      <c r="Z20" s="82"/>
      <c r="AA20" s="82"/>
      <c r="AB20" s="82"/>
      <c r="AC20" s="82"/>
      <c r="AD20" s="82"/>
      <c r="AE20" s="82" t="s">
        <v>173</v>
      </c>
      <c r="AF20" s="82" t="s">
        <v>718</v>
      </c>
      <c r="AG20" s="82"/>
      <c r="AH20" s="82"/>
      <c r="AI20" s="79" t="s">
        <v>569</v>
      </c>
      <c r="AJ20" s="80"/>
      <c r="AK20" s="80"/>
      <c r="AL20" s="82" t="s">
        <v>173</v>
      </c>
      <c r="AM20" s="80"/>
      <c r="AN20" s="80"/>
      <c r="AO20" s="80"/>
      <c r="AP20" s="80"/>
      <c r="AQ20" s="11" t="s">
        <v>173</v>
      </c>
      <c r="AR20" s="3" t="s">
        <v>570</v>
      </c>
      <c r="AS20" s="53" t="s">
        <v>10</v>
      </c>
      <c r="AT20" s="7">
        <v>45022</v>
      </c>
      <c r="AU20" s="7"/>
      <c r="AV20" s="82"/>
      <c r="AW20" s="56"/>
      <c r="AX20" s="56"/>
      <c r="AY20" s="82"/>
      <c r="AZ20" s="7" t="str">
        <f t="shared" si="195"/>
        <v>완료</v>
      </c>
      <c r="BA20" s="2" t="s">
        <v>128</v>
      </c>
      <c r="BB20" s="82"/>
      <c r="BC20" s="82" t="str">
        <f t="shared" ref="BC20:BC25" ca="1" si="201">IF(ISBLANK(BB20),"",IF(OR(BB20&lt;=BA20,BB20="조치완료보고 대체",BB20="제출불가"),"완료",IF(AND(BB20="-",BA20&gt;=TODAY()),"예정",IF(AND(BB20="-",BA20&lt;TODAY()),"지연",IF(BB20&gt;BA20,"완료","")))))</f>
        <v/>
      </c>
      <c r="BD20" s="9"/>
      <c r="BE20" s="2" t="s">
        <v>128</v>
      </c>
      <c r="BF20" s="82"/>
      <c r="BG20" s="82" t="str">
        <f t="shared" ref="BG20:BG25" ca="1" si="202">IF(ISBLANK(BF20),"",IF(OR(BF20&lt;=BE20,BF20="조치완료보고 대체",BF20="제출불가"),"완료",IF(AND(BF20="-",BE20&gt;=TODAY()),"예정",IF(AND(BF20="-",BE20&lt;TODAY()),"지연",IF(BF20&gt;BE20,"완료","")))))</f>
        <v/>
      </c>
      <c r="BH20" s="2" t="s">
        <v>128</v>
      </c>
      <c r="BI20" s="82"/>
      <c r="BJ20" s="82" t="str">
        <f t="shared" ref="BJ20:BJ25" ca="1" si="203">IF(ISBLANK(BI20),"",IF(OR(BI20&lt;=BH20,BI20="조치완료보고 대체",BI20="제출불가"),"완료",IF(AND(BI20="-",BH20&gt;=TODAY()),"예정",IF(AND(BI20="-",BH20&lt;TODAY()),"지연",IF(BI20&gt;BH20,"완료","")))))</f>
        <v/>
      </c>
      <c r="BK20" s="9"/>
      <c r="BL20" s="2" t="s">
        <v>128</v>
      </c>
      <c r="BM20" s="82"/>
      <c r="BN20" s="82" t="str">
        <f t="shared" ref="BN20:BN28" ca="1" si="204">IF(ISBLANK(BM20),"",IF(OR(BM20&lt;=BL20,BM20="조치완료보고 대체",BM20="제출불가"),"완료",IF(AND(BM20="-",BL20&gt;=TODAY()),"예정",IF(AND(BM20="-",BL20&lt;TODAY()),"지연",IF(BM20&gt;BL20,"완료","")))))</f>
        <v/>
      </c>
      <c r="BO20" s="82"/>
      <c r="BP20" s="10" t="str">
        <f t="shared" ref="BP20:BP27" si="205">IF(ISBLANK(BA20),"",BA20)</f>
        <v>코레일 협의중</v>
      </c>
      <c r="BQ20" s="10" t="str">
        <f t="shared" ref="BQ20:BQ27" si="206">IF(ISBLANK(BE20),"",BE20)</f>
        <v>코레일 협의중</v>
      </c>
      <c r="BR20" s="10" t="str">
        <f t="shared" ref="BR20:BR27" si="207">IF(ISBLANK(BH20),"",BH20)</f>
        <v>코레일 협의중</v>
      </c>
      <c r="BS20" s="10" t="str">
        <f t="shared" ref="BS20:BS27" si="208">IF(ISBLANK(BL20),"",BL20)</f>
        <v>코레일 협의중</v>
      </c>
      <c r="BT20" s="75" t="str">
        <f t="shared" ref="BT20:BT27" si="209">IF(ISBLANK(BP20),"",IFERROR(YEAR(BP20),""))</f>
        <v/>
      </c>
      <c r="BU20" s="75" t="str">
        <f t="shared" ref="BU20:BU27" si="210">IF(ISBLANK(BQ20),"",IFERROR(YEAR(BQ20),""))</f>
        <v/>
      </c>
      <c r="BV20" s="75" t="str">
        <f t="shared" ref="BV20:BV27" si="211">IF(ISBLANK(BR20),"",IFERROR(YEAR(BR20),""))</f>
        <v/>
      </c>
      <c r="BW20" s="75" t="str">
        <f t="shared" ref="BW20:BW27" si="212">IF(ISBLANK(BS20),"",IFERROR(YEAR(BS20),""))</f>
        <v/>
      </c>
      <c r="BX20" s="75" t="str">
        <f t="shared" ref="BX20:BX27" si="213">IF(ISBLANK(BP20),"",IF(OR(BP20="제출불가",BP20="조치완료보고 대체"),BP20,IFERROR(WEEKNUM(BP20),"")))</f>
        <v/>
      </c>
      <c r="BY20" s="75" t="str">
        <f t="shared" ref="BY20:BY27" si="214">IF(ISBLANK(BQ20),"",IF(OR(BQ20="제출불가",BQ20="조치완료보고 대체"),BQ20,IFERROR(WEEKNUM(BQ20),"")))</f>
        <v/>
      </c>
      <c r="BZ20" s="75" t="str">
        <f t="shared" ref="BZ20:BZ27" si="215">IF(ISBLANK(BR20),"",IF(OR(BR20="제출불가",BR20="조치완료보고 대체"),BR20,IFERROR(WEEKNUM(BR20),"")))</f>
        <v/>
      </c>
      <c r="CA20" s="75" t="str">
        <f t="shared" ref="CA20:CA27" si="216">IF(ISBLANK(BS20),"",IF(OR(BS20="제출불가",BS20="조치완료보고 대체"),BS20,IFERROR(WEEKNUM(BS20),"")))</f>
        <v/>
      </c>
      <c r="CB20" s="10" t="str">
        <f t="shared" ref="CB20:CB27" si="217">IF(ISBLANK(BB20),"",BB20)</f>
        <v/>
      </c>
      <c r="CC20" s="10" t="str">
        <f t="shared" ref="CC20:CC27" si="218">IF(ISBLANK(BF20),"",BF20)</f>
        <v/>
      </c>
      <c r="CD20" s="10" t="str">
        <f t="shared" ref="CD20:CD27" si="219">IF(ISBLANK(BI20),"",BI20)</f>
        <v/>
      </c>
      <c r="CE20" s="10" t="str">
        <f t="shared" ref="CE20:CE27" si="220">IF(ISBLANK(BM20),"",BM20)</f>
        <v/>
      </c>
      <c r="CF20" s="75" t="str">
        <f t="shared" ref="CF20:CF27" si="221">IF(ISBLANK(CB20),"",IFERROR(YEAR(CB20),""))</f>
        <v/>
      </c>
      <c r="CG20" s="75" t="str">
        <f t="shared" ref="CG20:CG27" si="222">IF(ISBLANK(CC20),"",IFERROR(YEAR(CC20),""))</f>
        <v/>
      </c>
      <c r="CH20" s="75" t="str">
        <f t="shared" ref="CH20:CH27" si="223">IF(ISBLANK(CD20),"",IFERROR(YEAR(CD20),""))</f>
        <v/>
      </c>
      <c r="CI20" s="75" t="str">
        <f t="shared" ref="CI20:CI27" si="224">IF(ISBLANK(CE20),"",IFERROR(YEAR(CE20),""))</f>
        <v/>
      </c>
      <c r="CJ20" s="75" t="str">
        <f t="shared" ref="CJ20:CJ27" si="225">IF(ISBLANK(CB20),"",IF(OR(CB20="제출불가",CB20="조치완료보고 대체"),CB20,IFERROR(WEEKNUM(CB20),"")))</f>
        <v/>
      </c>
      <c r="CK20" s="75" t="str">
        <f t="shared" ref="CK20:CK27" si="226">IF(ISBLANK(CC20),"",IF(OR(CC20="제출불가",CC20="조치완료보고 대체"),CC20,IFERROR(WEEKNUM(CC20),"")))</f>
        <v/>
      </c>
      <c r="CL20" s="75" t="str">
        <f t="shared" ref="CL20:CL27" si="227">IF(ISBLANK(CD20),"",IF(OR(CD20="제출불가",CD20="조치완료보고 대체"),CD20,IFERROR(WEEKNUM(CD20),"")))</f>
        <v/>
      </c>
      <c r="CM20" s="75" t="str">
        <f t="shared" ref="CM20:CM27" si="228">IF(ISBLANK(CE20),"",IF(OR(CE20="제출불가",CE20="조치완료보고 대체"),CE20,IFERROR(WEEKNUM(CE20),"")))</f>
        <v/>
      </c>
      <c r="CN20" s="2" t="str">
        <f t="shared" ref="CN20:CN27" ca="1" si="229">BC20</f>
        <v/>
      </c>
      <c r="CO20" s="2" t="str">
        <f t="shared" ref="CO20:CO27" ca="1" si="230">BG20</f>
        <v/>
      </c>
      <c r="CP20" s="2" t="str">
        <f t="shared" ref="CP20:CP27" ca="1" si="231">BJ20</f>
        <v/>
      </c>
      <c r="CQ20" s="2" t="str">
        <f t="shared" ref="CQ20:CQ27" ca="1" si="232">BN20</f>
        <v/>
      </c>
      <c r="CR20" s="52" t="str">
        <f t="shared" ref="CR20:CR27" si="233">IF(BD20="","",BD20)</f>
        <v/>
      </c>
      <c r="CS20" s="2"/>
      <c r="CT20" s="2"/>
      <c r="CU20" s="2"/>
      <c r="CV20" s="79" t="s">
        <v>428</v>
      </c>
      <c r="CW20" s="129" t="str">
        <f>IF(COUNTIF($CV:$CV,CV20)&gt;1,"중복","")</f>
        <v>중복</v>
      </c>
      <c r="CX20" s="82" t="s">
        <v>188</v>
      </c>
      <c r="CY20" s="11" t="s">
        <v>277</v>
      </c>
      <c r="CZ20" s="82" t="s">
        <v>156</v>
      </c>
      <c r="DA20" s="11" t="s">
        <v>83</v>
      </c>
      <c r="DB20" s="79" t="s">
        <v>87</v>
      </c>
      <c r="DC20" s="79" t="s">
        <v>87</v>
      </c>
      <c r="DD20" s="82">
        <f t="shared" ref="DD20:DD27" si="234">IF(N20="-","-",VALUE(LEFT(N20,3)&amp;RIGHT(N20,2)))</f>
        <v>31207</v>
      </c>
      <c r="DE20" s="80" t="str">
        <f>IF(DD20="-","-",VLOOKUP(DD20,'프로젝트 담당자'!$T$3:$W$80,4,0))</f>
        <v>구로</v>
      </c>
      <c r="DF20" s="82" t="s">
        <v>29</v>
      </c>
      <c r="DG20" s="82" t="str">
        <f>VLOOKUP(DD20,'프로젝트 담당자'!$T$2:$Y$80,6,0)</f>
        <v>최우성</v>
      </c>
      <c r="DH20" s="82" t="s">
        <v>91</v>
      </c>
      <c r="DI20" s="82" t="s">
        <v>107</v>
      </c>
      <c r="DJ20" s="82" t="s">
        <v>91</v>
      </c>
    </row>
    <row r="21" spans="1:114" ht="62.4" x14ac:dyDescent="0.4">
      <c r="A21" s="213">
        <v>471</v>
      </c>
      <c r="B21" s="10">
        <f t="shared" si="197"/>
        <v>45018</v>
      </c>
      <c r="C21" s="75">
        <f t="shared" si="198"/>
        <v>14</v>
      </c>
      <c r="D21" s="175">
        <v>2023</v>
      </c>
      <c r="E21" s="2">
        <v>4</v>
      </c>
      <c r="F21" s="2">
        <v>2</v>
      </c>
      <c r="G21" s="10">
        <v>45021</v>
      </c>
      <c r="H21" s="1" t="str">
        <f t="shared" si="199"/>
        <v>수</v>
      </c>
      <c r="I21" s="2" t="s">
        <v>2</v>
      </c>
      <c r="J21" s="2" t="s">
        <v>3</v>
      </c>
      <c r="K21" s="2" t="str">
        <f t="shared" si="200"/>
        <v>128R</v>
      </c>
      <c r="L21" s="2" t="str">
        <f>VLOOKUP('2023년 신조차 고장관리 세부현황'!DD21,'프로젝트 담당자'!$T$2:$Z$80,7,0)</f>
        <v>1호선 40량</v>
      </c>
      <c r="M21" s="178">
        <v>507</v>
      </c>
      <c r="N21" s="84">
        <v>312007</v>
      </c>
      <c r="O21" s="176">
        <f>IF(OR(K21="128R",K21="448R"),VLOOKUP('2023년 신조차 고장관리 세부현황'!DD21,'프로젝트 담당자'!$T$2:$AB$80,9,0),"기타")</f>
        <v>43797</v>
      </c>
      <c r="P21" s="177">
        <f t="shared" si="196"/>
        <v>1221</v>
      </c>
      <c r="Q21" s="179" t="s">
        <v>326</v>
      </c>
      <c r="R21" s="180" t="s">
        <v>327</v>
      </c>
      <c r="S21" s="82" t="s">
        <v>188</v>
      </c>
      <c r="T21" s="2" t="s">
        <v>17</v>
      </c>
      <c r="U21" s="2" t="s">
        <v>17</v>
      </c>
      <c r="V21" s="2" t="s">
        <v>162</v>
      </c>
      <c r="W21" s="223" t="s">
        <v>378</v>
      </c>
      <c r="X21" s="251" t="s">
        <v>430</v>
      </c>
      <c r="Y21" s="2"/>
      <c r="Z21" s="2"/>
      <c r="AA21" s="2"/>
      <c r="AB21" s="2"/>
      <c r="AC21" s="2"/>
      <c r="AD21" s="2"/>
      <c r="AE21" s="82" t="s">
        <v>173</v>
      </c>
      <c r="AF21" s="82" t="s">
        <v>718</v>
      </c>
      <c r="AG21" s="1"/>
      <c r="AH21" s="1"/>
      <c r="AI21" s="79" t="s">
        <v>569</v>
      </c>
      <c r="AJ21" s="80"/>
      <c r="AK21" s="80"/>
      <c r="AL21" s="82" t="s">
        <v>173</v>
      </c>
      <c r="AM21" s="80"/>
      <c r="AN21" s="80"/>
      <c r="AO21" s="80"/>
      <c r="AP21" s="80" t="s">
        <v>420</v>
      </c>
      <c r="AQ21" s="11" t="s">
        <v>173</v>
      </c>
      <c r="AR21" s="3" t="s">
        <v>570</v>
      </c>
      <c r="AS21" s="53" t="s">
        <v>10</v>
      </c>
      <c r="AT21" s="7">
        <v>45022</v>
      </c>
      <c r="AU21" s="7" t="s">
        <v>368</v>
      </c>
      <c r="AV21" s="82"/>
      <c r="AW21" s="128"/>
      <c r="AX21" s="128"/>
      <c r="AY21" s="2"/>
      <c r="AZ21" s="7" t="str">
        <f t="shared" ref="AZ21:AZ28" si="235">IF(OR(AS21="O",AS21="삭제"),"완료","지연")</f>
        <v>완료</v>
      </c>
      <c r="BA21" s="2" t="s">
        <v>128</v>
      </c>
      <c r="BB21" s="82"/>
      <c r="BC21" s="82" t="str">
        <f t="shared" ca="1" si="201"/>
        <v/>
      </c>
      <c r="BD21" s="9"/>
      <c r="BE21" s="2" t="s">
        <v>128</v>
      </c>
      <c r="BF21" s="82"/>
      <c r="BG21" s="82" t="str">
        <f t="shared" ca="1" si="202"/>
        <v/>
      </c>
      <c r="BH21" s="2" t="s">
        <v>128</v>
      </c>
      <c r="BI21" s="82"/>
      <c r="BJ21" s="82" t="str">
        <f t="shared" ca="1" si="203"/>
        <v/>
      </c>
      <c r="BK21" s="9"/>
      <c r="BL21" s="2" t="s">
        <v>128</v>
      </c>
      <c r="BM21" s="82"/>
      <c r="BN21" s="82" t="str">
        <f t="shared" ca="1" si="204"/>
        <v/>
      </c>
      <c r="BO21" s="2"/>
      <c r="BP21" s="10" t="str">
        <f t="shared" si="205"/>
        <v>코레일 협의중</v>
      </c>
      <c r="BQ21" s="10" t="str">
        <f t="shared" si="206"/>
        <v>코레일 협의중</v>
      </c>
      <c r="BR21" s="10" t="str">
        <f t="shared" si="207"/>
        <v>코레일 협의중</v>
      </c>
      <c r="BS21" s="10" t="str">
        <f t="shared" si="208"/>
        <v>코레일 협의중</v>
      </c>
      <c r="BT21" s="75" t="str">
        <f t="shared" si="209"/>
        <v/>
      </c>
      <c r="BU21" s="75" t="str">
        <f t="shared" si="210"/>
        <v/>
      </c>
      <c r="BV21" s="75" t="str">
        <f t="shared" si="211"/>
        <v/>
      </c>
      <c r="BW21" s="75" t="str">
        <f t="shared" si="212"/>
        <v/>
      </c>
      <c r="BX21" s="75" t="str">
        <f t="shared" si="213"/>
        <v/>
      </c>
      <c r="BY21" s="75" t="str">
        <f t="shared" si="214"/>
        <v/>
      </c>
      <c r="BZ21" s="75" t="str">
        <f t="shared" si="215"/>
        <v/>
      </c>
      <c r="CA21" s="75" t="str">
        <f t="shared" si="216"/>
        <v/>
      </c>
      <c r="CB21" s="10" t="str">
        <f t="shared" si="217"/>
        <v/>
      </c>
      <c r="CC21" s="10" t="str">
        <f t="shared" si="218"/>
        <v/>
      </c>
      <c r="CD21" s="10" t="str">
        <f t="shared" si="219"/>
        <v/>
      </c>
      <c r="CE21" s="10" t="str">
        <f t="shared" si="220"/>
        <v/>
      </c>
      <c r="CF21" s="75" t="str">
        <f t="shared" si="221"/>
        <v/>
      </c>
      <c r="CG21" s="75" t="str">
        <f t="shared" si="222"/>
        <v/>
      </c>
      <c r="CH21" s="75" t="str">
        <f t="shared" si="223"/>
        <v/>
      </c>
      <c r="CI21" s="75" t="str">
        <f t="shared" si="224"/>
        <v/>
      </c>
      <c r="CJ21" s="75" t="str">
        <f t="shared" si="225"/>
        <v/>
      </c>
      <c r="CK21" s="75" t="str">
        <f t="shared" si="226"/>
        <v/>
      </c>
      <c r="CL21" s="75" t="str">
        <f t="shared" si="227"/>
        <v/>
      </c>
      <c r="CM21" s="75" t="str">
        <f t="shared" si="228"/>
        <v/>
      </c>
      <c r="CN21" s="2" t="str">
        <f t="shared" ca="1" si="229"/>
        <v/>
      </c>
      <c r="CO21" s="2" t="str">
        <f t="shared" ca="1" si="230"/>
        <v/>
      </c>
      <c r="CP21" s="2" t="str">
        <f t="shared" ca="1" si="231"/>
        <v/>
      </c>
      <c r="CQ21" s="2" t="str">
        <f t="shared" ca="1" si="232"/>
        <v/>
      </c>
      <c r="CR21" s="52" t="str">
        <f t="shared" si="233"/>
        <v/>
      </c>
      <c r="CS21" s="2"/>
      <c r="CT21" s="2"/>
      <c r="CU21" s="2"/>
      <c r="CV21" s="79" t="s">
        <v>428</v>
      </c>
      <c r="CW21" s="169" t="str">
        <f>IF(COUNTIF($CV:$CV,CV21)&gt;1,"중복","")</f>
        <v>중복</v>
      </c>
      <c r="CX21" s="82" t="s">
        <v>188</v>
      </c>
      <c r="CY21" s="11" t="s">
        <v>277</v>
      </c>
      <c r="CZ21" s="82" t="s">
        <v>156</v>
      </c>
      <c r="DA21" s="11" t="s">
        <v>83</v>
      </c>
      <c r="DB21" s="79" t="s">
        <v>87</v>
      </c>
      <c r="DC21" s="79" t="s">
        <v>87</v>
      </c>
      <c r="DD21" s="82">
        <f t="shared" si="234"/>
        <v>31207</v>
      </c>
      <c r="DE21" s="80" t="str">
        <f>IF(DD21="-","-",VLOOKUP(DD21,'프로젝트 담당자'!$T$3:$W$80,4,0))</f>
        <v>구로</v>
      </c>
      <c r="DF21" s="82" t="s">
        <v>29</v>
      </c>
      <c r="DG21" s="82" t="str">
        <f>VLOOKUP(DD21,'프로젝트 담당자'!$T$2:$Y$80,6,0)</f>
        <v>최우성</v>
      </c>
      <c r="DH21" s="82" t="s">
        <v>91</v>
      </c>
      <c r="DI21" s="82" t="s">
        <v>107</v>
      </c>
      <c r="DJ21" s="82" t="s">
        <v>91</v>
      </c>
    </row>
    <row r="22" spans="1:114" ht="43.2" x14ac:dyDescent="0.4">
      <c r="A22" s="218">
        <v>476</v>
      </c>
      <c r="B22" s="7">
        <f t="shared" si="197"/>
        <v>45022</v>
      </c>
      <c r="C22" s="128">
        <f t="shared" si="198"/>
        <v>14</v>
      </c>
      <c r="D22" s="100">
        <v>2023</v>
      </c>
      <c r="E22" s="82">
        <v>4</v>
      </c>
      <c r="F22" s="82">
        <v>6</v>
      </c>
      <c r="G22" s="71">
        <v>45023</v>
      </c>
      <c r="H22" s="56"/>
      <c r="I22" s="2" t="s">
        <v>171</v>
      </c>
      <c r="J22" s="82" t="s">
        <v>4</v>
      </c>
      <c r="K22" s="82" t="str">
        <f t="shared" si="200"/>
        <v>448R</v>
      </c>
      <c r="L22" s="82" t="str">
        <f>VLOOKUP('2023년 신조차 고장관리 세부현황'!DD22,'프로젝트 담당자'!$T$2:$Z$80,7,0)</f>
        <v>과천안산선 180량</v>
      </c>
      <c r="M22" s="2" t="s">
        <v>689</v>
      </c>
      <c r="N22" s="82">
        <v>341048</v>
      </c>
      <c r="O22" s="105">
        <f>IF(OR(K22="128R",K22="448R"),VLOOKUP('2023년 신조차 고장관리 세부현황'!DD22,'프로젝트 담당자'!$T$2:$AB$80,9,0),"기타")</f>
        <v>44834</v>
      </c>
      <c r="P22" s="137">
        <f t="shared" si="196"/>
        <v>188</v>
      </c>
      <c r="Q22" s="89" t="s">
        <v>365</v>
      </c>
      <c r="R22" s="232" t="s">
        <v>366</v>
      </c>
      <c r="S22" s="131" t="s">
        <v>186</v>
      </c>
      <c r="T22" s="340" t="s">
        <v>18</v>
      </c>
      <c r="U22" s="340" t="s">
        <v>18</v>
      </c>
      <c r="V22" s="2" t="s">
        <v>162</v>
      </c>
      <c r="W22" s="210" t="s">
        <v>411</v>
      </c>
      <c r="X22" s="235" t="s">
        <v>379</v>
      </c>
      <c r="Y22" s="82"/>
      <c r="Z22" s="82"/>
      <c r="AA22" s="82"/>
      <c r="AB22" s="82"/>
      <c r="AC22" s="82"/>
      <c r="AD22" s="82"/>
      <c r="AE22" s="82"/>
      <c r="AF22" s="82"/>
      <c r="AG22" s="56"/>
      <c r="AH22" s="56"/>
      <c r="AI22" s="82"/>
      <c r="AJ22" s="2" t="s">
        <v>456</v>
      </c>
      <c r="AK22" s="11"/>
      <c r="AL22" s="80" t="s">
        <v>482</v>
      </c>
      <c r="AM22" s="11"/>
      <c r="AN22" s="80"/>
      <c r="AO22" s="11"/>
      <c r="AP22" s="80"/>
      <c r="AQ22" s="11" t="s">
        <v>425</v>
      </c>
      <c r="AR22" s="3" t="s">
        <v>594</v>
      </c>
      <c r="AS22" s="52" t="s">
        <v>5</v>
      </c>
      <c r="AT22" s="2" t="s">
        <v>5</v>
      </c>
      <c r="AU22" s="2"/>
      <c r="AV22" s="82"/>
      <c r="AW22" s="56" t="s">
        <v>698</v>
      </c>
      <c r="AX22" s="56"/>
      <c r="AY22" s="82"/>
      <c r="AZ22" s="10" t="str">
        <f t="shared" si="235"/>
        <v>지연</v>
      </c>
      <c r="BA22" s="7">
        <v>45030</v>
      </c>
      <c r="BB22" s="7">
        <v>45040</v>
      </c>
      <c r="BC22" s="82" t="str">
        <f t="shared" ca="1" si="201"/>
        <v>완료</v>
      </c>
      <c r="BD22" s="7" t="s">
        <v>460</v>
      </c>
      <c r="BE22" s="7">
        <v>45035</v>
      </c>
      <c r="BF22" s="82" t="s">
        <v>5</v>
      </c>
      <c r="BG22" s="82" t="str">
        <f t="shared" ca="1" si="202"/>
        <v>지연</v>
      </c>
      <c r="BH22" s="7">
        <v>45042</v>
      </c>
      <c r="BI22" s="10">
        <v>45056</v>
      </c>
      <c r="BJ22" s="82" t="str">
        <f t="shared" ca="1" si="203"/>
        <v>완료</v>
      </c>
      <c r="BK22" s="10" t="s">
        <v>479</v>
      </c>
      <c r="BL22" s="7">
        <v>45075</v>
      </c>
      <c r="BM22" s="82" t="s">
        <v>5</v>
      </c>
      <c r="BN22" s="82" t="str">
        <f t="shared" ca="1" si="204"/>
        <v>지연</v>
      </c>
      <c r="BO22" s="82"/>
      <c r="BP22" s="10">
        <f t="shared" si="205"/>
        <v>45030</v>
      </c>
      <c r="BQ22" s="10">
        <f t="shared" si="206"/>
        <v>45035</v>
      </c>
      <c r="BR22" s="10">
        <f t="shared" si="207"/>
        <v>45042</v>
      </c>
      <c r="BS22" s="10">
        <f t="shared" si="208"/>
        <v>45075</v>
      </c>
      <c r="BT22" s="75">
        <f t="shared" si="209"/>
        <v>2023</v>
      </c>
      <c r="BU22" s="75">
        <f t="shared" si="210"/>
        <v>2023</v>
      </c>
      <c r="BV22" s="75">
        <f t="shared" si="211"/>
        <v>2023</v>
      </c>
      <c r="BW22" s="75">
        <f t="shared" si="212"/>
        <v>2023</v>
      </c>
      <c r="BX22" s="75">
        <f t="shared" si="213"/>
        <v>15</v>
      </c>
      <c r="BY22" s="75">
        <f t="shared" si="214"/>
        <v>16</v>
      </c>
      <c r="BZ22" s="75">
        <f t="shared" si="215"/>
        <v>17</v>
      </c>
      <c r="CA22" s="75">
        <f t="shared" si="216"/>
        <v>22</v>
      </c>
      <c r="CB22" s="10">
        <f t="shared" si="217"/>
        <v>45040</v>
      </c>
      <c r="CC22" s="10" t="str">
        <f t="shared" si="218"/>
        <v>-</v>
      </c>
      <c r="CD22" s="10">
        <f t="shared" si="219"/>
        <v>45056</v>
      </c>
      <c r="CE22" s="10" t="str">
        <f t="shared" si="220"/>
        <v>-</v>
      </c>
      <c r="CF22" s="75">
        <f t="shared" si="221"/>
        <v>2023</v>
      </c>
      <c r="CG22" s="75" t="str">
        <f t="shared" si="222"/>
        <v/>
      </c>
      <c r="CH22" s="75">
        <f t="shared" si="223"/>
        <v>2023</v>
      </c>
      <c r="CI22" s="75" t="str">
        <f t="shared" si="224"/>
        <v/>
      </c>
      <c r="CJ22" s="75">
        <f t="shared" si="225"/>
        <v>17</v>
      </c>
      <c r="CK22" s="75" t="str">
        <f t="shared" si="226"/>
        <v/>
      </c>
      <c r="CL22" s="75">
        <f t="shared" si="227"/>
        <v>19</v>
      </c>
      <c r="CM22" s="75" t="str">
        <f t="shared" si="228"/>
        <v/>
      </c>
      <c r="CN22" s="2" t="str">
        <f t="shared" ca="1" si="229"/>
        <v>완료</v>
      </c>
      <c r="CO22" s="2" t="str">
        <f t="shared" ca="1" si="230"/>
        <v>지연</v>
      </c>
      <c r="CP22" s="2" t="str">
        <f t="shared" ca="1" si="231"/>
        <v>완료</v>
      </c>
      <c r="CQ22" s="2" t="str">
        <f t="shared" ca="1" si="232"/>
        <v>지연</v>
      </c>
      <c r="CR22" s="52" t="str">
        <f t="shared" si="233"/>
        <v>종결</v>
      </c>
      <c r="CS22" s="52"/>
      <c r="CT22" s="52"/>
      <c r="CU22" s="52"/>
      <c r="CV22" s="101" t="s">
        <v>715</v>
      </c>
      <c r="CW22" s="169" t="str">
        <f>IF(COUNTIF($CV:$CV,CV22)&gt;1,"중복","")</f>
        <v>중복</v>
      </c>
      <c r="CX22" s="131" t="s">
        <v>186</v>
      </c>
      <c r="CY22" s="11" t="s">
        <v>156</v>
      </c>
      <c r="CZ22" s="11" t="s">
        <v>224</v>
      </c>
      <c r="DA22" s="11" t="s">
        <v>83</v>
      </c>
      <c r="DB22" s="80" t="s">
        <v>87</v>
      </c>
      <c r="DC22" s="80" t="s">
        <v>87</v>
      </c>
      <c r="DD22" s="82">
        <f t="shared" si="234"/>
        <v>34148</v>
      </c>
      <c r="DE22" s="80" t="str">
        <f>IF(DD22="-","-",VLOOKUP(DD22,'프로젝트 담당자'!$T$3:$W$80,4,0))</f>
        <v>이문</v>
      </c>
      <c r="DF22" s="82" t="s">
        <v>29</v>
      </c>
      <c r="DG22" s="82" t="str">
        <f>VLOOKUP(DD22,'프로젝트 담당자'!$T$2:$Y$80,6,0)</f>
        <v>이진웅</v>
      </c>
      <c r="DH22" s="82" t="s">
        <v>91</v>
      </c>
      <c r="DI22" s="82" t="s">
        <v>107</v>
      </c>
      <c r="DJ22" s="82" t="s">
        <v>91</v>
      </c>
    </row>
    <row r="23" spans="1:114" ht="93.6" x14ac:dyDescent="0.4">
      <c r="A23" s="213">
        <v>478</v>
      </c>
      <c r="B23" s="10">
        <f t="shared" si="197"/>
        <v>45023</v>
      </c>
      <c r="C23" s="75">
        <f t="shared" si="198"/>
        <v>14</v>
      </c>
      <c r="D23" s="175">
        <v>2023</v>
      </c>
      <c r="E23" s="2">
        <v>4</v>
      </c>
      <c r="F23" s="2">
        <v>7</v>
      </c>
      <c r="G23" s="14">
        <v>45026</v>
      </c>
      <c r="H23" s="1"/>
      <c r="I23" s="2" t="s">
        <v>14</v>
      </c>
      <c r="J23" s="2" t="s">
        <v>3</v>
      </c>
      <c r="K23" s="2" t="str">
        <f t="shared" si="200"/>
        <v>448R</v>
      </c>
      <c r="L23" s="2" t="str">
        <f>VLOOKUP('2023년 신조차 고장관리 세부현황'!DD23,'프로젝트 담당자'!$T$2:$Z$80,7,0)</f>
        <v>분당선 108량</v>
      </c>
      <c r="M23" s="206">
        <v>6223</v>
      </c>
      <c r="N23" s="2">
        <v>351044</v>
      </c>
      <c r="O23" s="176">
        <f>IF(OR(K23="128R",K23="448R"),VLOOKUP('2023년 신조차 고장관리 세부현황'!DD23,'프로젝트 담당자'!$T$2:$AB$80,9,0),"기타")</f>
        <v>44681</v>
      </c>
      <c r="P23" s="177">
        <f t="shared" si="196"/>
        <v>342</v>
      </c>
      <c r="Q23" s="95" t="s">
        <v>371</v>
      </c>
      <c r="R23" s="248" t="s">
        <v>372</v>
      </c>
      <c r="S23" s="131" t="s">
        <v>186</v>
      </c>
      <c r="T23" s="340" t="s">
        <v>18</v>
      </c>
      <c r="U23" s="340" t="s">
        <v>18</v>
      </c>
      <c r="V23" s="2" t="s">
        <v>162</v>
      </c>
      <c r="W23" s="223" t="s">
        <v>469</v>
      </c>
      <c r="X23" s="235" t="s">
        <v>379</v>
      </c>
      <c r="Y23" s="2"/>
      <c r="Z23" s="2"/>
      <c r="AA23" s="2"/>
      <c r="AB23" s="2"/>
      <c r="AC23" s="2"/>
      <c r="AD23" s="2"/>
      <c r="AE23" s="2"/>
      <c r="AF23" s="2"/>
      <c r="AG23" s="1"/>
      <c r="AH23" s="1"/>
      <c r="AI23" s="2"/>
      <c r="AJ23" s="2" t="s">
        <v>456</v>
      </c>
      <c r="AK23" s="11"/>
      <c r="AL23" s="80" t="s">
        <v>482</v>
      </c>
      <c r="AM23" s="12" t="s">
        <v>485</v>
      </c>
      <c r="AN23" s="11"/>
      <c r="AO23" s="11"/>
      <c r="AP23" s="11" t="s">
        <v>420</v>
      </c>
      <c r="AQ23" s="11" t="s">
        <v>425</v>
      </c>
      <c r="AR23" s="3" t="s">
        <v>594</v>
      </c>
      <c r="AS23" s="53" t="s">
        <v>10</v>
      </c>
      <c r="AT23" s="7">
        <v>45027</v>
      </c>
      <c r="AU23" s="7"/>
      <c r="AV23" s="82"/>
      <c r="AW23" s="128"/>
      <c r="AX23" s="128"/>
      <c r="AY23" s="2"/>
      <c r="AZ23" s="10" t="str">
        <f t="shared" si="235"/>
        <v>완료</v>
      </c>
      <c r="BA23" s="10">
        <v>45033</v>
      </c>
      <c r="BB23" s="7">
        <v>45040</v>
      </c>
      <c r="BC23" s="82" t="str">
        <f t="shared" ca="1" si="201"/>
        <v>완료</v>
      </c>
      <c r="BD23" s="7" t="s">
        <v>460</v>
      </c>
      <c r="BE23" s="10">
        <v>45038</v>
      </c>
      <c r="BF23" s="82" t="s">
        <v>5</v>
      </c>
      <c r="BG23" s="82" t="str">
        <f t="shared" ca="1" si="202"/>
        <v>지연</v>
      </c>
      <c r="BH23" s="10">
        <v>45045</v>
      </c>
      <c r="BI23" s="10">
        <v>45056</v>
      </c>
      <c r="BJ23" s="82" t="str">
        <f t="shared" ca="1" si="203"/>
        <v>완료</v>
      </c>
      <c r="BK23" s="10" t="s">
        <v>479</v>
      </c>
      <c r="BL23" s="10">
        <v>45078</v>
      </c>
      <c r="BM23" s="82" t="s">
        <v>5</v>
      </c>
      <c r="BN23" s="82" t="str">
        <f t="shared" ca="1" si="204"/>
        <v>지연</v>
      </c>
      <c r="BO23" s="2"/>
      <c r="BP23" s="10">
        <f t="shared" si="205"/>
        <v>45033</v>
      </c>
      <c r="BQ23" s="10">
        <f t="shared" si="206"/>
        <v>45038</v>
      </c>
      <c r="BR23" s="10">
        <f t="shared" si="207"/>
        <v>45045</v>
      </c>
      <c r="BS23" s="10">
        <f t="shared" si="208"/>
        <v>45078</v>
      </c>
      <c r="BT23" s="75">
        <f t="shared" si="209"/>
        <v>2023</v>
      </c>
      <c r="BU23" s="75">
        <f t="shared" si="210"/>
        <v>2023</v>
      </c>
      <c r="BV23" s="75">
        <f t="shared" si="211"/>
        <v>2023</v>
      </c>
      <c r="BW23" s="75">
        <f t="shared" si="212"/>
        <v>2023</v>
      </c>
      <c r="BX23" s="75">
        <f t="shared" si="213"/>
        <v>16</v>
      </c>
      <c r="BY23" s="75">
        <f t="shared" si="214"/>
        <v>16</v>
      </c>
      <c r="BZ23" s="75">
        <f t="shared" si="215"/>
        <v>17</v>
      </c>
      <c r="CA23" s="75">
        <f t="shared" si="216"/>
        <v>22</v>
      </c>
      <c r="CB23" s="10">
        <f t="shared" si="217"/>
        <v>45040</v>
      </c>
      <c r="CC23" s="10" t="str">
        <f t="shared" si="218"/>
        <v>-</v>
      </c>
      <c r="CD23" s="10">
        <f t="shared" si="219"/>
        <v>45056</v>
      </c>
      <c r="CE23" s="10" t="str">
        <f t="shared" si="220"/>
        <v>-</v>
      </c>
      <c r="CF23" s="75">
        <f t="shared" si="221"/>
        <v>2023</v>
      </c>
      <c r="CG23" s="75" t="str">
        <f t="shared" si="222"/>
        <v/>
      </c>
      <c r="CH23" s="75">
        <f t="shared" si="223"/>
        <v>2023</v>
      </c>
      <c r="CI23" s="75" t="str">
        <f t="shared" si="224"/>
        <v/>
      </c>
      <c r="CJ23" s="75">
        <f t="shared" si="225"/>
        <v>17</v>
      </c>
      <c r="CK23" s="75" t="str">
        <f t="shared" si="226"/>
        <v/>
      </c>
      <c r="CL23" s="75">
        <f t="shared" si="227"/>
        <v>19</v>
      </c>
      <c r="CM23" s="75" t="str">
        <f t="shared" si="228"/>
        <v/>
      </c>
      <c r="CN23" s="2" t="str">
        <f t="shared" ca="1" si="229"/>
        <v>완료</v>
      </c>
      <c r="CO23" s="2" t="str">
        <f t="shared" ca="1" si="230"/>
        <v>지연</v>
      </c>
      <c r="CP23" s="2" t="str">
        <f t="shared" ca="1" si="231"/>
        <v>완료</v>
      </c>
      <c r="CQ23" s="2" t="str">
        <f t="shared" ca="1" si="232"/>
        <v>지연</v>
      </c>
      <c r="CR23" s="52" t="str">
        <f t="shared" si="233"/>
        <v>종결</v>
      </c>
      <c r="CS23" s="52"/>
      <c r="CT23" s="52"/>
      <c r="CU23" s="52"/>
      <c r="CV23" s="101" t="s">
        <v>715</v>
      </c>
      <c r="CW23" s="169" t="str">
        <f>IF(COUNTIF($CV:$CV,CV23)&gt;1,"중복","")</f>
        <v>중복</v>
      </c>
      <c r="CX23" s="131" t="s">
        <v>186</v>
      </c>
      <c r="CY23" s="11" t="s">
        <v>156</v>
      </c>
      <c r="CZ23" s="11" t="s">
        <v>224</v>
      </c>
      <c r="DA23" s="11" t="s">
        <v>83</v>
      </c>
      <c r="DB23" s="80" t="s">
        <v>87</v>
      </c>
      <c r="DC23" s="80" t="s">
        <v>87</v>
      </c>
      <c r="DD23" s="82">
        <f t="shared" si="234"/>
        <v>35144</v>
      </c>
      <c r="DE23" s="80" t="str">
        <f>IF(DD23="-","-",VLOOKUP(DD23,'프로젝트 담당자'!$T$3:$W$80,4,0))</f>
        <v>분당</v>
      </c>
      <c r="DF23" s="82" t="s">
        <v>29</v>
      </c>
      <c r="DG23" s="82" t="str">
        <f>VLOOKUP(DD23,'프로젝트 담당자'!$T$2:$Y$80,6,0)</f>
        <v>이성규</v>
      </c>
      <c r="DH23" s="2" t="s">
        <v>91</v>
      </c>
      <c r="DI23" s="2" t="s">
        <v>107</v>
      </c>
      <c r="DJ23" s="2" t="s">
        <v>91</v>
      </c>
    </row>
    <row r="24" spans="1:114" ht="86.4" x14ac:dyDescent="0.4">
      <c r="A24" s="218">
        <v>487</v>
      </c>
      <c r="B24" s="7">
        <f t="shared" si="197"/>
        <v>45026</v>
      </c>
      <c r="C24" s="128">
        <f t="shared" si="198"/>
        <v>15</v>
      </c>
      <c r="D24" s="100">
        <v>2023</v>
      </c>
      <c r="E24" s="82">
        <v>4</v>
      </c>
      <c r="F24" s="82">
        <v>10</v>
      </c>
      <c r="G24" s="71">
        <v>45027</v>
      </c>
      <c r="H24" s="56"/>
      <c r="I24" s="82" t="s">
        <v>155</v>
      </c>
      <c r="J24" s="82" t="s">
        <v>4</v>
      </c>
      <c r="K24" s="82" t="str">
        <f t="shared" si="200"/>
        <v>448R</v>
      </c>
      <c r="L24" s="82" t="str">
        <f>VLOOKUP('2023년 신조차 고장관리 세부현황'!DD24,'프로젝트 담당자'!$T$2:$Z$80,7,0)</f>
        <v>경인선 80량</v>
      </c>
      <c r="M24" s="81" t="s">
        <v>5</v>
      </c>
      <c r="N24" s="82">
        <v>312909</v>
      </c>
      <c r="O24" s="105">
        <f>IF(OR(K24="128R",K24="448R"),VLOOKUP('2023년 신조차 고장관리 세부현황'!DD24,'프로젝트 담당자'!$T$2:$AB$80,9,0),"기타")</f>
        <v>44561</v>
      </c>
      <c r="P24" s="137">
        <f t="shared" ref="P24:P28" si="236">IF(OR(V24="삭제",O24="기타"),"",IF(ISBLANK(O24),"",B24-O24))</f>
        <v>465</v>
      </c>
      <c r="Q24" s="89" t="s">
        <v>375</v>
      </c>
      <c r="R24" s="232" t="s">
        <v>376</v>
      </c>
      <c r="S24" s="82" t="s">
        <v>188</v>
      </c>
      <c r="T24" s="2" t="s">
        <v>17</v>
      </c>
      <c r="U24" s="2" t="s">
        <v>17</v>
      </c>
      <c r="V24" s="2" t="s">
        <v>162</v>
      </c>
      <c r="W24" s="223" t="s">
        <v>250</v>
      </c>
      <c r="X24" s="252" t="s">
        <v>431</v>
      </c>
      <c r="Y24" s="82"/>
      <c r="Z24" s="82"/>
      <c r="AA24" s="82"/>
      <c r="AB24" s="82"/>
      <c r="AC24" s="82"/>
      <c r="AD24" s="82"/>
      <c r="AE24" s="82" t="s">
        <v>173</v>
      </c>
      <c r="AF24" s="80" t="s">
        <v>718</v>
      </c>
      <c r="AG24" s="56"/>
      <c r="AH24" s="7">
        <v>45055</v>
      </c>
      <c r="AI24" s="79" t="s">
        <v>659</v>
      </c>
      <c r="AJ24" s="82"/>
      <c r="AK24" s="82"/>
      <c r="AL24" s="82" t="s">
        <v>173</v>
      </c>
      <c r="AM24" s="82"/>
      <c r="AN24" s="11"/>
      <c r="AO24" s="82"/>
      <c r="AP24" s="2" t="s">
        <v>420</v>
      </c>
      <c r="AQ24" s="11" t="s">
        <v>173</v>
      </c>
      <c r="AR24" s="3" t="s">
        <v>658</v>
      </c>
      <c r="AS24" s="53" t="s">
        <v>10</v>
      </c>
      <c r="AT24" s="7">
        <v>45035</v>
      </c>
      <c r="AU24" s="7" t="s">
        <v>368</v>
      </c>
      <c r="AV24" s="82"/>
      <c r="AW24" s="56"/>
      <c r="AX24" s="56"/>
      <c r="AY24" s="82"/>
      <c r="AZ24" s="10" t="str">
        <f t="shared" si="235"/>
        <v>완료</v>
      </c>
      <c r="BA24" s="2" t="s">
        <v>128</v>
      </c>
      <c r="BB24" s="2"/>
      <c r="BC24" s="82" t="str">
        <f t="shared" ca="1" si="201"/>
        <v/>
      </c>
      <c r="BD24" s="82"/>
      <c r="BE24" s="2" t="s">
        <v>128</v>
      </c>
      <c r="BF24" s="82"/>
      <c r="BG24" s="82" t="str">
        <f t="shared" ca="1" si="202"/>
        <v/>
      </c>
      <c r="BH24" s="2" t="s">
        <v>128</v>
      </c>
      <c r="BI24" s="82"/>
      <c r="BJ24" s="82" t="str">
        <f t="shared" ca="1" si="203"/>
        <v/>
      </c>
      <c r="BK24" s="82"/>
      <c r="BL24" s="2" t="s">
        <v>128</v>
      </c>
      <c r="BM24" s="82"/>
      <c r="BN24" s="82" t="str">
        <f t="shared" ca="1" si="204"/>
        <v/>
      </c>
      <c r="BO24" s="82"/>
      <c r="BP24" s="10" t="str">
        <f t="shared" si="205"/>
        <v>코레일 협의중</v>
      </c>
      <c r="BQ24" s="10" t="str">
        <f t="shared" si="206"/>
        <v>코레일 협의중</v>
      </c>
      <c r="BR24" s="10" t="str">
        <f t="shared" si="207"/>
        <v>코레일 협의중</v>
      </c>
      <c r="BS24" s="10" t="str">
        <f t="shared" si="208"/>
        <v>코레일 협의중</v>
      </c>
      <c r="BT24" s="75" t="str">
        <f t="shared" si="209"/>
        <v/>
      </c>
      <c r="BU24" s="75" t="str">
        <f t="shared" si="210"/>
        <v/>
      </c>
      <c r="BV24" s="75" t="str">
        <f t="shared" si="211"/>
        <v/>
      </c>
      <c r="BW24" s="75" t="str">
        <f t="shared" si="212"/>
        <v/>
      </c>
      <c r="BX24" s="75" t="str">
        <f t="shared" si="213"/>
        <v/>
      </c>
      <c r="BY24" s="75" t="str">
        <f t="shared" si="214"/>
        <v/>
      </c>
      <c r="BZ24" s="75" t="str">
        <f t="shared" si="215"/>
        <v/>
      </c>
      <c r="CA24" s="75" t="str">
        <f t="shared" si="216"/>
        <v/>
      </c>
      <c r="CB24" s="10" t="str">
        <f t="shared" si="217"/>
        <v/>
      </c>
      <c r="CC24" s="10" t="str">
        <f t="shared" si="218"/>
        <v/>
      </c>
      <c r="CD24" s="10" t="str">
        <f t="shared" si="219"/>
        <v/>
      </c>
      <c r="CE24" s="10" t="str">
        <f t="shared" si="220"/>
        <v/>
      </c>
      <c r="CF24" s="75" t="str">
        <f t="shared" si="221"/>
        <v/>
      </c>
      <c r="CG24" s="75" t="str">
        <f t="shared" si="222"/>
        <v/>
      </c>
      <c r="CH24" s="75" t="str">
        <f t="shared" si="223"/>
        <v/>
      </c>
      <c r="CI24" s="75" t="str">
        <f t="shared" si="224"/>
        <v/>
      </c>
      <c r="CJ24" s="75" t="str">
        <f t="shared" si="225"/>
        <v/>
      </c>
      <c r="CK24" s="75" t="str">
        <f t="shared" si="226"/>
        <v/>
      </c>
      <c r="CL24" s="75" t="str">
        <f t="shared" si="227"/>
        <v/>
      </c>
      <c r="CM24" s="75" t="str">
        <f t="shared" si="228"/>
        <v/>
      </c>
      <c r="CN24" s="2" t="str">
        <f t="shared" ca="1" si="229"/>
        <v/>
      </c>
      <c r="CO24" s="2" t="str">
        <f t="shared" ca="1" si="230"/>
        <v/>
      </c>
      <c r="CP24" s="2" t="str">
        <f t="shared" ca="1" si="231"/>
        <v/>
      </c>
      <c r="CQ24" s="2" t="str">
        <f t="shared" ca="1" si="232"/>
        <v/>
      </c>
      <c r="CR24" s="52" t="str">
        <f t="shared" si="233"/>
        <v/>
      </c>
      <c r="CS24" s="2"/>
      <c r="CT24" s="2"/>
      <c r="CU24" s="2"/>
      <c r="CV24" s="79" t="s">
        <v>661</v>
      </c>
      <c r="CW24" s="169" t="str">
        <f>IF(COUNTIF($CV:$CV,CV24)&gt;1,"중복","")</f>
        <v>중복</v>
      </c>
      <c r="CX24" s="82" t="s">
        <v>188</v>
      </c>
      <c r="CY24" s="2" t="s">
        <v>277</v>
      </c>
      <c r="CZ24" s="2" t="s">
        <v>156</v>
      </c>
      <c r="DA24" s="82" t="s">
        <v>566</v>
      </c>
      <c r="DB24" s="94" t="s">
        <v>87</v>
      </c>
      <c r="DC24" s="94" t="s">
        <v>87</v>
      </c>
      <c r="DD24" s="82">
        <f t="shared" si="234"/>
        <v>31209</v>
      </c>
      <c r="DE24" s="80" t="str">
        <f>IF(DD24="-","-",VLOOKUP(DD24,'프로젝트 담당자'!$T$3:$W$80,4,0))</f>
        <v>구로</v>
      </c>
      <c r="DF24" s="82" t="s">
        <v>29</v>
      </c>
      <c r="DG24" s="82" t="str">
        <f>VLOOKUP(DD24,'프로젝트 담당자'!$T$2:$Y$80,6,0)</f>
        <v>최우성</v>
      </c>
      <c r="DH24" s="82" t="s">
        <v>91</v>
      </c>
      <c r="DI24" s="2" t="s">
        <v>107</v>
      </c>
      <c r="DJ24" s="82" t="s">
        <v>91</v>
      </c>
    </row>
    <row r="25" spans="1:114" ht="43.2" x14ac:dyDescent="0.4">
      <c r="A25" s="218">
        <v>496</v>
      </c>
      <c r="B25" s="7">
        <f t="shared" si="197"/>
        <v>45028</v>
      </c>
      <c r="C25" s="128">
        <f t="shared" si="198"/>
        <v>15</v>
      </c>
      <c r="D25" s="100">
        <v>2023</v>
      </c>
      <c r="E25" s="82">
        <v>4</v>
      </c>
      <c r="F25" s="82">
        <v>12</v>
      </c>
      <c r="G25" s="71">
        <v>45029</v>
      </c>
      <c r="H25" s="56"/>
      <c r="I25" s="82" t="s">
        <v>6</v>
      </c>
      <c r="J25" s="82" t="s">
        <v>3</v>
      </c>
      <c r="K25" s="82" t="str">
        <f t="shared" si="200"/>
        <v>448R</v>
      </c>
      <c r="L25" s="82" t="str">
        <f>VLOOKUP('2023년 신조차 고장관리 세부현황'!DD25,'프로젝트 담당자'!$T$2:$Z$80,7,0)</f>
        <v>과천안산선 180량</v>
      </c>
      <c r="M25" s="77">
        <v>1920</v>
      </c>
      <c r="N25" s="82">
        <v>341048</v>
      </c>
      <c r="O25" s="105">
        <f>IF(OR(K25="128R",K25="448R"),VLOOKUP('2023년 신조차 고장관리 세부현황'!DD25,'프로젝트 담당자'!$T$2:$AB$80,9,0),"기타")</f>
        <v>44834</v>
      </c>
      <c r="P25" s="137">
        <f t="shared" si="236"/>
        <v>194</v>
      </c>
      <c r="Q25" s="89" t="s">
        <v>406</v>
      </c>
      <c r="R25" s="232" t="s">
        <v>407</v>
      </c>
      <c r="S25" s="131" t="s">
        <v>186</v>
      </c>
      <c r="T25" s="340" t="s">
        <v>18</v>
      </c>
      <c r="U25" s="340" t="s">
        <v>18</v>
      </c>
      <c r="V25" s="2" t="s">
        <v>162</v>
      </c>
      <c r="W25" s="210" t="s">
        <v>26</v>
      </c>
      <c r="X25" s="233" t="s">
        <v>432</v>
      </c>
      <c r="Y25" s="82"/>
      <c r="Z25" s="82"/>
      <c r="AA25" s="82"/>
      <c r="AB25" s="82"/>
      <c r="AC25" s="82"/>
      <c r="AD25" s="82"/>
      <c r="AE25" s="82"/>
      <c r="AF25" s="82"/>
      <c r="AG25" s="56"/>
      <c r="AH25" s="56"/>
      <c r="AI25" s="82"/>
      <c r="AJ25" s="2" t="s">
        <v>456</v>
      </c>
      <c r="AK25" s="2"/>
      <c r="AL25" s="80" t="s">
        <v>482</v>
      </c>
      <c r="AM25" s="2"/>
      <c r="AN25" s="80"/>
      <c r="AO25" s="2"/>
      <c r="AP25" s="82"/>
      <c r="AQ25" s="11" t="s">
        <v>425</v>
      </c>
      <c r="AR25" s="3" t="s">
        <v>551</v>
      </c>
      <c r="AS25" s="52" t="s">
        <v>5</v>
      </c>
      <c r="AT25" s="2" t="s">
        <v>5</v>
      </c>
      <c r="AU25" s="2"/>
      <c r="AV25" s="82"/>
      <c r="AW25" s="128"/>
      <c r="AX25" s="128"/>
      <c r="AY25" s="82"/>
      <c r="AZ25" s="10" t="str">
        <f t="shared" si="235"/>
        <v>지연</v>
      </c>
      <c r="BA25" s="10" t="s">
        <v>421</v>
      </c>
      <c r="BB25" s="2" t="s">
        <v>5</v>
      </c>
      <c r="BC25" s="82" t="str">
        <f t="shared" ca="1" si="201"/>
        <v>완료</v>
      </c>
      <c r="BD25" s="7" t="s">
        <v>460</v>
      </c>
      <c r="BE25" s="7">
        <v>45041</v>
      </c>
      <c r="BF25" s="82" t="s">
        <v>5</v>
      </c>
      <c r="BG25" s="82" t="str">
        <f t="shared" ca="1" si="202"/>
        <v>지연</v>
      </c>
      <c r="BH25" s="7">
        <v>45048</v>
      </c>
      <c r="BI25" s="10">
        <v>45056</v>
      </c>
      <c r="BJ25" s="82" t="str">
        <f t="shared" ca="1" si="203"/>
        <v>완료</v>
      </c>
      <c r="BK25" s="10" t="s">
        <v>479</v>
      </c>
      <c r="BL25" s="7">
        <v>45081</v>
      </c>
      <c r="BM25" s="82" t="s">
        <v>5</v>
      </c>
      <c r="BN25" s="82" t="str">
        <f t="shared" ca="1" si="204"/>
        <v>지연</v>
      </c>
      <c r="BO25" s="82"/>
      <c r="BP25" s="10" t="str">
        <f t="shared" si="205"/>
        <v>동일건(협의필요)</v>
      </c>
      <c r="BQ25" s="10">
        <f t="shared" si="206"/>
        <v>45041</v>
      </c>
      <c r="BR25" s="10">
        <f t="shared" si="207"/>
        <v>45048</v>
      </c>
      <c r="BS25" s="10">
        <f t="shared" si="208"/>
        <v>45081</v>
      </c>
      <c r="BT25" s="75" t="str">
        <f t="shared" si="209"/>
        <v/>
      </c>
      <c r="BU25" s="75">
        <f t="shared" si="210"/>
        <v>2023</v>
      </c>
      <c r="BV25" s="75">
        <f t="shared" si="211"/>
        <v>2023</v>
      </c>
      <c r="BW25" s="75">
        <f t="shared" si="212"/>
        <v>2023</v>
      </c>
      <c r="BX25" s="75" t="str">
        <f t="shared" si="213"/>
        <v/>
      </c>
      <c r="BY25" s="75">
        <f t="shared" si="214"/>
        <v>17</v>
      </c>
      <c r="BZ25" s="75">
        <f t="shared" si="215"/>
        <v>18</v>
      </c>
      <c r="CA25" s="75">
        <f t="shared" si="216"/>
        <v>23</v>
      </c>
      <c r="CB25" s="10" t="str">
        <f t="shared" si="217"/>
        <v>-</v>
      </c>
      <c r="CC25" s="10" t="str">
        <f t="shared" si="218"/>
        <v>-</v>
      </c>
      <c r="CD25" s="10">
        <f t="shared" si="219"/>
        <v>45056</v>
      </c>
      <c r="CE25" s="10" t="str">
        <f t="shared" si="220"/>
        <v>-</v>
      </c>
      <c r="CF25" s="75" t="str">
        <f t="shared" si="221"/>
        <v/>
      </c>
      <c r="CG25" s="75" t="str">
        <f t="shared" si="222"/>
        <v/>
      </c>
      <c r="CH25" s="75">
        <f t="shared" si="223"/>
        <v>2023</v>
      </c>
      <c r="CI25" s="75" t="str">
        <f t="shared" si="224"/>
        <v/>
      </c>
      <c r="CJ25" s="75" t="str">
        <f t="shared" si="225"/>
        <v/>
      </c>
      <c r="CK25" s="75" t="str">
        <f t="shared" si="226"/>
        <v/>
      </c>
      <c r="CL25" s="75">
        <f t="shared" si="227"/>
        <v>19</v>
      </c>
      <c r="CM25" s="75" t="str">
        <f t="shared" si="228"/>
        <v/>
      </c>
      <c r="CN25" s="2" t="str">
        <f t="shared" ca="1" si="229"/>
        <v>완료</v>
      </c>
      <c r="CO25" s="2" t="str">
        <f t="shared" ca="1" si="230"/>
        <v>지연</v>
      </c>
      <c r="CP25" s="2" t="str">
        <f t="shared" ca="1" si="231"/>
        <v>완료</v>
      </c>
      <c r="CQ25" s="2" t="str">
        <f t="shared" ca="1" si="232"/>
        <v>지연</v>
      </c>
      <c r="CR25" s="52" t="str">
        <f t="shared" si="233"/>
        <v>종결</v>
      </c>
      <c r="CS25" s="52"/>
      <c r="CT25" s="52"/>
      <c r="CU25" s="52"/>
      <c r="CV25" s="101" t="s">
        <v>715</v>
      </c>
      <c r="CW25" s="169" t="str">
        <f>IF(COUNTIF($CV:$CV,CV25)&gt;1,"중복","")</f>
        <v>중복</v>
      </c>
      <c r="CX25" s="131" t="s">
        <v>186</v>
      </c>
      <c r="CY25" s="11" t="s">
        <v>156</v>
      </c>
      <c r="CZ25" s="11" t="s">
        <v>224</v>
      </c>
      <c r="DA25" s="11" t="s">
        <v>83</v>
      </c>
      <c r="DB25" s="80" t="s">
        <v>87</v>
      </c>
      <c r="DC25" s="80" t="s">
        <v>87</v>
      </c>
      <c r="DD25" s="82">
        <f t="shared" si="234"/>
        <v>34148</v>
      </c>
      <c r="DE25" s="80" t="str">
        <f>IF(DD25="-","-",VLOOKUP(DD25,'프로젝트 담당자'!$T$3:$W$80,4,0))</f>
        <v>이문</v>
      </c>
      <c r="DF25" s="82" t="s">
        <v>29</v>
      </c>
      <c r="DG25" s="82" t="str">
        <f>VLOOKUP(DD25,'프로젝트 담당자'!$T$2:$Y$80,6,0)</f>
        <v>이진웅</v>
      </c>
      <c r="DH25" s="82" t="s">
        <v>91</v>
      </c>
      <c r="DI25" s="82" t="s">
        <v>107</v>
      </c>
      <c r="DJ25" s="82" t="s">
        <v>91</v>
      </c>
    </row>
    <row r="26" spans="1:114" ht="86.4" x14ac:dyDescent="0.4">
      <c r="A26" s="218">
        <v>501</v>
      </c>
      <c r="B26" s="7">
        <f t="shared" si="197"/>
        <v>45028</v>
      </c>
      <c r="C26" s="128">
        <f t="shared" si="198"/>
        <v>15</v>
      </c>
      <c r="D26" s="100">
        <v>2023</v>
      </c>
      <c r="E26" s="82">
        <v>4</v>
      </c>
      <c r="F26" s="82">
        <v>12</v>
      </c>
      <c r="G26" s="71">
        <v>45029</v>
      </c>
      <c r="H26" s="56"/>
      <c r="I26" s="82" t="s">
        <v>155</v>
      </c>
      <c r="J26" s="82" t="s">
        <v>4</v>
      </c>
      <c r="K26" s="82" t="str">
        <f t="shared" si="200"/>
        <v>448R</v>
      </c>
      <c r="L26" s="82" t="str">
        <f>VLOOKUP('2023년 신조차 고장관리 세부현황'!DD26,'프로젝트 담당자'!$T$2:$Z$80,7,0)</f>
        <v>경인선 80량</v>
      </c>
      <c r="M26" s="81" t="s">
        <v>5</v>
      </c>
      <c r="N26" s="82">
        <v>312909</v>
      </c>
      <c r="O26" s="105">
        <f>IF(OR(K26="128R",K26="448R"),VLOOKUP('2023년 신조차 고장관리 세부현황'!DD26,'프로젝트 담당자'!$T$2:$AB$80,9,0),"기타")</f>
        <v>44561</v>
      </c>
      <c r="P26" s="137">
        <f t="shared" si="236"/>
        <v>467</v>
      </c>
      <c r="Q26" s="89" t="s">
        <v>408</v>
      </c>
      <c r="R26" s="232" t="s">
        <v>409</v>
      </c>
      <c r="S26" s="82" t="s">
        <v>188</v>
      </c>
      <c r="T26" s="2" t="s">
        <v>17</v>
      </c>
      <c r="U26" s="2" t="s">
        <v>17</v>
      </c>
      <c r="V26" s="2" t="s">
        <v>162</v>
      </c>
      <c r="W26" s="223" t="s">
        <v>250</v>
      </c>
      <c r="X26" s="253" t="s">
        <v>433</v>
      </c>
      <c r="Y26" s="82"/>
      <c r="Z26" s="82"/>
      <c r="AA26" s="82"/>
      <c r="AB26" s="82"/>
      <c r="AC26" s="82"/>
      <c r="AD26" s="82"/>
      <c r="AE26" s="82" t="s">
        <v>173</v>
      </c>
      <c r="AF26" s="80" t="s">
        <v>718</v>
      </c>
      <c r="AG26" s="56"/>
      <c r="AH26" s="7">
        <v>45055</v>
      </c>
      <c r="AI26" s="79" t="s">
        <v>659</v>
      </c>
      <c r="AJ26" s="82"/>
      <c r="AK26" s="82"/>
      <c r="AL26" s="82" t="s">
        <v>173</v>
      </c>
      <c r="AM26" s="82"/>
      <c r="AN26" s="11"/>
      <c r="AO26" s="82"/>
      <c r="AP26" s="2" t="s">
        <v>420</v>
      </c>
      <c r="AQ26" s="11" t="s">
        <v>173</v>
      </c>
      <c r="AR26" s="3" t="s">
        <v>658</v>
      </c>
      <c r="AS26" s="53" t="s">
        <v>10</v>
      </c>
      <c r="AT26" s="7">
        <v>45035</v>
      </c>
      <c r="AU26" s="7" t="s">
        <v>368</v>
      </c>
      <c r="AV26" s="82"/>
      <c r="AW26" s="56"/>
      <c r="AX26" s="56"/>
      <c r="AY26" s="82"/>
      <c r="AZ26" s="10" t="str">
        <f t="shared" si="235"/>
        <v>완료</v>
      </c>
      <c r="BA26" s="2" t="s">
        <v>128</v>
      </c>
      <c r="BB26" s="2"/>
      <c r="BC26" s="82" t="str">
        <f t="shared" ref="BC26:BC28" ca="1" si="237">IF(ISBLANK(BB26),"",IF(OR(BB26&lt;=BA26,BB26="조치완료보고 대체",BB26="제출불가"),"완료",IF(AND(BB26="-",BA26&gt;=TODAY()),"예정",IF(AND(BB26="-",BA26&lt;TODAY()),"지연",IF(BB26&gt;BA26,"완료","")))))</f>
        <v/>
      </c>
      <c r="BD26" s="82"/>
      <c r="BE26" s="2" t="s">
        <v>128</v>
      </c>
      <c r="BF26" s="82"/>
      <c r="BG26" s="82" t="str">
        <f t="shared" ref="BG26:BG28" ca="1" si="238">IF(ISBLANK(BF26),"",IF(OR(BF26&lt;=BE26,BF26="조치완료보고 대체",BF26="제출불가"),"완료",IF(AND(BF26="-",BE26&gt;=TODAY()),"예정",IF(AND(BF26="-",BE26&lt;TODAY()),"지연",IF(BF26&gt;BE26,"완료","")))))</f>
        <v/>
      </c>
      <c r="BH26" s="2" t="s">
        <v>128</v>
      </c>
      <c r="BI26" s="82"/>
      <c r="BJ26" s="82" t="str">
        <f t="shared" ref="BJ26:BJ28" ca="1" si="239">IF(ISBLANK(BI26),"",IF(OR(BI26&lt;=BH26,BI26="조치완료보고 대체",BI26="제출불가"),"완료",IF(AND(BI26="-",BH26&gt;=TODAY()),"예정",IF(AND(BI26="-",BH26&lt;TODAY()),"지연",IF(BI26&gt;BH26,"완료","")))))</f>
        <v/>
      </c>
      <c r="BK26" s="82"/>
      <c r="BL26" s="2" t="s">
        <v>128</v>
      </c>
      <c r="BM26" s="82"/>
      <c r="BN26" s="82" t="str">
        <f t="shared" ca="1" si="204"/>
        <v/>
      </c>
      <c r="BO26" s="82"/>
      <c r="BP26" s="10" t="str">
        <f t="shared" si="205"/>
        <v>코레일 협의중</v>
      </c>
      <c r="BQ26" s="10" t="str">
        <f t="shared" si="206"/>
        <v>코레일 협의중</v>
      </c>
      <c r="BR26" s="10" t="str">
        <f t="shared" si="207"/>
        <v>코레일 협의중</v>
      </c>
      <c r="BS26" s="10" t="str">
        <f t="shared" si="208"/>
        <v>코레일 협의중</v>
      </c>
      <c r="BT26" s="75" t="str">
        <f t="shared" si="209"/>
        <v/>
      </c>
      <c r="BU26" s="75" t="str">
        <f t="shared" si="210"/>
        <v/>
      </c>
      <c r="BV26" s="75" t="str">
        <f t="shared" si="211"/>
        <v/>
      </c>
      <c r="BW26" s="75" t="str">
        <f t="shared" si="212"/>
        <v/>
      </c>
      <c r="BX26" s="75" t="str">
        <f t="shared" si="213"/>
        <v/>
      </c>
      <c r="BY26" s="75" t="str">
        <f t="shared" si="214"/>
        <v/>
      </c>
      <c r="BZ26" s="75" t="str">
        <f t="shared" si="215"/>
        <v/>
      </c>
      <c r="CA26" s="75" t="str">
        <f t="shared" si="216"/>
        <v/>
      </c>
      <c r="CB26" s="10" t="str">
        <f t="shared" si="217"/>
        <v/>
      </c>
      <c r="CC26" s="10" t="str">
        <f t="shared" si="218"/>
        <v/>
      </c>
      <c r="CD26" s="10" t="str">
        <f t="shared" si="219"/>
        <v/>
      </c>
      <c r="CE26" s="10" t="str">
        <f t="shared" si="220"/>
        <v/>
      </c>
      <c r="CF26" s="75" t="str">
        <f t="shared" si="221"/>
        <v/>
      </c>
      <c r="CG26" s="75" t="str">
        <f t="shared" si="222"/>
        <v/>
      </c>
      <c r="CH26" s="75" t="str">
        <f t="shared" si="223"/>
        <v/>
      </c>
      <c r="CI26" s="75" t="str">
        <f t="shared" si="224"/>
        <v/>
      </c>
      <c r="CJ26" s="75" t="str">
        <f t="shared" si="225"/>
        <v/>
      </c>
      <c r="CK26" s="75" t="str">
        <f t="shared" si="226"/>
        <v/>
      </c>
      <c r="CL26" s="75" t="str">
        <f t="shared" si="227"/>
        <v/>
      </c>
      <c r="CM26" s="75" t="str">
        <f t="shared" si="228"/>
        <v/>
      </c>
      <c r="CN26" s="2" t="str">
        <f t="shared" ca="1" si="229"/>
        <v/>
      </c>
      <c r="CO26" s="2" t="str">
        <f t="shared" ca="1" si="230"/>
        <v/>
      </c>
      <c r="CP26" s="2" t="str">
        <f t="shared" ca="1" si="231"/>
        <v/>
      </c>
      <c r="CQ26" s="2" t="str">
        <f t="shared" ca="1" si="232"/>
        <v/>
      </c>
      <c r="CR26" s="52" t="str">
        <f t="shared" si="233"/>
        <v/>
      </c>
      <c r="CS26" s="2"/>
      <c r="CT26" s="2"/>
      <c r="CU26" s="2"/>
      <c r="CV26" s="79" t="s">
        <v>661</v>
      </c>
      <c r="CW26" s="169" t="str">
        <f>IF(COUNTIF($CV:$CV,CV26)&gt;1,"중복","")</f>
        <v>중복</v>
      </c>
      <c r="CX26" s="82" t="s">
        <v>188</v>
      </c>
      <c r="CY26" s="2" t="s">
        <v>277</v>
      </c>
      <c r="CZ26" s="2" t="s">
        <v>156</v>
      </c>
      <c r="DA26" s="82" t="s">
        <v>566</v>
      </c>
      <c r="DB26" s="94" t="s">
        <v>87</v>
      </c>
      <c r="DC26" s="94" t="s">
        <v>87</v>
      </c>
      <c r="DD26" s="82">
        <f t="shared" si="234"/>
        <v>31209</v>
      </c>
      <c r="DE26" s="80" t="str">
        <f>IF(DD26="-","-",VLOOKUP(DD26,'프로젝트 담당자'!$T$3:$W$80,4,0))</f>
        <v>구로</v>
      </c>
      <c r="DF26" s="82" t="s">
        <v>29</v>
      </c>
      <c r="DG26" s="82" t="str">
        <f>VLOOKUP(DD26,'프로젝트 담당자'!$T$2:$Y$80,6,0)</f>
        <v>최우성</v>
      </c>
      <c r="DH26" s="82" t="s">
        <v>91</v>
      </c>
      <c r="DI26" s="2" t="s">
        <v>107</v>
      </c>
      <c r="DJ26" s="82" t="s">
        <v>91</v>
      </c>
    </row>
    <row r="27" spans="1:114" ht="86.4" x14ac:dyDescent="0.4">
      <c r="A27" s="213">
        <v>512</v>
      </c>
      <c r="B27" s="10">
        <f t="shared" si="197"/>
        <v>45031</v>
      </c>
      <c r="C27" s="75">
        <f t="shared" si="198"/>
        <v>15</v>
      </c>
      <c r="D27" s="175">
        <v>2023</v>
      </c>
      <c r="E27" s="2">
        <v>4</v>
      </c>
      <c r="F27" s="2">
        <v>15</v>
      </c>
      <c r="G27" s="14">
        <v>45033</v>
      </c>
      <c r="H27" s="1"/>
      <c r="I27" s="2" t="s">
        <v>6</v>
      </c>
      <c r="J27" s="2" t="s">
        <v>153</v>
      </c>
      <c r="K27" s="2" t="str">
        <f t="shared" si="200"/>
        <v>448R</v>
      </c>
      <c r="L27" s="2" t="str">
        <f>VLOOKUP('2023년 신조차 고장관리 세부현황'!DD27,'프로젝트 담당자'!$T$2:$Z$80,7,0)</f>
        <v>과천안산선 180량</v>
      </c>
      <c r="M27" s="206">
        <v>652</v>
      </c>
      <c r="N27" s="2">
        <v>341948</v>
      </c>
      <c r="O27" s="176">
        <f>IF(OR(K27="128R",K27="448R"),VLOOKUP('2023년 신조차 고장관리 세부현황'!DD27,'프로젝트 담당자'!$T$2:$AB$80,9,0),"기타")</f>
        <v>44834</v>
      </c>
      <c r="P27" s="177">
        <f t="shared" si="236"/>
        <v>197</v>
      </c>
      <c r="Q27" s="95" t="s">
        <v>415</v>
      </c>
      <c r="R27" s="247" t="s">
        <v>416</v>
      </c>
      <c r="S27" s="2" t="s">
        <v>188</v>
      </c>
      <c r="T27" s="2" t="s">
        <v>17</v>
      </c>
      <c r="U27" s="2" t="s">
        <v>17</v>
      </c>
      <c r="V27" s="2" t="s">
        <v>162</v>
      </c>
      <c r="W27" s="223" t="s">
        <v>250</v>
      </c>
      <c r="X27" s="254" t="s">
        <v>434</v>
      </c>
      <c r="Y27" s="2"/>
      <c r="Z27" s="2"/>
      <c r="AA27" s="2"/>
      <c r="AB27" s="2"/>
      <c r="AC27" s="2"/>
      <c r="AD27" s="2"/>
      <c r="AE27" s="82" t="s">
        <v>173</v>
      </c>
      <c r="AF27" s="80" t="s">
        <v>718</v>
      </c>
      <c r="AG27" s="1"/>
      <c r="AH27" s="7">
        <v>45055</v>
      </c>
      <c r="AI27" s="79" t="s">
        <v>659</v>
      </c>
      <c r="AJ27" s="2"/>
      <c r="AK27" s="2"/>
      <c r="AL27" s="82" t="s">
        <v>173</v>
      </c>
      <c r="AM27" s="2"/>
      <c r="AN27" s="11"/>
      <c r="AO27" s="2"/>
      <c r="AP27" s="2" t="s">
        <v>420</v>
      </c>
      <c r="AQ27" s="11" t="s">
        <v>173</v>
      </c>
      <c r="AR27" s="3" t="s">
        <v>658</v>
      </c>
      <c r="AS27" s="53" t="s">
        <v>10</v>
      </c>
      <c r="AT27" s="7">
        <v>45035</v>
      </c>
      <c r="AU27" s="7" t="s">
        <v>368</v>
      </c>
      <c r="AV27" s="82"/>
      <c r="AW27" s="2"/>
      <c r="AX27" s="2"/>
      <c r="AY27" s="2"/>
      <c r="AZ27" s="10" t="str">
        <f t="shared" si="235"/>
        <v>완료</v>
      </c>
      <c r="BA27" s="2" t="s">
        <v>128</v>
      </c>
      <c r="BB27" s="2"/>
      <c r="BC27" s="82" t="str">
        <f t="shared" ca="1" si="237"/>
        <v/>
      </c>
      <c r="BD27" s="2"/>
      <c r="BE27" s="2" t="s">
        <v>128</v>
      </c>
      <c r="BF27" s="82"/>
      <c r="BG27" s="82" t="str">
        <f t="shared" ca="1" si="238"/>
        <v/>
      </c>
      <c r="BH27" s="2" t="s">
        <v>128</v>
      </c>
      <c r="BI27" s="82"/>
      <c r="BJ27" s="82" t="str">
        <f t="shared" ca="1" si="239"/>
        <v/>
      </c>
      <c r="BK27" s="2"/>
      <c r="BL27" s="2" t="s">
        <v>128</v>
      </c>
      <c r="BM27" s="82"/>
      <c r="BN27" s="82" t="str">
        <f t="shared" ca="1" si="204"/>
        <v/>
      </c>
      <c r="BO27" s="2"/>
      <c r="BP27" s="10" t="str">
        <f t="shared" si="205"/>
        <v>코레일 협의중</v>
      </c>
      <c r="BQ27" s="10" t="str">
        <f t="shared" si="206"/>
        <v>코레일 협의중</v>
      </c>
      <c r="BR27" s="10" t="str">
        <f t="shared" si="207"/>
        <v>코레일 협의중</v>
      </c>
      <c r="BS27" s="10" t="str">
        <f t="shared" si="208"/>
        <v>코레일 협의중</v>
      </c>
      <c r="BT27" s="75" t="str">
        <f t="shared" si="209"/>
        <v/>
      </c>
      <c r="BU27" s="75" t="str">
        <f t="shared" si="210"/>
        <v/>
      </c>
      <c r="BV27" s="75" t="str">
        <f t="shared" si="211"/>
        <v/>
      </c>
      <c r="BW27" s="75" t="str">
        <f t="shared" si="212"/>
        <v/>
      </c>
      <c r="BX27" s="75" t="str">
        <f t="shared" si="213"/>
        <v/>
      </c>
      <c r="BY27" s="75" t="str">
        <f t="shared" si="214"/>
        <v/>
      </c>
      <c r="BZ27" s="75" t="str">
        <f t="shared" si="215"/>
        <v/>
      </c>
      <c r="CA27" s="75" t="str">
        <f t="shared" si="216"/>
        <v/>
      </c>
      <c r="CB27" s="10" t="str">
        <f t="shared" si="217"/>
        <v/>
      </c>
      <c r="CC27" s="10" t="str">
        <f t="shared" si="218"/>
        <v/>
      </c>
      <c r="CD27" s="10" t="str">
        <f t="shared" si="219"/>
        <v/>
      </c>
      <c r="CE27" s="10" t="str">
        <f t="shared" si="220"/>
        <v/>
      </c>
      <c r="CF27" s="75" t="str">
        <f t="shared" si="221"/>
        <v/>
      </c>
      <c r="CG27" s="75" t="str">
        <f t="shared" si="222"/>
        <v/>
      </c>
      <c r="CH27" s="75" t="str">
        <f t="shared" si="223"/>
        <v/>
      </c>
      <c r="CI27" s="75" t="str">
        <f t="shared" si="224"/>
        <v/>
      </c>
      <c r="CJ27" s="75" t="str">
        <f t="shared" si="225"/>
        <v/>
      </c>
      <c r="CK27" s="75" t="str">
        <f t="shared" si="226"/>
        <v/>
      </c>
      <c r="CL27" s="75" t="str">
        <f t="shared" si="227"/>
        <v/>
      </c>
      <c r="CM27" s="75" t="str">
        <f t="shared" si="228"/>
        <v/>
      </c>
      <c r="CN27" s="2" t="str">
        <f t="shared" ca="1" si="229"/>
        <v/>
      </c>
      <c r="CO27" s="2" t="str">
        <f t="shared" ca="1" si="230"/>
        <v/>
      </c>
      <c r="CP27" s="2" t="str">
        <f t="shared" ca="1" si="231"/>
        <v/>
      </c>
      <c r="CQ27" s="2" t="str">
        <f t="shared" ca="1" si="232"/>
        <v/>
      </c>
      <c r="CR27" s="52" t="str">
        <f t="shared" si="233"/>
        <v/>
      </c>
      <c r="CS27" s="2"/>
      <c r="CT27" s="2"/>
      <c r="CU27" s="2"/>
      <c r="CV27" s="79" t="s">
        <v>661</v>
      </c>
      <c r="CW27" s="169" t="str">
        <f>IF(COUNTIF($CV:$CV,CV27)&gt;1,"중복","")</f>
        <v>중복</v>
      </c>
      <c r="CX27" s="82" t="s">
        <v>188</v>
      </c>
      <c r="CY27" s="2" t="s">
        <v>277</v>
      </c>
      <c r="CZ27" s="2" t="s">
        <v>156</v>
      </c>
      <c r="DA27" s="82" t="s">
        <v>566</v>
      </c>
      <c r="DB27" s="94" t="s">
        <v>87</v>
      </c>
      <c r="DC27" s="94" t="s">
        <v>87</v>
      </c>
      <c r="DD27" s="82">
        <f t="shared" si="234"/>
        <v>34148</v>
      </c>
      <c r="DE27" s="80" t="str">
        <f>IF(DD27="-","-",VLOOKUP(DD27,'프로젝트 담당자'!$T$3:$W$80,4,0))</f>
        <v>이문</v>
      </c>
      <c r="DF27" s="82" t="s">
        <v>29</v>
      </c>
      <c r="DG27" s="82" t="str">
        <f>VLOOKUP(DD27,'프로젝트 담당자'!$T$2:$Y$80,6,0)</f>
        <v>이진웅</v>
      </c>
      <c r="DH27" s="2" t="s">
        <v>91</v>
      </c>
      <c r="DI27" s="2" t="s">
        <v>107</v>
      </c>
      <c r="DJ27" s="2" t="s">
        <v>91</v>
      </c>
    </row>
    <row r="28" spans="1:114" ht="86.4" x14ac:dyDescent="0.4">
      <c r="A28" s="213">
        <v>516</v>
      </c>
      <c r="B28" s="10">
        <f t="shared" ref="B28" si="240">IFERROR(DATE(D28,E28,F28),"")</f>
        <v>45030</v>
      </c>
      <c r="C28" s="75">
        <f t="shared" ref="C28" si="241">WEEKNUM(B28)</f>
        <v>15</v>
      </c>
      <c r="D28" s="175">
        <v>2023</v>
      </c>
      <c r="E28" s="2">
        <v>4</v>
      </c>
      <c r="F28" s="2">
        <v>14</v>
      </c>
      <c r="G28" s="14">
        <v>45033</v>
      </c>
      <c r="H28" s="1"/>
      <c r="I28" s="2" t="s">
        <v>155</v>
      </c>
      <c r="J28" s="2" t="s">
        <v>4</v>
      </c>
      <c r="K28" s="2" t="str">
        <f t="shared" ref="K28" si="242">IF(OR(L28="경원선 18량",L28="과천안산선 70량",L28="1호선 40량"),"128R",IF(OR(L28="경인선 80량",L28="과천안산선 180량",L28="분당선 108량"),"448R","기타"))</f>
        <v>448R</v>
      </c>
      <c r="L28" s="2" t="str">
        <f>VLOOKUP('2023년 신조차 고장관리 세부현황'!DD28,'프로젝트 담당자'!$T$2:$Z$80,7,0)</f>
        <v>경인선 80량</v>
      </c>
      <c r="M28" s="8" t="s">
        <v>5</v>
      </c>
      <c r="N28" s="2">
        <v>312909</v>
      </c>
      <c r="O28" s="176">
        <f>IF(OR(K28="128R",K28="448R"),VLOOKUP('2023년 신조차 고장관리 세부현황'!DD28,'프로젝트 담당자'!$T$2:$AB$80,9,0),"기타")</f>
        <v>44561</v>
      </c>
      <c r="P28" s="177">
        <f t="shared" si="236"/>
        <v>469</v>
      </c>
      <c r="Q28" s="4" t="s">
        <v>417</v>
      </c>
      <c r="R28" s="237" t="s">
        <v>418</v>
      </c>
      <c r="S28" s="2" t="s">
        <v>188</v>
      </c>
      <c r="T28" s="2" t="s">
        <v>17</v>
      </c>
      <c r="U28" s="2" t="s">
        <v>17</v>
      </c>
      <c r="V28" s="2" t="s">
        <v>162</v>
      </c>
      <c r="W28" s="223" t="s">
        <v>250</v>
      </c>
      <c r="X28" s="254" t="s">
        <v>434</v>
      </c>
      <c r="Y28" s="2"/>
      <c r="Z28" s="2"/>
      <c r="AA28" s="2"/>
      <c r="AB28" s="2"/>
      <c r="AC28" s="2"/>
      <c r="AD28" s="2"/>
      <c r="AE28" s="82" t="s">
        <v>173</v>
      </c>
      <c r="AF28" s="80" t="s">
        <v>718</v>
      </c>
      <c r="AG28" s="1"/>
      <c r="AH28" s="7">
        <v>45055</v>
      </c>
      <c r="AI28" s="79" t="s">
        <v>659</v>
      </c>
      <c r="AJ28" s="2"/>
      <c r="AK28" s="2"/>
      <c r="AL28" s="82" t="s">
        <v>173</v>
      </c>
      <c r="AM28" s="2"/>
      <c r="AN28" s="11"/>
      <c r="AO28" s="2"/>
      <c r="AP28" s="2" t="s">
        <v>420</v>
      </c>
      <c r="AQ28" s="11" t="s">
        <v>173</v>
      </c>
      <c r="AR28" s="3" t="s">
        <v>658</v>
      </c>
      <c r="AS28" s="53" t="s">
        <v>10</v>
      </c>
      <c r="AT28" s="7">
        <v>45035</v>
      </c>
      <c r="AU28" s="7" t="s">
        <v>368</v>
      </c>
      <c r="AV28" s="82"/>
      <c r="AW28" s="56"/>
      <c r="AX28" s="56"/>
      <c r="AY28" s="2"/>
      <c r="AZ28" s="10" t="str">
        <f t="shared" si="235"/>
        <v>완료</v>
      </c>
      <c r="BA28" s="2" t="s">
        <v>128</v>
      </c>
      <c r="BB28" s="2"/>
      <c r="BC28" s="82" t="str">
        <f t="shared" ca="1" si="237"/>
        <v/>
      </c>
      <c r="BD28" s="2"/>
      <c r="BE28" s="2" t="s">
        <v>128</v>
      </c>
      <c r="BF28" s="82"/>
      <c r="BG28" s="82" t="str">
        <f t="shared" ca="1" si="238"/>
        <v/>
      </c>
      <c r="BH28" s="2" t="s">
        <v>128</v>
      </c>
      <c r="BI28" s="82"/>
      <c r="BJ28" s="82" t="str">
        <f t="shared" ca="1" si="239"/>
        <v/>
      </c>
      <c r="BK28" s="2"/>
      <c r="BL28" s="2" t="s">
        <v>128</v>
      </c>
      <c r="BM28" s="82"/>
      <c r="BN28" s="82" t="str">
        <f t="shared" ca="1" si="204"/>
        <v/>
      </c>
      <c r="BO28" s="2"/>
      <c r="BP28" s="10" t="str">
        <f t="shared" ref="BP28" si="243">IF(ISBLANK(BA28),"",BA28)</f>
        <v>코레일 협의중</v>
      </c>
      <c r="BQ28" s="10" t="str">
        <f t="shared" ref="BQ28" si="244">IF(ISBLANK(BE28),"",BE28)</f>
        <v>코레일 협의중</v>
      </c>
      <c r="BR28" s="10" t="str">
        <f t="shared" ref="BR28" si="245">IF(ISBLANK(BH28),"",BH28)</f>
        <v>코레일 협의중</v>
      </c>
      <c r="BS28" s="10" t="str">
        <f t="shared" ref="BS28" si="246">IF(ISBLANK(BL28),"",BL28)</f>
        <v>코레일 협의중</v>
      </c>
      <c r="BT28" s="75" t="str">
        <f t="shared" ref="BT28" si="247">IF(ISBLANK(BP28),"",IFERROR(YEAR(BP28),""))</f>
        <v/>
      </c>
      <c r="BU28" s="75" t="str">
        <f t="shared" ref="BU28" si="248">IF(ISBLANK(BQ28),"",IFERROR(YEAR(BQ28),""))</f>
        <v/>
      </c>
      <c r="BV28" s="75" t="str">
        <f t="shared" ref="BV28" si="249">IF(ISBLANK(BR28),"",IFERROR(YEAR(BR28),""))</f>
        <v/>
      </c>
      <c r="BW28" s="75" t="str">
        <f t="shared" ref="BW28" si="250">IF(ISBLANK(BS28),"",IFERROR(YEAR(BS28),""))</f>
        <v/>
      </c>
      <c r="BX28" s="75" t="str">
        <f t="shared" ref="BX28" si="251">IF(ISBLANK(BP28),"",IF(OR(BP28="제출불가",BP28="조치완료보고 대체"),BP28,IFERROR(WEEKNUM(BP28),"")))</f>
        <v/>
      </c>
      <c r="BY28" s="75" t="str">
        <f t="shared" ref="BY28" si="252">IF(ISBLANK(BQ28),"",IF(OR(BQ28="제출불가",BQ28="조치완료보고 대체"),BQ28,IFERROR(WEEKNUM(BQ28),"")))</f>
        <v/>
      </c>
      <c r="BZ28" s="75" t="str">
        <f t="shared" ref="BZ28" si="253">IF(ISBLANK(BR28),"",IF(OR(BR28="제출불가",BR28="조치완료보고 대체"),BR28,IFERROR(WEEKNUM(BR28),"")))</f>
        <v/>
      </c>
      <c r="CA28" s="75" t="str">
        <f t="shared" ref="CA28" si="254">IF(ISBLANK(BS28),"",IF(OR(BS28="제출불가",BS28="조치완료보고 대체"),BS28,IFERROR(WEEKNUM(BS28),"")))</f>
        <v/>
      </c>
      <c r="CB28" s="10" t="str">
        <f t="shared" ref="CB28" si="255">IF(ISBLANK(BB28),"",BB28)</f>
        <v/>
      </c>
      <c r="CC28" s="10" t="str">
        <f t="shared" ref="CC28" si="256">IF(ISBLANK(BF28),"",BF28)</f>
        <v/>
      </c>
      <c r="CD28" s="10" t="str">
        <f t="shared" ref="CD28" si="257">IF(ISBLANK(BI28),"",BI28)</f>
        <v/>
      </c>
      <c r="CE28" s="10" t="str">
        <f t="shared" ref="CE28" si="258">IF(ISBLANK(BM28),"",BM28)</f>
        <v/>
      </c>
      <c r="CF28" s="75" t="str">
        <f t="shared" ref="CF28" si="259">IF(ISBLANK(CB28),"",IFERROR(YEAR(CB28),""))</f>
        <v/>
      </c>
      <c r="CG28" s="75" t="str">
        <f t="shared" ref="CG28" si="260">IF(ISBLANK(CC28),"",IFERROR(YEAR(CC28),""))</f>
        <v/>
      </c>
      <c r="CH28" s="75" t="str">
        <f t="shared" ref="CH28" si="261">IF(ISBLANK(CD28),"",IFERROR(YEAR(CD28),""))</f>
        <v/>
      </c>
      <c r="CI28" s="75" t="str">
        <f t="shared" ref="CI28" si="262">IF(ISBLANK(CE28),"",IFERROR(YEAR(CE28),""))</f>
        <v/>
      </c>
      <c r="CJ28" s="75" t="str">
        <f t="shared" ref="CJ28" si="263">IF(ISBLANK(CB28),"",IF(OR(CB28="제출불가",CB28="조치완료보고 대체"),CB28,IFERROR(WEEKNUM(CB28),"")))</f>
        <v/>
      </c>
      <c r="CK28" s="75" t="str">
        <f t="shared" ref="CK28" si="264">IF(ISBLANK(CC28),"",IF(OR(CC28="제출불가",CC28="조치완료보고 대체"),CC28,IFERROR(WEEKNUM(CC28),"")))</f>
        <v/>
      </c>
      <c r="CL28" s="75" t="str">
        <f t="shared" ref="CL28" si="265">IF(ISBLANK(CD28),"",IF(OR(CD28="제출불가",CD28="조치완료보고 대체"),CD28,IFERROR(WEEKNUM(CD28),"")))</f>
        <v/>
      </c>
      <c r="CM28" s="75" t="str">
        <f t="shared" ref="CM28" si="266">IF(ISBLANK(CE28),"",IF(OR(CE28="제출불가",CE28="조치완료보고 대체"),CE28,IFERROR(WEEKNUM(CE28),"")))</f>
        <v/>
      </c>
      <c r="CN28" s="2" t="str">
        <f t="shared" ref="CN28" ca="1" si="267">BC28</f>
        <v/>
      </c>
      <c r="CO28" s="2" t="str">
        <f t="shared" ref="CO28" ca="1" si="268">BG28</f>
        <v/>
      </c>
      <c r="CP28" s="2" t="str">
        <f t="shared" ref="CP28" ca="1" si="269">BJ28</f>
        <v/>
      </c>
      <c r="CQ28" s="2" t="str">
        <f t="shared" ref="CQ28" ca="1" si="270">BN28</f>
        <v/>
      </c>
      <c r="CR28" s="52" t="str">
        <f t="shared" ref="CR28" si="271">IF(BD28="","",BD28)</f>
        <v/>
      </c>
      <c r="CS28" s="2"/>
      <c r="CT28" s="2"/>
      <c r="CU28" s="2"/>
      <c r="CV28" s="79" t="s">
        <v>661</v>
      </c>
      <c r="CW28" s="169" t="str">
        <f>IF(COUNTIF($CV:$CV,CV28)&gt;1,"중복","")</f>
        <v>중복</v>
      </c>
      <c r="CX28" s="82" t="s">
        <v>188</v>
      </c>
      <c r="CY28" s="2" t="s">
        <v>277</v>
      </c>
      <c r="CZ28" s="2" t="s">
        <v>156</v>
      </c>
      <c r="DA28" s="82" t="s">
        <v>566</v>
      </c>
      <c r="DB28" s="94" t="s">
        <v>87</v>
      </c>
      <c r="DC28" s="94" t="s">
        <v>87</v>
      </c>
      <c r="DD28" s="82">
        <f t="shared" ref="DD28" si="272">IF(N28="-","-",VALUE(LEFT(N28,3)&amp;RIGHT(N28,2)))</f>
        <v>31209</v>
      </c>
      <c r="DE28" s="80" t="str">
        <f>IF(DD28="-","-",VLOOKUP(DD28,'프로젝트 담당자'!$T$3:$W$80,4,0))</f>
        <v>구로</v>
      </c>
      <c r="DF28" s="82" t="s">
        <v>29</v>
      </c>
      <c r="DG28" s="82" t="str">
        <f>VLOOKUP(DD28,'프로젝트 담당자'!$T$2:$Y$80,6,0)</f>
        <v>최우성</v>
      </c>
      <c r="DH28" s="82" t="s">
        <v>91</v>
      </c>
      <c r="DI28" s="82" t="s">
        <v>107</v>
      </c>
      <c r="DJ28" s="82" t="s">
        <v>91</v>
      </c>
    </row>
    <row r="29" spans="1:114" ht="66" x14ac:dyDescent="0.4">
      <c r="A29" s="213">
        <v>593</v>
      </c>
      <c r="B29" s="10">
        <f t="shared" ref="B29:B30" si="273">IFERROR(DATE(D29,E29,F29),"")</f>
        <v>45053</v>
      </c>
      <c r="C29" s="75">
        <f t="shared" ref="C29:C30" si="274">WEEKNUM(B29)</f>
        <v>19</v>
      </c>
      <c r="D29" s="175">
        <v>2023</v>
      </c>
      <c r="E29" s="2">
        <v>5</v>
      </c>
      <c r="F29" s="2">
        <v>7</v>
      </c>
      <c r="G29" s="14">
        <v>45054</v>
      </c>
      <c r="H29" s="1"/>
      <c r="I29" s="1" t="s">
        <v>450</v>
      </c>
      <c r="J29" s="2" t="s">
        <v>4</v>
      </c>
      <c r="K29" s="2" t="str">
        <f t="shared" ref="K29:K30" si="275">IF(OR(L29="경원선 18량",L29="과천안산선 70량",L29="1호선 40량"),"128R",IF(OR(L29="경인선 80량",L29="과천안산선 180량",L29="분당선 108량"),"448R","기타"))</f>
        <v>448R</v>
      </c>
      <c r="L29" s="2" t="str">
        <f>VLOOKUP('2023년 신조차 고장관리 세부현황'!DD29,'프로젝트 담당자'!$T$2:$Z$80,7,0)</f>
        <v>경인선 80량</v>
      </c>
      <c r="M29" s="8" t="s">
        <v>5</v>
      </c>
      <c r="N29" s="2">
        <v>312911</v>
      </c>
      <c r="O29" s="176">
        <f>IF(OR(K29="128R",K29="448R"),VLOOKUP('2023년 신조차 고장관리 세부현황'!DD29,'프로젝트 담당자'!$T$2:$AB$80,9,0),"기타")</f>
        <v>44592</v>
      </c>
      <c r="P29" s="177">
        <f t="shared" ref="P29" si="276">IF(OR(V29="삭제",O29="기타"),"",IF(ISBLANK(O29),"",B29-O29))</f>
        <v>461</v>
      </c>
      <c r="Q29" s="4" t="s">
        <v>451</v>
      </c>
      <c r="R29" s="4" t="s">
        <v>452</v>
      </c>
      <c r="S29" s="2"/>
      <c r="T29" s="2" t="s">
        <v>17</v>
      </c>
      <c r="U29" s="2" t="s">
        <v>17</v>
      </c>
      <c r="V29" s="2" t="s">
        <v>162</v>
      </c>
      <c r="W29" s="210" t="s">
        <v>26</v>
      </c>
      <c r="X29" s="367" t="s">
        <v>692</v>
      </c>
      <c r="Y29" s="2"/>
      <c r="Z29" s="2"/>
      <c r="AA29" s="2"/>
      <c r="AB29" s="2"/>
      <c r="AC29" s="2"/>
      <c r="AD29" s="2"/>
      <c r="AE29" s="2"/>
      <c r="AF29" s="2"/>
      <c r="AG29" s="1"/>
      <c r="AH29" s="1"/>
      <c r="AI29" s="1"/>
      <c r="AJ29" s="2" t="s">
        <v>456</v>
      </c>
      <c r="AK29" s="1"/>
      <c r="AL29" s="80" t="s">
        <v>482</v>
      </c>
      <c r="AM29" s="1"/>
      <c r="AN29" s="1"/>
      <c r="AO29" s="1"/>
      <c r="AP29" s="1"/>
      <c r="AQ29" s="2" t="s">
        <v>377</v>
      </c>
      <c r="AR29" s="1"/>
      <c r="AS29" s="2" t="s">
        <v>5</v>
      </c>
      <c r="AT29" s="2" t="s">
        <v>5</v>
      </c>
      <c r="AU29" s="1"/>
      <c r="AV29" s="1" t="s">
        <v>724</v>
      </c>
      <c r="AW29" s="56" t="s">
        <v>698</v>
      </c>
      <c r="AX29" s="56"/>
      <c r="AY29" s="1"/>
      <c r="AZ29" s="10" t="str">
        <f t="shared" ref="AZ29" si="277">IF(OR(AS29="O",AS29="삭제"),"완료","지연")</f>
        <v>지연</v>
      </c>
      <c r="BA29" s="10" t="s">
        <v>421</v>
      </c>
      <c r="BB29" s="2" t="s">
        <v>5</v>
      </c>
      <c r="BC29" s="2" t="str">
        <f t="shared" ref="BC29:BC30" ca="1" si="278">IF(ISBLANK(BB29),"",IF(OR(BB29&lt;=BA29,BB29="조치완료보고 대체",BB29="제출불가"),"완료",IF(AND(BB29="-",BA29&gt;=TODAY()),"예정",IF(AND(BB29="-",BA29&lt;TODAY()),"지연",IF(BB29&gt;BA29,"완료","")))))</f>
        <v>완료</v>
      </c>
      <c r="BD29" s="7" t="s">
        <v>460</v>
      </c>
      <c r="BE29" s="10">
        <v>45066</v>
      </c>
      <c r="BF29" s="2" t="s">
        <v>5</v>
      </c>
      <c r="BG29" s="2" t="str">
        <f t="shared" ref="BG29:BG30" ca="1" si="279">IF(ISBLANK(BF29),"",IF(OR(BF29&lt;=BE29,BF29="조치완료보고 대체",BF29="제출불가"),"완료",IF(AND(BF29="-",BE29&gt;=TODAY()),"예정",IF(AND(BF29="-",BE29&lt;TODAY()),"지연",IF(BF29&gt;BE29,"완료","")))))</f>
        <v>지연</v>
      </c>
      <c r="BH29" s="10" t="s">
        <v>422</v>
      </c>
      <c r="BI29" s="2"/>
      <c r="BJ29" s="2" t="str">
        <f t="shared" ref="BJ29:BJ30" ca="1" si="280">IF(ISBLANK(BI29),"",IF(OR(BI29&lt;=BH29,BI29="조치완료보고 대체",BI29="제출불가"),"완료",IF(AND(BI29="-",BH29&gt;=TODAY()),"예정",IF(AND(BI29="-",BH29&lt;TODAY()),"지연",IF(BI29&gt;BH29,"완료","")))))</f>
        <v/>
      </c>
      <c r="BK29" s="2"/>
      <c r="BL29" s="10">
        <v>45106</v>
      </c>
      <c r="BM29" s="2" t="s">
        <v>5</v>
      </c>
      <c r="BN29" s="2" t="str">
        <f t="shared" ref="BN29:BN30" ca="1" si="281">IF(ISBLANK(BM29),"",IF(OR(BM29&lt;=BL29,BM29="조치완료보고 대체",BM29="제출불가"),"완료",IF(AND(BM29="-",BL29&gt;=TODAY()),"예정",IF(AND(BM29="-",BL29&lt;TODAY()),"지연",IF(BM29&gt;BL29,"완료","")))))</f>
        <v>지연</v>
      </c>
      <c r="BO29" s="2"/>
      <c r="BP29" s="10" t="str">
        <f t="shared" ref="BP29:BP30" si="282">IF(ISBLANK(BA29),"",BA29)</f>
        <v>동일건(협의필요)</v>
      </c>
      <c r="BQ29" s="10">
        <f t="shared" ref="BQ29:BQ30" si="283">IF(ISBLANK(BE29),"",BE29)</f>
        <v>45066</v>
      </c>
      <c r="BR29" s="10" t="str">
        <f t="shared" ref="BR29:BR30" si="284">IF(ISBLANK(BH29),"",BH29)</f>
        <v>동일건</v>
      </c>
      <c r="BS29" s="10">
        <f t="shared" ref="BS29:BS30" si="285">IF(ISBLANK(BL29),"",BL29)</f>
        <v>45106</v>
      </c>
      <c r="BT29" s="75" t="str">
        <f t="shared" ref="BT29:BT30" si="286">IF(ISBLANK(BP29),"",IFERROR(YEAR(BP29),""))</f>
        <v/>
      </c>
      <c r="BU29" s="75">
        <f t="shared" ref="BU29:BU30" si="287">IF(ISBLANK(BQ29),"",IFERROR(YEAR(BQ29),""))</f>
        <v>2023</v>
      </c>
      <c r="BV29" s="75" t="str">
        <f t="shared" ref="BV29:BV30" si="288">IF(ISBLANK(BR29),"",IFERROR(YEAR(BR29),""))</f>
        <v/>
      </c>
      <c r="BW29" s="75">
        <f t="shared" ref="BW29:BW30" si="289">IF(ISBLANK(BS29),"",IFERROR(YEAR(BS29),""))</f>
        <v>2023</v>
      </c>
      <c r="BX29" s="75" t="str">
        <f t="shared" ref="BX29:BX30" si="290">IF(ISBLANK(BP29),"",IF(OR(BP29="제출불가",BP29="조치완료보고 대체"),BP29,IFERROR(WEEKNUM(BP29),"")))</f>
        <v/>
      </c>
      <c r="BY29" s="75">
        <f t="shared" ref="BY29:BY30" si="291">IF(ISBLANK(BQ29),"",IF(OR(BQ29="제출불가",BQ29="조치완료보고 대체"),BQ29,IFERROR(WEEKNUM(BQ29),"")))</f>
        <v>20</v>
      </c>
      <c r="BZ29" s="75" t="str">
        <f t="shared" ref="BZ29:BZ30" si="292">IF(ISBLANK(BR29),"",IF(OR(BR29="제출불가",BR29="조치완료보고 대체"),BR29,IFERROR(WEEKNUM(BR29),"")))</f>
        <v/>
      </c>
      <c r="CA29" s="75">
        <f t="shared" ref="CA29:CA30" si="293">IF(ISBLANK(BS29),"",IF(OR(BS29="제출불가",BS29="조치완료보고 대체"),BS29,IFERROR(WEEKNUM(BS29),"")))</f>
        <v>26</v>
      </c>
      <c r="CB29" s="10" t="str">
        <f t="shared" ref="CB29:CB30" si="294">IF(ISBLANK(BB29),"",BB29)</f>
        <v>-</v>
      </c>
      <c r="CC29" s="10" t="str">
        <f t="shared" ref="CC29:CC30" si="295">IF(ISBLANK(BF29),"",BF29)</f>
        <v>-</v>
      </c>
      <c r="CD29" s="10" t="str">
        <f t="shared" ref="CD29:CD30" si="296">IF(ISBLANK(BI29),"",BI29)</f>
        <v/>
      </c>
      <c r="CE29" s="10" t="str">
        <f t="shared" ref="CE29:CE30" si="297">IF(ISBLANK(BM29),"",BM29)</f>
        <v>-</v>
      </c>
      <c r="CF29" s="75" t="str">
        <f t="shared" ref="CF29:CF30" si="298">IF(ISBLANK(CB29),"",IFERROR(YEAR(CB29),""))</f>
        <v/>
      </c>
      <c r="CG29" s="75" t="str">
        <f t="shared" ref="CG29:CG30" si="299">IF(ISBLANK(CC29),"",IFERROR(YEAR(CC29),""))</f>
        <v/>
      </c>
      <c r="CH29" s="75" t="str">
        <f t="shared" ref="CH29:CH30" si="300">IF(ISBLANK(CD29),"",IFERROR(YEAR(CD29),""))</f>
        <v/>
      </c>
      <c r="CI29" s="75" t="str">
        <f t="shared" ref="CI29:CI30" si="301">IF(ISBLANK(CE29),"",IFERROR(YEAR(CE29),""))</f>
        <v/>
      </c>
      <c r="CJ29" s="75" t="str">
        <f t="shared" ref="CJ29:CJ30" si="302">IF(ISBLANK(CB29),"",IF(OR(CB29="제출불가",CB29="조치완료보고 대체"),CB29,IFERROR(WEEKNUM(CB29),"")))</f>
        <v/>
      </c>
      <c r="CK29" s="75" t="str">
        <f t="shared" ref="CK29:CK30" si="303">IF(ISBLANK(CC29),"",IF(OR(CC29="제출불가",CC29="조치완료보고 대체"),CC29,IFERROR(WEEKNUM(CC29),"")))</f>
        <v/>
      </c>
      <c r="CL29" s="75" t="str">
        <f t="shared" ref="CL29:CL30" si="304">IF(ISBLANK(CD29),"",IF(OR(CD29="제출불가",CD29="조치완료보고 대체"),CD29,IFERROR(WEEKNUM(CD29),"")))</f>
        <v/>
      </c>
      <c r="CM29" s="75" t="str">
        <f t="shared" ref="CM29:CM30" si="305">IF(ISBLANK(CE29),"",IF(OR(CE29="제출불가",CE29="조치완료보고 대체"),CE29,IFERROR(WEEKNUM(CE29),"")))</f>
        <v/>
      </c>
      <c r="CN29" s="2" t="str">
        <f t="shared" ref="CN29:CN30" ca="1" si="306">BC29</f>
        <v>완료</v>
      </c>
      <c r="CO29" s="2" t="str">
        <f t="shared" ref="CO29:CO30" ca="1" si="307">BG29</f>
        <v>지연</v>
      </c>
      <c r="CP29" s="2" t="str">
        <f t="shared" ref="CP29:CP30" ca="1" si="308">BJ29</f>
        <v/>
      </c>
      <c r="CQ29" s="2" t="str">
        <f t="shared" ref="CQ29:CQ30" ca="1" si="309">BN29</f>
        <v>지연</v>
      </c>
      <c r="CR29" s="52" t="str">
        <f t="shared" ref="CR29:CR30" si="310">IF(BD29="","",BD29)</f>
        <v>종결</v>
      </c>
      <c r="CS29" s="2"/>
      <c r="CT29" s="2"/>
      <c r="CU29" s="2"/>
      <c r="CV29" s="101" t="s">
        <v>715</v>
      </c>
      <c r="CW29" s="169" t="str">
        <f>IF(COUNTIF($CV:$CV,CV29)&gt;1,"중복","")</f>
        <v>중복</v>
      </c>
      <c r="CX29" s="131" t="s">
        <v>186</v>
      </c>
      <c r="CY29" s="11" t="s">
        <v>156</v>
      </c>
      <c r="CZ29" s="11" t="s">
        <v>224</v>
      </c>
      <c r="DA29" s="11" t="s">
        <v>83</v>
      </c>
      <c r="DB29" s="2" t="s">
        <v>290</v>
      </c>
      <c r="DC29" s="2" t="s">
        <v>290</v>
      </c>
      <c r="DD29" s="2">
        <f t="shared" ref="DD29:DD30" si="311">IF(N29="-","-",VALUE(LEFT(N29,3)&amp;RIGHT(N29,2)))</f>
        <v>31211</v>
      </c>
      <c r="DE29" s="2" t="str">
        <f>IF(DD29="-","-",VLOOKUP(DD29,'프로젝트 담당자'!$T$3:$W$80,4,0))</f>
        <v>구로</v>
      </c>
      <c r="DF29" s="2" t="s">
        <v>29</v>
      </c>
      <c r="DG29" s="2" t="str">
        <f>VLOOKUP(DD29,'프로젝트 담당자'!$T$2:$Y$80,6,0)</f>
        <v>최우성</v>
      </c>
      <c r="DH29" s="2" t="s">
        <v>95</v>
      </c>
      <c r="DI29" s="2" t="s">
        <v>112</v>
      </c>
      <c r="DJ29" s="2" t="s">
        <v>95</v>
      </c>
    </row>
    <row r="30" spans="1:114" ht="87" x14ac:dyDescent="0.4">
      <c r="A30" s="218">
        <v>619</v>
      </c>
      <c r="B30" s="7">
        <f t="shared" si="273"/>
        <v>45058</v>
      </c>
      <c r="C30" s="128">
        <f t="shared" si="274"/>
        <v>19</v>
      </c>
      <c r="D30" s="56">
        <v>2023</v>
      </c>
      <c r="E30" s="56">
        <v>5</v>
      </c>
      <c r="F30" s="56">
        <v>12</v>
      </c>
      <c r="G30" s="71">
        <v>45061</v>
      </c>
      <c r="H30" s="56"/>
      <c r="I30" s="56" t="s">
        <v>448</v>
      </c>
      <c r="J30" s="82" t="s">
        <v>3</v>
      </c>
      <c r="K30" s="82" t="str">
        <f t="shared" si="275"/>
        <v>448R</v>
      </c>
      <c r="L30" s="82" t="str">
        <f>VLOOKUP('2023년 신조차 고장관리 세부현황'!DD30,'프로젝트 담당자'!$T$2:$Z$80,7,0)</f>
        <v>분당선 108량</v>
      </c>
      <c r="M30" s="77">
        <v>6529</v>
      </c>
      <c r="N30" s="82">
        <v>351052</v>
      </c>
      <c r="O30" s="105">
        <f>IF(OR(K30="128R",K30="448R"),VLOOKUP('2023년 신조차 고장관리 세부현황'!DD30,'프로젝트 담당자'!$T$2:$AB$80,9,0),"기타")</f>
        <v>44804</v>
      </c>
      <c r="P30" s="137">
        <f t="shared" ref="P30" si="312">IF(OR(V30="삭제",O30="기타"),"",IF(ISBLANK(O30),"",B30-O30))</f>
        <v>254</v>
      </c>
      <c r="Q30" s="257" t="s">
        <v>461</v>
      </c>
      <c r="R30" s="92" t="s">
        <v>462</v>
      </c>
      <c r="S30" s="82" t="s">
        <v>186</v>
      </c>
      <c r="T30" s="340" t="s">
        <v>18</v>
      </c>
      <c r="U30" s="340" t="s">
        <v>18</v>
      </c>
      <c r="V30" s="2" t="s">
        <v>162</v>
      </c>
      <c r="W30" s="223" t="s">
        <v>477</v>
      </c>
      <c r="X30" s="368" t="s">
        <v>693</v>
      </c>
      <c r="Y30" s="82"/>
      <c r="Z30" s="82"/>
      <c r="AA30" s="82"/>
      <c r="AB30" s="82"/>
      <c r="AC30" s="82"/>
      <c r="AD30" s="82"/>
      <c r="AE30" s="82"/>
      <c r="AF30" s="82"/>
      <c r="AG30" s="56"/>
      <c r="AH30" s="56"/>
      <c r="AI30" s="56"/>
      <c r="AJ30" s="2" t="s">
        <v>456</v>
      </c>
      <c r="AK30" s="56"/>
      <c r="AL30" s="56" t="s">
        <v>269</v>
      </c>
      <c r="AM30" s="56" t="s">
        <v>485</v>
      </c>
      <c r="AN30" s="56"/>
      <c r="AO30" s="56"/>
      <c r="AP30" s="56"/>
      <c r="AQ30" s="2" t="s">
        <v>425</v>
      </c>
      <c r="AR30" s="56"/>
      <c r="AS30" s="53" t="s">
        <v>10</v>
      </c>
      <c r="AT30" s="7">
        <v>45068</v>
      </c>
      <c r="AU30" s="82" t="s">
        <v>444</v>
      </c>
      <c r="AV30" s="82"/>
      <c r="AW30" s="56"/>
      <c r="AX30" s="56"/>
      <c r="AY30" s="56"/>
      <c r="AZ30" s="10" t="str">
        <f t="shared" ref="AZ30" si="313">IF(OR(AS30="O",AS30="삭제"),"완료","지연")</f>
        <v>완료</v>
      </c>
      <c r="BA30" s="10" t="s">
        <v>421</v>
      </c>
      <c r="BB30" s="2" t="s">
        <v>5</v>
      </c>
      <c r="BC30" s="2" t="str">
        <f t="shared" ca="1" si="278"/>
        <v>완료</v>
      </c>
      <c r="BD30" s="7" t="s">
        <v>460</v>
      </c>
      <c r="BE30" s="7">
        <v>45073</v>
      </c>
      <c r="BF30" s="2" t="s">
        <v>5</v>
      </c>
      <c r="BG30" s="2" t="str">
        <f t="shared" ca="1" si="279"/>
        <v>지연</v>
      </c>
      <c r="BH30" s="10" t="s">
        <v>422</v>
      </c>
      <c r="BI30" s="2"/>
      <c r="BJ30" s="2" t="str">
        <f t="shared" ca="1" si="280"/>
        <v/>
      </c>
      <c r="BK30" s="82"/>
      <c r="BL30" s="7">
        <v>45113</v>
      </c>
      <c r="BM30" s="2" t="s">
        <v>5</v>
      </c>
      <c r="BN30" s="2" t="str">
        <f t="shared" ca="1" si="281"/>
        <v>지연</v>
      </c>
      <c r="BO30" s="82"/>
      <c r="BP30" s="10" t="str">
        <f t="shared" si="282"/>
        <v>동일건(협의필요)</v>
      </c>
      <c r="BQ30" s="10">
        <f t="shared" si="283"/>
        <v>45073</v>
      </c>
      <c r="BR30" s="10" t="str">
        <f t="shared" si="284"/>
        <v>동일건</v>
      </c>
      <c r="BS30" s="10">
        <f t="shared" si="285"/>
        <v>45113</v>
      </c>
      <c r="BT30" s="75" t="str">
        <f t="shared" si="286"/>
        <v/>
      </c>
      <c r="BU30" s="75">
        <f t="shared" si="287"/>
        <v>2023</v>
      </c>
      <c r="BV30" s="75" t="str">
        <f t="shared" si="288"/>
        <v/>
      </c>
      <c r="BW30" s="75">
        <f t="shared" si="289"/>
        <v>2023</v>
      </c>
      <c r="BX30" s="75" t="str">
        <f t="shared" si="290"/>
        <v/>
      </c>
      <c r="BY30" s="75">
        <f t="shared" si="291"/>
        <v>21</v>
      </c>
      <c r="BZ30" s="75" t="str">
        <f t="shared" si="292"/>
        <v/>
      </c>
      <c r="CA30" s="75">
        <f t="shared" si="293"/>
        <v>27</v>
      </c>
      <c r="CB30" s="10" t="str">
        <f t="shared" si="294"/>
        <v>-</v>
      </c>
      <c r="CC30" s="10" t="str">
        <f t="shared" si="295"/>
        <v>-</v>
      </c>
      <c r="CD30" s="10" t="str">
        <f t="shared" si="296"/>
        <v/>
      </c>
      <c r="CE30" s="10" t="str">
        <f t="shared" si="297"/>
        <v>-</v>
      </c>
      <c r="CF30" s="75" t="str">
        <f t="shared" si="298"/>
        <v/>
      </c>
      <c r="CG30" s="75" t="str">
        <f t="shared" si="299"/>
        <v/>
      </c>
      <c r="CH30" s="75" t="str">
        <f t="shared" si="300"/>
        <v/>
      </c>
      <c r="CI30" s="75" t="str">
        <f t="shared" si="301"/>
        <v/>
      </c>
      <c r="CJ30" s="75" t="str">
        <f t="shared" si="302"/>
        <v/>
      </c>
      <c r="CK30" s="75" t="str">
        <f t="shared" si="303"/>
        <v/>
      </c>
      <c r="CL30" s="75" t="str">
        <f t="shared" si="304"/>
        <v/>
      </c>
      <c r="CM30" s="75" t="str">
        <f t="shared" si="305"/>
        <v/>
      </c>
      <c r="CN30" s="2" t="str">
        <f t="shared" ca="1" si="306"/>
        <v>완료</v>
      </c>
      <c r="CO30" s="2" t="str">
        <f t="shared" ca="1" si="307"/>
        <v>지연</v>
      </c>
      <c r="CP30" s="2" t="str">
        <f t="shared" ca="1" si="308"/>
        <v/>
      </c>
      <c r="CQ30" s="2" t="str">
        <f t="shared" ca="1" si="309"/>
        <v>지연</v>
      </c>
      <c r="CR30" s="52" t="str">
        <f t="shared" si="310"/>
        <v>종결</v>
      </c>
      <c r="CS30" s="2"/>
      <c r="CT30" s="2"/>
      <c r="CU30" s="2"/>
      <c r="CV30" s="101" t="s">
        <v>715</v>
      </c>
      <c r="CW30" s="169" t="str">
        <f>IF(COUNTIF($CV:$CV,CV30)&gt;1,"중복","")</f>
        <v>중복</v>
      </c>
      <c r="CX30" s="82" t="s">
        <v>186</v>
      </c>
      <c r="CY30" s="82" t="s">
        <v>156</v>
      </c>
      <c r="CZ30" s="11" t="s">
        <v>224</v>
      </c>
      <c r="DA30" s="82" t="s">
        <v>83</v>
      </c>
      <c r="DB30" s="2" t="s">
        <v>87</v>
      </c>
      <c r="DC30" s="2" t="s">
        <v>87</v>
      </c>
      <c r="DD30" s="2">
        <f t="shared" si="311"/>
        <v>35152</v>
      </c>
      <c r="DE30" s="2" t="str">
        <f>IF(DD30="-","-",VLOOKUP(DD30,'프로젝트 담당자'!$T$3:$W$80,4,0))</f>
        <v>분당</v>
      </c>
      <c r="DF30" s="2" t="s">
        <v>29</v>
      </c>
      <c r="DG30" s="2" t="str">
        <f>VLOOKUP(DD30,'프로젝트 담당자'!$T$2:$Y$80,6,0)</f>
        <v>이성규</v>
      </c>
      <c r="DH30" s="82" t="s">
        <v>91</v>
      </c>
      <c r="DI30" s="82" t="s">
        <v>107</v>
      </c>
      <c r="DJ30" s="82" t="s">
        <v>91</v>
      </c>
    </row>
    <row r="31" spans="1:114" ht="86.4" x14ac:dyDescent="0.4">
      <c r="A31" s="212">
        <v>696</v>
      </c>
      <c r="B31" s="7">
        <f t="shared" ref="B31" si="314">IFERROR(DATE(D31,E31,F31),"")</f>
        <v>45072</v>
      </c>
      <c r="C31" s="128">
        <f t="shared" ref="C31" si="315">WEEKNUM(B31)</f>
        <v>21</v>
      </c>
      <c r="D31" s="56">
        <v>2023</v>
      </c>
      <c r="E31" s="56">
        <v>5</v>
      </c>
      <c r="F31" s="56">
        <v>26</v>
      </c>
      <c r="G31" s="71">
        <v>45076</v>
      </c>
      <c r="H31" s="56"/>
      <c r="I31" s="56" t="s">
        <v>453</v>
      </c>
      <c r="J31" s="82" t="s">
        <v>4</v>
      </c>
      <c r="K31" s="82" t="str">
        <f t="shared" ref="K31" si="316">IF(OR(L31="경원선 18량",L31="과천안산선 70량",L31="1호선 40량"),"128R",IF(OR(L31="경인선 80량",L31="과천안산선 180량",L31="분당선 108량"),"448R","기타"))</f>
        <v>448R</v>
      </c>
      <c r="L31" s="82" t="str">
        <f>VLOOKUP('2023년 신조차 고장관리 세부현황'!DD31,'프로젝트 담당자'!$T$2:$Z$80,7,0)</f>
        <v>과천안산선 180량</v>
      </c>
      <c r="M31" s="81" t="s">
        <v>5</v>
      </c>
      <c r="N31" s="82">
        <v>341050</v>
      </c>
      <c r="O31" s="105">
        <f>IF(OR(K31="128R",K31="448R"),VLOOKUP('2023년 신조차 고장관리 세부현황'!DD31,'프로젝트 담당자'!$T$2:$AB$80,9,0),"기타")</f>
        <v>44865</v>
      </c>
      <c r="P31" s="137">
        <f t="shared" ref="P31:P32" si="317">IF(OR(V31="삭제",O31="기타"),"",IF(ISBLANK(O31),"",B31-O31))</f>
        <v>207</v>
      </c>
      <c r="Q31" s="89" t="s">
        <v>474</v>
      </c>
      <c r="R31" s="89" t="s">
        <v>475</v>
      </c>
      <c r="S31" s="82" t="s">
        <v>188</v>
      </c>
      <c r="T31" s="2" t="s">
        <v>17</v>
      </c>
      <c r="U31" s="2" t="s">
        <v>17</v>
      </c>
      <c r="V31" s="2" t="s">
        <v>162</v>
      </c>
      <c r="W31" s="223" t="s">
        <v>552</v>
      </c>
      <c r="X31" s="341" t="s">
        <v>586</v>
      </c>
      <c r="Y31" s="82"/>
      <c r="Z31" s="82"/>
      <c r="AA31" s="82"/>
      <c r="AB31" s="82"/>
      <c r="AC31" s="82"/>
      <c r="AD31" s="82"/>
      <c r="AE31" s="82" t="s">
        <v>173</v>
      </c>
      <c r="AF31" s="80" t="s">
        <v>718</v>
      </c>
      <c r="AG31" s="56"/>
      <c r="AH31" s="56"/>
      <c r="AI31" s="79" t="s">
        <v>659</v>
      </c>
      <c r="AJ31" s="56"/>
      <c r="AK31" s="56"/>
      <c r="AL31" s="80" t="s">
        <v>173</v>
      </c>
      <c r="AM31" s="56"/>
      <c r="AN31" s="56"/>
      <c r="AO31" s="56"/>
      <c r="AP31" s="56"/>
      <c r="AQ31" s="11" t="s">
        <v>373</v>
      </c>
      <c r="AR31" s="3" t="s">
        <v>658</v>
      </c>
      <c r="AS31" s="53" t="s">
        <v>10</v>
      </c>
      <c r="AT31" s="7">
        <v>45100</v>
      </c>
      <c r="AU31" s="82" t="s">
        <v>424</v>
      </c>
      <c r="AV31" s="82"/>
      <c r="AW31" s="56"/>
      <c r="AX31" s="56"/>
      <c r="AY31" s="56"/>
      <c r="AZ31" s="7" t="str">
        <f t="shared" ref="AZ31" si="318">IF(OR(AS31="O",AS31="삭제"),"완료","지연")</f>
        <v>완료</v>
      </c>
      <c r="BA31" s="7" t="s">
        <v>128</v>
      </c>
      <c r="BB31" s="82"/>
      <c r="BC31" s="82" t="str">
        <f t="shared" ref="BC31:BC32" ca="1" si="319">IF(ISBLANK(BB31),"",IF(OR(BB31&lt;=BA31,BB31="조치완료보고 대체",BB31="제출불가"),"완료",IF(AND(BB31="-",BA31&gt;=TODAY()),"예정",IF(AND(BB31="-",BA31&lt;TODAY()),"지연",IF(BB31&gt;BA31,"완료","")))))</f>
        <v/>
      </c>
      <c r="BD31" s="2"/>
      <c r="BE31" s="7" t="s">
        <v>128</v>
      </c>
      <c r="BF31" s="82"/>
      <c r="BG31" s="82" t="str">
        <f t="shared" ref="BG31:BG32" ca="1" si="320">IF(ISBLANK(BF31),"",IF(OR(BF31&lt;=BE31,BF31="조치완료보고 대체",BF31="제출불가"),"완료",IF(AND(BF31="-",BE31&gt;=TODAY()),"예정",IF(AND(BF31="-",BE31&lt;TODAY()),"지연",IF(BF31&gt;BE31,"완료","")))))</f>
        <v/>
      </c>
      <c r="BH31" s="7" t="s">
        <v>128</v>
      </c>
      <c r="BI31" s="82"/>
      <c r="BJ31" s="82" t="str">
        <f t="shared" ref="BJ31:BJ32" ca="1" si="321">IF(ISBLANK(BI31),"",IF(OR(BI31&lt;=BH31,BI31="조치완료보고 대체",BI31="제출불가"),"완료",IF(AND(BI31="-",BH31&gt;=TODAY()),"예정",IF(AND(BI31="-",BH31&lt;TODAY()),"지연",IF(BI31&gt;BH31,"완료","")))))</f>
        <v/>
      </c>
      <c r="BK31" s="82"/>
      <c r="BL31" s="7" t="s">
        <v>128</v>
      </c>
      <c r="BM31" s="82"/>
      <c r="BN31" s="82" t="str">
        <f t="shared" ref="BN31" ca="1" si="322">IF(ISBLANK(BM31),"",IF(OR(BM31&lt;=BL31,BM31="조치완료보고 대체",BM31="제출불가"),"완료",IF(AND(BM31="-",BL31&gt;=TODAY()),"예정",IF(AND(BM31="-",BL31&lt;TODAY()),"지연",IF(BM31&gt;BL31,"완료","")))))</f>
        <v/>
      </c>
      <c r="BO31" s="82"/>
      <c r="BP31" s="10" t="str">
        <f t="shared" ref="BP31" si="323">IF(ISBLANK(BA31),"",BA31)</f>
        <v>코레일 협의중</v>
      </c>
      <c r="BQ31" s="10" t="str">
        <f t="shared" ref="BQ31" si="324">IF(ISBLANK(BE31),"",BE31)</f>
        <v>코레일 협의중</v>
      </c>
      <c r="BR31" s="10" t="str">
        <f t="shared" ref="BR31" si="325">IF(ISBLANK(BH31),"",BH31)</f>
        <v>코레일 협의중</v>
      </c>
      <c r="BS31" s="10" t="str">
        <f t="shared" ref="BS31" si="326">IF(ISBLANK(BL31),"",BL31)</f>
        <v>코레일 협의중</v>
      </c>
      <c r="BT31" s="75" t="str">
        <f t="shared" ref="BT31" si="327">IF(ISBLANK(BP31),"",IFERROR(YEAR(BP31),""))</f>
        <v/>
      </c>
      <c r="BU31" s="75" t="str">
        <f t="shared" ref="BU31" si="328">IF(ISBLANK(BQ31),"",IFERROR(YEAR(BQ31),""))</f>
        <v/>
      </c>
      <c r="BV31" s="75" t="str">
        <f t="shared" ref="BV31" si="329">IF(ISBLANK(BR31),"",IFERROR(YEAR(BR31),""))</f>
        <v/>
      </c>
      <c r="BW31" s="75" t="str">
        <f t="shared" ref="BW31" si="330">IF(ISBLANK(BS31),"",IFERROR(YEAR(BS31),""))</f>
        <v/>
      </c>
      <c r="BX31" s="75" t="str">
        <f t="shared" ref="BX31" si="331">IF(ISBLANK(BP31),"",IF(OR(BP31="제출불가",BP31="조치완료보고 대체"),BP31,IFERROR(WEEKNUM(BP31),"")))</f>
        <v/>
      </c>
      <c r="BY31" s="75" t="str">
        <f t="shared" ref="BY31" si="332">IF(ISBLANK(BQ31),"",IF(OR(BQ31="제출불가",BQ31="조치완료보고 대체"),BQ31,IFERROR(WEEKNUM(BQ31),"")))</f>
        <v/>
      </c>
      <c r="BZ31" s="75" t="str">
        <f t="shared" ref="BZ31" si="333">IF(ISBLANK(BR31),"",IF(OR(BR31="제출불가",BR31="조치완료보고 대체"),BR31,IFERROR(WEEKNUM(BR31),"")))</f>
        <v/>
      </c>
      <c r="CA31" s="75" t="str">
        <f t="shared" ref="CA31" si="334">IF(ISBLANK(BS31),"",IF(OR(BS31="제출불가",BS31="조치완료보고 대체"),BS31,IFERROR(WEEKNUM(BS31),"")))</f>
        <v/>
      </c>
      <c r="CB31" s="10" t="str">
        <f t="shared" ref="CB31" si="335">IF(ISBLANK(BB31),"",BB31)</f>
        <v/>
      </c>
      <c r="CC31" s="10" t="str">
        <f t="shared" ref="CC31" si="336">IF(ISBLANK(BF31),"",BF31)</f>
        <v/>
      </c>
      <c r="CD31" s="10" t="str">
        <f t="shared" ref="CD31" si="337">IF(ISBLANK(BI31),"",BI31)</f>
        <v/>
      </c>
      <c r="CE31" s="10" t="str">
        <f t="shared" ref="CE31" si="338">IF(ISBLANK(BM31),"",BM31)</f>
        <v/>
      </c>
      <c r="CF31" s="75" t="str">
        <f t="shared" ref="CF31" si="339">IF(ISBLANK(CB31),"",IFERROR(YEAR(CB31),""))</f>
        <v/>
      </c>
      <c r="CG31" s="75" t="str">
        <f t="shared" ref="CG31" si="340">IF(ISBLANK(CC31),"",IFERROR(YEAR(CC31),""))</f>
        <v/>
      </c>
      <c r="CH31" s="75" t="str">
        <f t="shared" ref="CH31" si="341">IF(ISBLANK(CD31),"",IFERROR(YEAR(CD31),""))</f>
        <v/>
      </c>
      <c r="CI31" s="75" t="str">
        <f t="shared" ref="CI31" si="342">IF(ISBLANK(CE31),"",IFERROR(YEAR(CE31),""))</f>
        <v/>
      </c>
      <c r="CJ31" s="75" t="str">
        <f t="shared" ref="CJ31" si="343">IF(ISBLANK(CB31),"",IF(OR(CB31="제출불가",CB31="조치완료보고 대체"),CB31,IFERROR(WEEKNUM(CB31),"")))</f>
        <v/>
      </c>
      <c r="CK31" s="75" t="str">
        <f t="shared" ref="CK31" si="344">IF(ISBLANK(CC31),"",IF(OR(CC31="제출불가",CC31="조치완료보고 대체"),CC31,IFERROR(WEEKNUM(CC31),"")))</f>
        <v/>
      </c>
      <c r="CL31" s="75" t="str">
        <f t="shared" ref="CL31" si="345">IF(ISBLANK(CD31),"",IF(OR(CD31="제출불가",CD31="조치완료보고 대체"),CD31,IFERROR(WEEKNUM(CD31),"")))</f>
        <v/>
      </c>
      <c r="CM31" s="75" t="str">
        <f t="shared" ref="CM31" si="346">IF(ISBLANK(CE31),"",IF(OR(CE31="제출불가",CE31="조치완료보고 대체"),CE31,IFERROR(WEEKNUM(CE31),"")))</f>
        <v/>
      </c>
      <c r="CN31" s="2" t="str">
        <f t="shared" ref="CN31" ca="1" si="347">BC31</f>
        <v/>
      </c>
      <c r="CO31" s="2" t="str">
        <f t="shared" ref="CO31" ca="1" si="348">BG31</f>
        <v/>
      </c>
      <c r="CP31" s="2" t="str">
        <f t="shared" ref="CP31" ca="1" si="349">BJ31</f>
        <v/>
      </c>
      <c r="CQ31" s="2" t="str">
        <f t="shared" ref="CQ31" ca="1" si="350">BN31</f>
        <v/>
      </c>
      <c r="CR31" s="52" t="str">
        <f t="shared" ref="CR31" si="351">IF(BD31="","",BD31)</f>
        <v/>
      </c>
      <c r="CS31" s="2"/>
      <c r="CT31" s="2"/>
      <c r="CU31" s="2"/>
      <c r="CV31" s="79" t="s">
        <v>661</v>
      </c>
      <c r="CW31" s="169" t="str">
        <f>IF(COUNTIF($CV:$CV,CV31)&gt;1,"중복","")</f>
        <v>중복</v>
      </c>
      <c r="CX31" s="82" t="s">
        <v>15</v>
      </c>
      <c r="CY31" s="82" t="s">
        <v>277</v>
      </c>
      <c r="CZ31" s="82" t="s">
        <v>156</v>
      </c>
      <c r="DA31" s="82" t="s">
        <v>566</v>
      </c>
      <c r="DB31" s="2" t="s">
        <v>87</v>
      </c>
      <c r="DC31" s="94" t="s">
        <v>87</v>
      </c>
      <c r="DD31" s="82">
        <f t="shared" ref="DD31" si="352">IF(N31="-","-",VALUE(LEFT(N31,3)&amp;RIGHT(N31,2)))</f>
        <v>34150</v>
      </c>
      <c r="DE31" s="82" t="str">
        <f>IF(DD31="-","-",VLOOKUP(DD31,'프로젝트 담당자'!$T$3:$W$80,4,0))</f>
        <v>이문</v>
      </c>
      <c r="DF31" s="82" t="s">
        <v>29</v>
      </c>
      <c r="DG31" s="82" t="str">
        <f>VLOOKUP(DD31,'프로젝트 담당자'!$T$2:$Y$80,6,0)</f>
        <v>이진웅</v>
      </c>
      <c r="DH31" s="82" t="s">
        <v>91</v>
      </c>
      <c r="DI31" s="82" t="s">
        <v>107</v>
      </c>
      <c r="DJ31" s="82" t="s">
        <v>91</v>
      </c>
    </row>
    <row r="32" spans="1:114" ht="86.4" x14ac:dyDescent="0.4">
      <c r="A32" s="218">
        <v>731</v>
      </c>
      <c r="B32" s="7">
        <f t="shared" ref="B32" si="353">IFERROR(DATE(D32,E32,F32),"")</f>
        <v>45082</v>
      </c>
      <c r="C32" s="128">
        <f t="shared" ref="C32" si="354">WEEKNUM(B32)</f>
        <v>23</v>
      </c>
      <c r="D32" s="56">
        <v>2023</v>
      </c>
      <c r="E32" s="56">
        <v>6</v>
      </c>
      <c r="F32" s="56">
        <v>5</v>
      </c>
      <c r="G32" s="71">
        <v>45084</v>
      </c>
      <c r="H32" s="56"/>
      <c r="I32" s="56" t="s">
        <v>12</v>
      </c>
      <c r="J32" s="56" t="s">
        <v>7</v>
      </c>
      <c r="K32" s="82" t="str">
        <f t="shared" ref="K32" si="355">IF(OR(L32="경원선 18량",L32="과천안산선 70량",L32="1호선 40량"),"128R",IF(OR(L32="경인선 80량",L32="과천안산선 180량",L32="분당선 108량"),"448R","기타"))</f>
        <v>448R</v>
      </c>
      <c r="L32" s="82" t="str">
        <f>VLOOKUP('2023년 신조차 고장관리 세부현황'!DD32,'프로젝트 담당자'!$T$2:$Z$80,7,0)</f>
        <v>과천안산선 180량</v>
      </c>
      <c r="M32" s="77">
        <v>1901</v>
      </c>
      <c r="N32" s="82">
        <v>341045</v>
      </c>
      <c r="O32" s="105">
        <f>IF(OR(K32="128R",K32="448R"),VLOOKUP('2023년 신조차 고장관리 세부현황'!DD32,'프로젝트 담당자'!$T$2:$AB$80,9,0),"기타")</f>
        <v>44773</v>
      </c>
      <c r="P32" s="137">
        <f t="shared" si="317"/>
        <v>309</v>
      </c>
      <c r="Q32" s="257" t="s">
        <v>523</v>
      </c>
      <c r="R32" s="92" t="s">
        <v>524</v>
      </c>
      <c r="S32" s="82" t="s">
        <v>188</v>
      </c>
      <c r="T32" s="2" t="s">
        <v>17</v>
      </c>
      <c r="U32" s="2" t="s">
        <v>17</v>
      </c>
      <c r="V32" s="2" t="s">
        <v>162</v>
      </c>
      <c r="W32" s="223" t="s">
        <v>657</v>
      </c>
      <c r="X32" s="91" t="s">
        <v>702</v>
      </c>
      <c r="Y32" s="82"/>
      <c r="Z32" s="82"/>
      <c r="AA32" s="82"/>
      <c r="AB32" s="82"/>
      <c r="AC32" s="82"/>
      <c r="AD32" s="82"/>
      <c r="AE32" s="82" t="s">
        <v>173</v>
      </c>
      <c r="AF32" s="80" t="s">
        <v>718</v>
      </c>
      <c r="AG32" s="56"/>
      <c r="AH32" s="56"/>
      <c r="AI32" s="79" t="s">
        <v>659</v>
      </c>
      <c r="AJ32" s="56"/>
      <c r="AK32" s="56"/>
      <c r="AL32" s="80" t="s">
        <v>173</v>
      </c>
      <c r="AM32" s="56"/>
      <c r="AN32" s="82" t="s">
        <v>558</v>
      </c>
      <c r="AO32" s="69"/>
      <c r="AP32" s="56"/>
      <c r="AQ32" s="11" t="s">
        <v>373</v>
      </c>
      <c r="AR32" s="3" t="s">
        <v>658</v>
      </c>
      <c r="AS32" s="53" t="s">
        <v>10</v>
      </c>
      <c r="AT32" s="7">
        <v>45093</v>
      </c>
      <c r="AU32" s="82" t="s">
        <v>368</v>
      </c>
      <c r="AV32" s="82"/>
      <c r="AW32" s="56"/>
      <c r="AX32" s="56"/>
      <c r="AY32" s="56"/>
      <c r="AZ32" s="10" t="str">
        <f t="shared" ref="AZ32" si="356">IF(OR(AS32="O",AS32="삭제"),"완료","지연")</f>
        <v>완료</v>
      </c>
      <c r="BA32" s="7" t="s">
        <v>128</v>
      </c>
      <c r="BB32" s="2"/>
      <c r="BC32" s="2" t="str">
        <f t="shared" ca="1" si="319"/>
        <v/>
      </c>
      <c r="BD32" s="2"/>
      <c r="BE32" s="7" t="s">
        <v>128</v>
      </c>
      <c r="BF32" s="2"/>
      <c r="BG32" s="2" t="str">
        <f t="shared" ca="1" si="320"/>
        <v/>
      </c>
      <c r="BH32" s="7" t="s">
        <v>128</v>
      </c>
      <c r="BI32" s="2"/>
      <c r="BJ32" s="2" t="str">
        <f t="shared" ca="1" si="321"/>
        <v/>
      </c>
      <c r="BK32" s="82"/>
      <c r="BL32" s="7" t="s">
        <v>128</v>
      </c>
      <c r="BM32" s="2"/>
      <c r="BN32" s="2" t="str">
        <f t="shared" ref="BN32" ca="1" si="357">IF(ISBLANK(BM32),"",IF(OR(BM32&lt;=BL32,BM32="조치완료보고 대체",BM32="제출불가"),"완료",IF(AND(BM32="-",BL32&gt;=TODAY()),"예정",IF(AND(BM32="-",BL32&lt;TODAY()),"지연",IF(BM32&gt;BL32,"완료","")))))</f>
        <v/>
      </c>
      <c r="BO32" s="82"/>
      <c r="BP32" s="10" t="str">
        <f t="shared" ref="BP32" si="358">IF(ISBLANK(BA32),"",BA32)</f>
        <v>코레일 협의중</v>
      </c>
      <c r="BQ32" s="10" t="str">
        <f t="shared" ref="BQ32" si="359">IF(ISBLANK(BE32),"",BE32)</f>
        <v>코레일 협의중</v>
      </c>
      <c r="BR32" s="10" t="str">
        <f t="shared" ref="BR32" si="360">IF(ISBLANK(BH32),"",BH32)</f>
        <v>코레일 협의중</v>
      </c>
      <c r="BS32" s="10" t="str">
        <f t="shared" ref="BS32" si="361">IF(ISBLANK(BL32),"",BL32)</f>
        <v>코레일 협의중</v>
      </c>
      <c r="BT32" s="75" t="str">
        <f t="shared" ref="BT32" si="362">IF(ISBLANK(BP32),"",IFERROR(YEAR(BP32),""))</f>
        <v/>
      </c>
      <c r="BU32" s="75" t="str">
        <f t="shared" ref="BU32" si="363">IF(ISBLANK(BQ32),"",IFERROR(YEAR(BQ32),""))</f>
        <v/>
      </c>
      <c r="BV32" s="75" t="str">
        <f t="shared" ref="BV32" si="364">IF(ISBLANK(BR32),"",IFERROR(YEAR(BR32),""))</f>
        <v/>
      </c>
      <c r="BW32" s="75" t="str">
        <f t="shared" ref="BW32" si="365">IF(ISBLANK(BS32),"",IFERROR(YEAR(BS32),""))</f>
        <v/>
      </c>
      <c r="BX32" s="75" t="str">
        <f t="shared" ref="BX32" si="366">IF(ISBLANK(BP32),"",IF(OR(BP32="제출불가",BP32="조치완료보고 대체"),BP32,IFERROR(WEEKNUM(BP32),"")))</f>
        <v/>
      </c>
      <c r="BY32" s="75" t="str">
        <f t="shared" ref="BY32" si="367">IF(ISBLANK(BQ32),"",IF(OR(BQ32="제출불가",BQ32="조치완료보고 대체"),BQ32,IFERROR(WEEKNUM(BQ32),"")))</f>
        <v/>
      </c>
      <c r="BZ32" s="75" t="str">
        <f t="shared" ref="BZ32" si="368">IF(ISBLANK(BR32),"",IF(OR(BR32="제출불가",BR32="조치완료보고 대체"),BR32,IFERROR(WEEKNUM(BR32),"")))</f>
        <v/>
      </c>
      <c r="CA32" s="75" t="str">
        <f t="shared" ref="CA32" si="369">IF(ISBLANK(BS32),"",IF(OR(BS32="제출불가",BS32="조치완료보고 대체"),BS32,IFERROR(WEEKNUM(BS32),"")))</f>
        <v/>
      </c>
      <c r="CB32" s="10" t="str">
        <f t="shared" ref="CB32" si="370">IF(ISBLANK(BB32),"",BB32)</f>
        <v/>
      </c>
      <c r="CC32" s="10" t="str">
        <f t="shared" ref="CC32" si="371">IF(ISBLANK(BF32),"",BF32)</f>
        <v/>
      </c>
      <c r="CD32" s="10" t="str">
        <f t="shared" ref="CD32" si="372">IF(ISBLANK(BI32),"",BI32)</f>
        <v/>
      </c>
      <c r="CE32" s="10" t="str">
        <f t="shared" ref="CE32" si="373">IF(ISBLANK(BM32),"",BM32)</f>
        <v/>
      </c>
      <c r="CF32" s="75" t="str">
        <f t="shared" ref="CF32" si="374">IF(ISBLANK(CB32),"",IFERROR(YEAR(CB32),""))</f>
        <v/>
      </c>
      <c r="CG32" s="75" t="str">
        <f t="shared" ref="CG32" si="375">IF(ISBLANK(CC32),"",IFERROR(YEAR(CC32),""))</f>
        <v/>
      </c>
      <c r="CH32" s="75" t="str">
        <f t="shared" ref="CH32" si="376">IF(ISBLANK(CD32),"",IFERROR(YEAR(CD32),""))</f>
        <v/>
      </c>
      <c r="CI32" s="75" t="str">
        <f t="shared" ref="CI32" si="377">IF(ISBLANK(CE32),"",IFERROR(YEAR(CE32),""))</f>
        <v/>
      </c>
      <c r="CJ32" s="75" t="str">
        <f t="shared" ref="CJ32" si="378">IF(ISBLANK(CB32),"",IF(OR(CB32="제출불가",CB32="조치완료보고 대체"),CB32,IFERROR(WEEKNUM(CB32),"")))</f>
        <v/>
      </c>
      <c r="CK32" s="75" t="str">
        <f t="shared" ref="CK32" si="379">IF(ISBLANK(CC32),"",IF(OR(CC32="제출불가",CC32="조치완료보고 대체"),CC32,IFERROR(WEEKNUM(CC32),"")))</f>
        <v/>
      </c>
      <c r="CL32" s="75" t="str">
        <f t="shared" ref="CL32" si="380">IF(ISBLANK(CD32),"",IF(OR(CD32="제출불가",CD32="조치완료보고 대체"),CD32,IFERROR(WEEKNUM(CD32),"")))</f>
        <v/>
      </c>
      <c r="CM32" s="75" t="str">
        <f t="shared" ref="CM32" si="381">IF(ISBLANK(CE32),"",IF(OR(CE32="제출불가",CE32="조치완료보고 대체"),CE32,IFERROR(WEEKNUM(CE32),"")))</f>
        <v/>
      </c>
      <c r="CN32" s="2" t="str">
        <f t="shared" ref="CN32" ca="1" si="382">BC32</f>
        <v/>
      </c>
      <c r="CO32" s="2" t="str">
        <f t="shared" ref="CO32" ca="1" si="383">BG32</f>
        <v/>
      </c>
      <c r="CP32" s="2" t="str">
        <f t="shared" ref="CP32" ca="1" si="384">BJ32</f>
        <v/>
      </c>
      <c r="CQ32" s="2" t="str">
        <f t="shared" ref="CQ32" ca="1" si="385">BN32</f>
        <v/>
      </c>
      <c r="CR32" s="52" t="str">
        <f t="shared" ref="CR32" si="386">IF(BD32="","",BD32)</f>
        <v/>
      </c>
      <c r="CS32" s="2"/>
      <c r="CT32" s="2"/>
      <c r="CU32" s="2"/>
      <c r="CV32" s="79" t="s">
        <v>661</v>
      </c>
      <c r="CW32" s="169" t="str">
        <f>IF(COUNTIF($CV:$CV,CV32)&gt;1,"중복","")</f>
        <v>중복</v>
      </c>
      <c r="CX32" s="82" t="s">
        <v>15</v>
      </c>
      <c r="CY32" s="82" t="s">
        <v>277</v>
      </c>
      <c r="CZ32" s="82" t="s">
        <v>156</v>
      </c>
      <c r="DA32" s="82" t="s">
        <v>566</v>
      </c>
      <c r="DB32" s="2" t="s">
        <v>557</v>
      </c>
      <c r="DC32" s="94" t="s">
        <v>87</v>
      </c>
      <c r="DD32" s="82">
        <f t="shared" ref="DD32" si="387">IF(N32="-","-",VALUE(LEFT(N32,3)&amp;RIGHT(N32,2)))</f>
        <v>34145</v>
      </c>
      <c r="DE32" s="82" t="str">
        <f>IF(DD32="-","-",VLOOKUP(DD32,'프로젝트 담당자'!$T$3:$W$80,4,0))</f>
        <v>이문</v>
      </c>
      <c r="DF32" s="82" t="s">
        <v>29</v>
      </c>
      <c r="DG32" s="82" t="str">
        <f>VLOOKUP(DD32,'프로젝트 담당자'!$T$2:$Y$80,6,0)</f>
        <v>이진웅</v>
      </c>
      <c r="DH32" s="82" t="s">
        <v>91</v>
      </c>
      <c r="DI32" s="2" t="s">
        <v>107</v>
      </c>
      <c r="DJ32" s="82" t="s">
        <v>91</v>
      </c>
    </row>
    <row r="33" spans="1:114" ht="24" x14ac:dyDescent="0.4">
      <c r="A33" s="218">
        <v>798</v>
      </c>
      <c r="B33" s="7">
        <f t="shared" ref="B33:B35" si="388">IFERROR(DATE(D33,E33,F33),"")</f>
        <v>45103</v>
      </c>
      <c r="C33" s="128">
        <f t="shared" ref="C33:C35" si="389">WEEKNUM(B33)</f>
        <v>26</v>
      </c>
      <c r="D33" s="56">
        <v>2023</v>
      </c>
      <c r="E33" s="56">
        <v>6</v>
      </c>
      <c r="F33" s="56">
        <v>26</v>
      </c>
      <c r="G33" s="71">
        <v>45104</v>
      </c>
      <c r="H33" s="56"/>
      <c r="I33" s="56" t="s">
        <v>449</v>
      </c>
      <c r="J33" s="56" t="s">
        <v>476</v>
      </c>
      <c r="K33" s="82" t="str">
        <f t="shared" ref="K33:K35" si="390">IF(OR(L33="경원선 18량",L33="과천안산선 70량",L33="1호선 40량"),"128R",IF(OR(L33="경인선 80량",L33="과천안산선 180량",L33="분당선 108량"),"448R","기타"))</f>
        <v>448R</v>
      </c>
      <c r="L33" s="82" t="str">
        <f>VLOOKUP('2023년 신조차 고장관리 세부현황'!DD33,'프로젝트 담당자'!$T$2:$Z$80,7,0)</f>
        <v>경인선 80량</v>
      </c>
      <c r="M33" s="81" t="s">
        <v>5</v>
      </c>
      <c r="N33" s="82">
        <v>312912</v>
      </c>
      <c r="O33" s="105">
        <f>IF(OR(K33="128R",K33="448R"),VLOOKUP('2023년 신조차 고장관리 세부현황'!DD33,'프로젝트 담당자'!$T$2:$AB$80,9,0),"기타")</f>
        <v>44592</v>
      </c>
      <c r="P33" s="137">
        <f t="shared" ref="P33" si="391">IF(OR(V33="삭제",O33="기타"),"",IF(ISBLANK(O33),"",B33-O33))</f>
        <v>511</v>
      </c>
      <c r="Q33" s="89" t="s">
        <v>553</v>
      </c>
      <c r="R33" s="89" t="s">
        <v>554</v>
      </c>
      <c r="S33" s="2"/>
      <c r="T33" s="2" t="s">
        <v>17</v>
      </c>
      <c r="U33" s="2" t="s">
        <v>17</v>
      </c>
      <c r="V33" s="2" t="s">
        <v>162</v>
      </c>
      <c r="W33" s="210" t="s">
        <v>26</v>
      </c>
      <c r="X33" s="91" t="s">
        <v>703</v>
      </c>
      <c r="Y33" s="2"/>
      <c r="Z33" s="2"/>
      <c r="AA33" s="2"/>
      <c r="AB33" s="2"/>
      <c r="AC33" s="2"/>
      <c r="AD33" s="2"/>
      <c r="AE33" s="2"/>
      <c r="AF33" s="2"/>
      <c r="AG33" s="1"/>
      <c r="AH33" s="1"/>
      <c r="AI33" s="1"/>
      <c r="AJ33" s="1"/>
      <c r="AK33" s="1"/>
      <c r="AL33" s="1" t="s">
        <v>265</v>
      </c>
      <c r="AM33" s="1"/>
      <c r="AN33" s="1"/>
      <c r="AO33" s="69"/>
      <c r="AP33" s="1"/>
      <c r="AQ33" s="82" t="s">
        <v>377</v>
      </c>
      <c r="AR33" s="1"/>
      <c r="AS33" s="82" t="s">
        <v>5</v>
      </c>
      <c r="AT33" s="82" t="s">
        <v>5</v>
      </c>
      <c r="AU33" s="1"/>
      <c r="AV33" s="1" t="s">
        <v>724</v>
      </c>
      <c r="AW33" s="56" t="s">
        <v>698</v>
      </c>
      <c r="AX33" s="56"/>
      <c r="AY33" s="1"/>
      <c r="AZ33" s="7" t="str">
        <f t="shared" ref="AZ33:AZ37" si="392">IF(OR(AS33="O",AS33="삭제"),"완료","지연")</f>
        <v>지연</v>
      </c>
      <c r="BA33" s="10">
        <v>45111</v>
      </c>
      <c r="BB33" s="82" t="s">
        <v>5</v>
      </c>
      <c r="BC33" s="82" t="str">
        <f t="shared" ref="BC33:BC35" ca="1" si="393">IF(ISBLANK(BB33),"",IF(OR(BB33&lt;=BA33,BB33="조치완료보고 대체",BB33="제출불가"),"완료",IF(AND(BB33="-",BA33&gt;=TODAY()),"예정",IF(AND(BB33="-",BA33&lt;TODAY()),"지연",IF(BB33&gt;BA33,"완료","")))))</f>
        <v>지연</v>
      </c>
      <c r="BD33" s="7" t="s">
        <v>459</v>
      </c>
      <c r="BE33" s="10">
        <v>45117</v>
      </c>
      <c r="BF33" s="82" t="s">
        <v>5</v>
      </c>
      <c r="BG33" s="82" t="str">
        <f t="shared" ref="BG33:BG35" ca="1" si="394">IF(ISBLANK(BF33),"",IF(OR(BF33&lt;=BE33,BF33="조치완료보고 대체",BF33="제출불가"),"완료",IF(AND(BF33="-",BE33&gt;=TODAY()),"예정",IF(AND(BF33="-",BE33&lt;TODAY()),"지연",IF(BF33&gt;BE33,"완료","")))))</f>
        <v>지연</v>
      </c>
      <c r="BH33" s="10">
        <v>45123</v>
      </c>
      <c r="BI33" s="82" t="s">
        <v>5</v>
      </c>
      <c r="BJ33" s="82" t="str">
        <f t="shared" ref="BJ33:BJ35" ca="1" si="395">IF(ISBLANK(BI33),"",IF(OR(BI33&lt;=BH33,BI33="조치완료보고 대체",BI33="제출불가"),"완료",IF(AND(BI33="-",BH33&gt;=TODAY()),"예정",IF(AND(BI33="-",BH33&lt;TODAY()),"지연",IF(BI33&gt;BH33,"완료","")))))</f>
        <v>지연</v>
      </c>
      <c r="BK33" s="2"/>
      <c r="BL33" s="10">
        <v>45156</v>
      </c>
      <c r="BM33" s="82" t="s">
        <v>5</v>
      </c>
      <c r="BN33" s="82" t="str">
        <f t="shared" ref="BN33:BN35" ca="1" si="396">IF(ISBLANK(BM33),"",IF(OR(BM33&lt;=BL33,BM33="조치완료보고 대체",BM33="제출불가"),"완료",IF(AND(BM33="-",BL33&gt;=TODAY()),"예정",IF(AND(BM33="-",BL33&lt;TODAY()),"지연",IF(BM33&gt;BL33,"완료","")))))</f>
        <v>지연</v>
      </c>
      <c r="BO33" s="2"/>
      <c r="BP33" s="7">
        <f t="shared" ref="BP33:BP35" si="397">IF(ISBLANK(BA33),"",BA33)</f>
        <v>45111</v>
      </c>
      <c r="BQ33" s="7">
        <f t="shared" ref="BQ33:BQ35" si="398">IF(ISBLANK(BE33),"",BE33)</f>
        <v>45117</v>
      </c>
      <c r="BR33" s="7">
        <f t="shared" ref="BR33:BR35" si="399">IF(ISBLANK(BH33),"",BH33)</f>
        <v>45123</v>
      </c>
      <c r="BS33" s="7">
        <f t="shared" ref="BS33:BS35" si="400">IF(ISBLANK(BL33),"",BL33)</f>
        <v>45156</v>
      </c>
      <c r="BT33" s="128">
        <f t="shared" ref="BT33:BT35" si="401">IF(ISBLANK(BP33),"",IFERROR(YEAR(BP33),""))</f>
        <v>2023</v>
      </c>
      <c r="BU33" s="128">
        <f t="shared" ref="BU33:BU35" si="402">IF(ISBLANK(BQ33),"",IFERROR(YEAR(BQ33),""))</f>
        <v>2023</v>
      </c>
      <c r="BV33" s="128">
        <f t="shared" ref="BV33:BV35" si="403">IF(ISBLANK(BR33),"",IFERROR(YEAR(BR33),""))</f>
        <v>2023</v>
      </c>
      <c r="BW33" s="128">
        <f t="shared" ref="BW33:BW35" si="404">IF(ISBLANK(BS33),"",IFERROR(YEAR(BS33),""))</f>
        <v>2023</v>
      </c>
      <c r="BX33" s="128">
        <f t="shared" ref="BX33:BX35" si="405">IF(ISBLANK(BP33),"",IF(OR(BP33="제출불가",BP33="조치완료보고 대체"),BP33,IFERROR(WEEKNUM(BP33),"")))</f>
        <v>27</v>
      </c>
      <c r="BY33" s="128">
        <f t="shared" ref="BY33:BY35" si="406">IF(ISBLANK(BQ33),"",IF(OR(BQ33="제출불가",BQ33="조치완료보고 대체"),BQ33,IFERROR(WEEKNUM(BQ33),"")))</f>
        <v>28</v>
      </c>
      <c r="BZ33" s="128">
        <f t="shared" ref="BZ33:BZ35" si="407">IF(ISBLANK(BR33),"",IF(OR(BR33="제출불가",BR33="조치완료보고 대체"),BR33,IFERROR(WEEKNUM(BR33),"")))</f>
        <v>29</v>
      </c>
      <c r="CA33" s="128">
        <f t="shared" ref="CA33:CA35" si="408">IF(ISBLANK(BS33),"",IF(OR(BS33="제출불가",BS33="조치완료보고 대체"),BS33,IFERROR(WEEKNUM(BS33),"")))</f>
        <v>33</v>
      </c>
      <c r="CB33" s="7" t="str">
        <f t="shared" ref="CB33:CB35" si="409">IF(ISBLANK(BB33),"",BB33)</f>
        <v>-</v>
      </c>
      <c r="CC33" s="7" t="str">
        <f t="shared" ref="CC33:CC35" si="410">IF(ISBLANK(BF33),"",BF33)</f>
        <v>-</v>
      </c>
      <c r="CD33" s="7" t="str">
        <f t="shared" ref="CD33:CD35" si="411">IF(ISBLANK(BI33),"",BI33)</f>
        <v>-</v>
      </c>
      <c r="CE33" s="7" t="str">
        <f t="shared" ref="CE33:CE35" si="412">IF(ISBLANK(BM33),"",BM33)</f>
        <v>-</v>
      </c>
      <c r="CF33" s="128" t="str">
        <f t="shared" ref="CF33:CF35" si="413">IF(ISBLANK(CB33),"",IFERROR(YEAR(CB33),""))</f>
        <v/>
      </c>
      <c r="CG33" s="128" t="str">
        <f t="shared" ref="CG33:CG35" si="414">IF(ISBLANK(CC33),"",IFERROR(YEAR(CC33),""))</f>
        <v/>
      </c>
      <c r="CH33" s="128" t="str">
        <f t="shared" ref="CH33:CH35" si="415">IF(ISBLANK(CD33),"",IFERROR(YEAR(CD33),""))</f>
        <v/>
      </c>
      <c r="CI33" s="128" t="str">
        <f t="shared" ref="CI33:CI35" si="416">IF(ISBLANK(CE33),"",IFERROR(YEAR(CE33),""))</f>
        <v/>
      </c>
      <c r="CJ33" s="128" t="str">
        <f t="shared" ref="CJ33:CJ35" si="417">IF(ISBLANK(CB33),"",IF(OR(CB33="제출불가",CB33="조치완료보고 대체"),CB33,IFERROR(WEEKNUM(CB33),"")))</f>
        <v/>
      </c>
      <c r="CK33" s="128" t="str">
        <f t="shared" ref="CK33:CK35" si="418">IF(ISBLANK(CC33),"",IF(OR(CC33="제출불가",CC33="조치완료보고 대체"),CC33,IFERROR(WEEKNUM(CC33),"")))</f>
        <v/>
      </c>
      <c r="CL33" s="128" t="str">
        <f t="shared" ref="CL33:CL35" si="419">IF(ISBLANK(CD33),"",IF(OR(CD33="제출불가",CD33="조치완료보고 대체"),CD33,IFERROR(WEEKNUM(CD33),"")))</f>
        <v/>
      </c>
      <c r="CM33" s="128" t="str">
        <f t="shared" ref="CM33:CM35" si="420">IF(ISBLANK(CE33),"",IF(OR(CE33="제출불가",CE33="조치완료보고 대체"),CE33,IFERROR(WEEKNUM(CE33),"")))</f>
        <v/>
      </c>
      <c r="CN33" s="82" t="str">
        <f t="shared" ref="CN33:CN35" ca="1" si="421">BC33</f>
        <v>지연</v>
      </c>
      <c r="CO33" s="82" t="str">
        <f t="shared" ref="CO33:CO35" ca="1" si="422">BG33</f>
        <v>지연</v>
      </c>
      <c r="CP33" s="82" t="str">
        <f t="shared" ref="CP33:CP35" ca="1" si="423">BJ33</f>
        <v>지연</v>
      </c>
      <c r="CQ33" s="82" t="str">
        <f t="shared" ref="CQ33:CQ35" ca="1" si="424">BN33</f>
        <v>지연</v>
      </c>
      <c r="CR33" s="82" t="str">
        <f t="shared" ref="CR33:CR35" si="425">IF(BD33="","",BD33)</f>
        <v>지연</v>
      </c>
      <c r="CS33" s="82"/>
      <c r="CT33" s="82"/>
      <c r="CU33" s="82"/>
      <c r="CV33" s="1"/>
      <c r="CW33" s="169" t="str">
        <f>IF(COUNTIF($CV:$CV,CV33)&gt;1,"중복","")</f>
        <v/>
      </c>
      <c r="CX33" s="2"/>
      <c r="CY33" s="82" t="s">
        <v>670</v>
      </c>
      <c r="CZ33" s="2"/>
      <c r="DA33" s="2"/>
      <c r="DB33" s="2" t="s">
        <v>87</v>
      </c>
      <c r="DC33" s="2" t="s">
        <v>87</v>
      </c>
      <c r="DD33" s="82">
        <f t="shared" ref="DD33:DD35" si="426">IF(N33="-","-",VALUE(LEFT(N33,3)&amp;RIGHT(N33,2)))</f>
        <v>31212</v>
      </c>
      <c r="DE33" s="82" t="str">
        <f>IF(DD33="-","-",VLOOKUP(DD33,'프로젝트 담당자'!$T$3:$W$80,4,0))</f>
        <v>구로</v>
      </c>
      <c r="DF33" s="82" t="s">
        <v>29</v>
      </c>
      <c r="DG33" s="82" t="str">
        <f>VLOOKUP(DD33,'프로젝트 담당자'!$T$2:$Y$80,6,0)</f>
        <v>최우성</v>
      </c>
      <c r="DH33" s="2" t="s">
        <v>91</v>
      </c>
      <c r="DI33" s="2" t="s">
        <v>107</v>
      </c>
      <c r="DJ33" s="2" t="s">
        <v>91</v>
      </c>
    </row>
    <row r="34" spans="1:114" ht="52.8" x14ac:dyDescent="0.4">
      <c r="A34" s="218">
        <v>800</v>
      </c>
      <c r="B34" s="7">
        <f t="shared" si="388"/>
        <v>45102</v>
      </c>
      <c r="C34" s="128">
        <f t="shared" si="389"/>
        <v>26</v>
      </c>
      <c r="D34" s="56">
        <v>2023</v>
      </c>
      <c r="E34" s="56">
        <v>6</v>
      </c>
      <c r="F34" s="56">
        <v>25</v>
      </c>
      <c r="G34" s="71">
        <v>45104</v>
      </c>
      <c r="H34" s="56"/>
      <c r="I34" s="56" t="s">
        <v>12</v>
      </c>
      <c r="J34" s="56" t="s">
        <v>7</v>
      </c>
      <c r="K34" s="82" t="str">
        <f t="shared" si="390"/>
        <v>448R</v>
      </c>
      <c r="L34" s="82" t="str">
        <f>VLOOKUP('2023년 신조차 고장관리 세부현황'!DD34,'프로젝트 담당자'!$T$2:$Z$80,7,0)</f>
        <v>과천안산선 180량</v>
      </c>
      <c r="M34" s="77">
        <v>4685</v>
      </c>
      <c r="N34" s="82">
        <v>341046</v>
      </c>
      <c r="O34" s="105">
        <f>IF(OR(K34="128R",K34="448R"),VLOOKUP('2023년 신조차 고장관리 세부현황'!DD34,'프로젝트 담당자'!$T$2:$AB$80,9,0),"기타")</f>
        <v>44804</v>
      </c>
      <c r="P34" s="137">
        <f t="shared" ref="P34:P37" si="427">IF(OR(V34="삭제",O34="기타"),"",IF(ISBLANK(O34),"",B34-O34))</f>
        <v>298</v>
      </c>
      <c r="Q34" s="257" t="s">
        <v>555</v>
      </c>
      <c r="R34" s="92" t="s">
        <v>556</v>
      </c>
      <c r="S34" s="2" t="s">
        <v>188</v>
      </c>
      <c r="T34" s="2" t="s">
        <v>17</v>
      </c>
      <c r="U34" s="2" t="s">
        <v>17</v>
      </c>
      <c r="V34" s="2" t="s">
        <v>162</v>
      </c>
      <c r="W34" s="210" t="s">
        <v>26</v>
      </c>
      <c r="X34" s="91" t="s">
        <v>695</v>
      </c>
      <c r="Y34" s="2"/>
      <c r="Z34" s="2"/>
      <c r="AA34" s="2"/>
      <c r="AB34" s="2"/>
      <c r="AC34" s="2"/>
      <c r="AD34" s="2"/>
      <c r="AE34" s="82" t="s">
        <v>173</v>
      </c>
      <c r="AF34" s="82" t="s">
        <v>718</v>
      </c>
      <c r="AG34" s="1"/>
      <c r="AH34" s="1"/>
      <c r="AI34" s="1"/>
      <c r="AJ34" s="1"/>
      <c r="AK34" s="1"/>
      <c r="AL34" s="1" t="s">
        <v>173</v>
      </c>
      <c r="AM34" s="1"/>
      <c r="AN34" s="56"/>
      <c r="AO34" s="69"/>
      <c r="AP34" s="1"/>
      <c r="AQ34" s="82" t="s">
        <v>373</v>
      </c>
      <c r="AR34" s="1"/>
      <c r="AS34" s="53" t="s">
        <v>10</v>
      </c>
      <c r="AT34" s="7">
        <v>45154</v>
      </c>
      <c r="AU34" s="82" t="s">
        <v>423</v>
      </c>
      <c r="AV34" s="82"/>
      <c r="AW34" s="1"/>
      <c r="AX34" s="1"/>
      <c r="AY34" s="1"/>
      <c r="AZ34" s="7" t="str">
        <f t="shared" si="392"/>
        <v>완료</v>
      </c>
      <c r="BA34" s="10" t="s">
        <v>128</v>
      </c>
      <c r="BB34" s="82"/>
      <c r="BC34" s="82" t="str">
        <f t="shared" ca="1" si="393"/>
        <v/>
      </c>
      <c r="BD34" s="7"/>
      <c r="BE34" s="10" t="s">
        <v>128</v>
      </c>
      <c r="BF34" s="82"/>
      <c r="BG34" s="82" t="str">
        <f t="shared" ca="1" si="394"/>
        <v/>
      </c>
      <c r="BH34" s="10" t="s">
        <v>128</v>
      </c>
      <c r="BI34" s="82"/>
      <c r="BJ34" s="82" t="str">
        <f t="shared" ca="1" si="395"/>
        <v/>
      </c>
      <c r="BK34" s="2"/>
      <c r="BL34" s="10" t="s">
        <v>128</v>
      </c>
      <c r="BM34" s="82"/>
      <c r="BN34" s="82" t="str">
        <f t="shared" ca="1" si="396"/>
        <v/>
      </c>
      <c r="BO34" s="2"/>
      <c r="BP34" s="7" t="str">
        <f t="shared" si="397"/>
        <v>코레일 협의중</v>
      </c>
      <c r="BQ34" s="7" t="str">
        <f t="shared" si="398"/>
        <v>코레일 협의중</v>
      </c>
      <c r="BR34" s="7" t="str">
        <f t="shared" si="399"/>
        <v>코레일 협의중</v>
      </c>
      <c r="BS34" s="7" t="str">
        <f t="shared" si="400"/>
        <v>코레일 협의중</v>
      </c>
      <c r="BT34" s="128" t="str">
        <f t="shared" si="401"/>
        <v/>
      </c>
      <c r="BU34" s="128" t="str">
        <f t="shared" si="402"/>
        <v/>
      </c>
      <c r="BV34" s="128" t="str">
        <f t="shared" si="403"/>
        <v/>
      </c>
      <c r="BW34" s="128" t="str">
        <f t="shared" si="404"/>
        <v/>
      </c>
      <c r="BX34" s="128" t="str">
        <f t="shared" si="405"/>
        <v/>
      </c>
      <c r="BY34" s="128" t="str">
        <f t="shared" si="406"/>
        <v/>
      </c>
      <c r="BZ34" s="128" t="str">
        <f t="shared" si="407"/>
        <v/>
      </c>
      <c r="CA34" s="128" t="str">
        <f t="shared" si="408"/>
        <v/>
      </c>
      <c r="CB34" s="7" t="str">
        <f t="shared" si="409"/>
        <v/>
      </c>
      <c r="CC34" s="7" t="str">
        <f t="shared" si="410"/>
        <v/>
      </c>
      <c r="CD34" s="7" t="str">
        <f t="shared" si="411"/>
        <v/>
      </c>
      <c r="CE34" s="7" t="str">
        <f t="shared" si="412"/>
        <v/>
      </c>
      <c r="CF34" s="128" t="str">
        <f t="shared" si="413"/>
        <v/>
      </c>
      <c r="CG34" s="128" t="str">
        <f t="shared" si="414"/>
        <v/>
      </c>
      <c r="CH34" s="128" t="str">
        <f t="shared" si="415"/>
        <v/>
      </c>
      <c r="CI34" s="128" t="str">
        <f t="shared" si="416"/>
        <v/>
      </c>
      <c r="CJ34" s="128" t="str">
        <f t="shared" si="417"/>
        <v/>
      </c>
      <c r="CK34" s="128" t="str">
        <f t="shared" si="418"/>
        <v/>
      </c>
      <c r="CL34" s="128" t="str">
        <f t="shared" si="419"/>
        <v/>
      </c>
      <c r="CM34" s="128" t="str">
        <f t="shared" si="420"/>
        <v/>
      </c>
      <c r="CN34" s="82" t="str">
        <f t="shared" ca="1" si="421"/>
        <v/>
      </c>
      <c r="CO34" s="82" t="str">
        <f t="shared" ca="1" si="422"/>
        <v/>
      </c>
      <c r="CP34" s="82" t="str">
        <f t="shared" ca="1" si="423"/>
        <v/>
      </c>
      <c r="CQ34" s="82" t="str">
        <f t="shared" ca="1" si="424"/>
        <v/>
      </c>
      <c r="CR34" s="82" t="str">
        <f t="shared" si="425"/>
        <v/>
      </c>
      <c r="CS34" s="82"/>
      <c r="CT34" s="82"/>
      <c r="CU34" s="82"/>
      <c r="CV34" s="1" t="s">
        <v>662</v>
      </c>
      <c r="CW34" s="169" t="str">
        <f>IF(COUNTIF($CV:$CV,CV34)&gt;1,"중복","")</f>
        <v>중복</v>
      </c>
      <c r="CX34" s="2" t="s">
        <v>188</v>
      </c>
      <c r="CY34" s="2" t="s">
        <v>156</v>
      </c>
      <c r="CZ34" s="2" t="s">
        <v>156</v>
      </c>
      <c r="DA34" s="2"/>
      <c r="DB34" s="2" t="s">
        <v>87</v>
      </c>
      <c r="DC34" s="2" t="s">
        <v>87</v>
      </c>
      <c r="DD34" s="82">
        <f t="shared" si="426"/>
        <v>34146</v>
      </c>
      <c r="DE34" s="82" t="str">
        <f>IF(DD34="-","-",VLOOKUP(DD34,'프로젝트 담당자'!$T$3:$W$80,4,0))</f>
        <v>시흥</v>
      </c>
      <c r="DF34" s="82" t="s">
        <v>29</v>
      </c>
      <c r="DG34" s="82" t="str">
        <f>VLOOKUP(DD34,'프로젝트 담당자'!$T$2:$Y$80,6,0)</f>
        <v>이진웅</v>
      </c>
      <c r="DH34" s="2" t="s">
        <v>91</v>
      </c>
      <c r="DI34" s="2" t="s">
        <v>107</v>
      </c>
      <c r="DJ34" s="2" t="s">
        <v>91</v>
      </c>
    </row>
    <row r="35" spans="1:114" ht="73.2" x14ac:dyDescent="0.4">
      <c r="A35" s="218">
        <v>814</v>
      </c>
      <c r="B35" s="7">
        <f t="shared" si="388"/>
        <v>45106</v>
      </c>
      <c r="C35" s="128">
        <f t="shared" si="389"/>
        <v>26</v>
      </c>
      <c r="D35" s="56">
        <v>2023</v>
      </c>
      <c r="E35" s="56">
        <v>6</v>
      </c>
      <c r="F35" s="56">
        <v>29</v>
      </c>
      <c r="G35" s="7">
        <v>45107</v>
      </c>
      <c r="H35" s="56"/>
      <c r="I35" s="56" t="s">
        <v>12</v>
      </c>
      <c r="J35" s="82" t="s">
        <v>3</v>
      </c>
      <c r="K35" s="82" t="str">
        <f t="shared" si="390"/>
        <v>448R</v>
      </c>
      <c r="L35" s="82" t="str">
        <f>VLOOKUP('2023년 신조차 고장관리 세부현황'!DD35,'프로젝트 담당자'!$T$2:$Z$80,7,0)</f>
        <v>과천안산선 180량</v>
      </c>
      <c r="M35" s="77">
        <v>4617</v>
      </c>
      <c r="N35" s="82">
        <v>341946</v>
      </c>
      <c r="O35" s="105">
        <f>IF(OR(K35="128R",K35="448R"),VLOOKUP('2023년 신조차 고장관리 세부현황'!DD35,'프로젝트 담당자'!$T$2:$AB$80,9,0),"기타")</f>
        <v>44804</v>
      </c>
      <c r="P35" s="137">
        <f t="shared" si="427"/>
        <v>302</v>
      </c>
      <c r="Q35" s="257" t="s">
        <v>559</v>
      </c>
      <c r="R35" s="335" t="s">
        <v>560</v>
      </c>
      <c r="S35" s="82" t="s">
        <v>188</v>
      </c>
      <c r="T35" s="2" t="s">
        <v>17</v>
      </c>
      <c r="U35" s="2" t="s">
        <v>17</v>
      </c>
      <c r="V35" s="2" t="s">
        <v>162</v>
      </c>
      <c r="W35" s="210" t="s">
        <v>26</v>
      </c>
      <c r="X35" s="91" t="s">
        <v>704</v>
      </c>
      <c r="Y35" s="82"/>
      <c r="Z35" s="82"/>
      <c r="AA35" s="82"/>
      <c r="AB35" s="82"/>
      <c r="AC35" s="82"/>
      <c r="AD35" s="82"/>
      <c r="AE35" s="82" t="s">
        <v>173</v>
      </c>
      <c r="AF35" s="82" t="s">
        <v>718</v>
      </c>
      <c r="AG35" s="56"/>
      <c r="AH35" s="56"/>
      <c r="AI35" s="56"/>
      <c r="AJ35" s="56"/>
      <c r="AK35" s="56"/>
      <c r="AL35" s="1" t="s">
        <v>173</v>
      </c>
      <c r="AM35" s="56"/>
      <c r="AN35" s="56"/>
      <c r="AO35" s="56"/>
      <c r="AP35" s="56"/>
      <c r="AQ35" s="82" t="s">
        <v>373</v>
      </c>
      <c r="AR35" s="56"/>
      <c r="AS35" s="53" t="s">
        <v>10</v>
      </c>
      <c r="AT35" s="7">
        <v>45154</v>
      </c>
      <c r="AU35" s="82" t="s">
        <v>423</v>
      </c>
      <c r="AV35" s="82"/>
      <c r="AW35" s="56"/>
      <c r="AX35" s="56"/>
      <c r="AY35" s="56"/>
      <c r="AZ35" s="7" t="str">
        <f t="shared" si="392"/>
        <v>완료</v>
      </c>
      <c r="BA35" s="10" t="s">
        <v>128</v>
      </c>
      <c r="BB35" s="82"/>
      <c r="BC35" s="82" t="str">
        <f t="shared" ca="1" si="393"/>
        <v/>
      </c>
      <c r="BD35" s="7"/>
      <c r="BE35" s="10" t="s">
        <v>128</v>
      </c>
      <c r="BF35" s="82"/>
      <c r="BG35" s="82" t="str">
        <f t="shared" ca="1" si="394"/>
        <v/>
      </c>
      <c r="BH35" s="10" t="s">
        <v>128</v>
      </c>
      <c r="BI35" s="82"/>
      <c r="BJ35" s="82" t="str">
        <f t="shared" ca="1" si="395"/>
        <v/>
      </c>
      <c r="BK35" s="82"/>
      <c r="BL35" s="10" t="s">
        <v>128</v>
      </c>
      <c r="BM35" s="82"/>
      <c r="BN35" s="82" t="str">
        <f t="shared" ca="1" si="396"/>
        <v/>
      </c>
      <c r="BO35" s="82"/>
      <c r="BP35" s="7" t="str">
        <f t="shared" si="397"/>
        <v>코레일 협의중</v>
      </c>
      <c r="BQ35" s="7" t="str">
        <f t="shared" si="398"/>
        <v>코레일 협의중</v>
      </c>
      <c r="BR35" s="7" t="str">
        <f t="shared" si="399"/>
        <v>코레일 협의중</v>
      </c>
      <c r="BS35" s="7" t="str">
        <f t="shared" si="400"/>
        <v>코레일 협의중</v>
      </c>
      <c r="BT35" s="128" t="str">
        <f t="shared" si="401"/>
        <v/>
      </c>
      <c r="BU35" s="128" t="str">
        <f t="shared" si="402"/>
        <v/>
      </c>
      <c r="BV35" s="128" t="str">
        <f t="shared" si="403"/>
        <v/>
      </c>
      <c r="BW35" s="128" t="str">
        <f t="shared" si="404"/>
        <v/>
      </c>
      <c r="BX35" s="128" t="str">
        <f t="shared" si="405"/>
        <v/>
      </c>
      <c r="BY35" s="128" t="str">
        <f t="shared" si="406"/>
        <v/>
      </c>
      <c r="BZ35" s="128" t="str">
        <f t="shared" si="407"/>
        <v/>
      </c>
      <c r="CA35" s="128" t="str">
        <f t="shared" si="408"/>
        <v/>
      </c>
      <c r="CB35" s="7" t="str">
        <f t="shared" si="409"/>
        <v/>
      </c>
      <c r="CC35" s="7" t="str">
        <f t="shared" si="410"/>
        <v/>
      </c>
      <c r="CD35" s="7" t="str">
        <f t="shared" si="411"/>
        <v/>
      </c>
      <c r="CE35" s="7" t="str">
        <f t="shared" si="412"/>
        <v/>
      </c>
      <c r="CF35" s="128" t="str">
        <f t="shared" si="413"/>
        <v/>
      </c>
      <c r="CG35" s="128" t="str">
        <f t="shared" si="414"/>
        <v/>
      </c>
      <c r="CH35" s="128" t="str">
        <f t="shared" si="415"/>
        <v/>
      </c>
      <c r="CI35" s="128" t="str">
        <f t="shared" si="416"/>
        <v/>
      </c>
      <c r="CJ35" s="128" t="str">
        <f t="shared" si="417"/>
        <v/>
      </c>
      <c r="CK35" s="128" t="str">
        <f t="shared" si="418"/>
        <v/>
      </c>
      <c r="CL35" s="128" t="str">
        <f t="shared" si="419"/>
        <v/>
      </c>
      <c r="CM35" s="128" t="str">
        <f t="shared" si="420"/>
        <v/>
      </c>
      <c r="CN35" s="82" t="str">
        <f t="shared" ca="1" si="421"/>
        <v/>
      </c>
      <c r="CO35" s="82" t="str">
        <f t="shared" ca="1" si="422"/>
        <v/>
      </c>
      <c r="CP35" s="82" t="str">
        <f t="shared" ca="1" si="423"/>
        <v/>
      </c>
      <c r="CQ35" s="82" t="str">
        <f t="shared" ca="1" si="424"/>
        <v/>
      </c>
      <c r="CR35" s="82" t="str">
        <f t="shared" si="425"/>
        <v/>
      </c>
      <c r="CS35" s="82"/>
      <c r="CT35" s="82"/>
      <c r="CU35" s="82"/>
      <c r="CV35" s="1" t="s">
        <v>662</v>
      </c>
      <c r="CW35" s="169" t="str">
        <f>IF(COUNTIF($CV:$CV,CV35)&gt;1,"중복","")</f>
        <v>중복</v>
      </c>
      <c r="CX35" s="2" t="s">
        <v>188</v>
      </c>
      <c r="CY35" s="2" t="s">
        <v>156</v>
      </c>
      <c r="CZ35" s="2" t="s">
        <v>156</v>
      </c>
      <c r="DA35" s="82"/>
      <c r="DB35" s="3" t="s">
        <v>87</v>
      </c>
      <c r="DC35" s="2" t="s">
        <v>87</v>
      </c>
      <c r="DD35" s="82">
        <f t="shared" si="426"/>
        <v>34146</v>
      </c>
      <c r="DE35" s="82" t="str">
        <f>IF(DD35="-","-",VLOOKUP(DD35,'프로젝트 담당자'!$T$3:$W$80,4,0))</f>
        <v>시흥</v>
      </c>
      <c r="DF35" s="82" t="s">
        <v>29</v>
      </c>
      <c r="DG35" s="82" t="str">
        <f>VLOOKUP(DD35,'프로젝트 담당자'!$T$2:$Y$80,6,0)</f>
        <v>이진웅</v>
      </c>
      <c r="DH35" s="82" t="s">
        <v>91</v>
      </c>
      <c r="DI35" s="82" t="s">
        <v>107</v>
      </c>
      <c r="DJ35" s="82" t="s">
        <v>91</v>
      </c>
    </row>
    <row r="36" spans="1:114" ht="78" x14ac:dyDescent="0.4">
      <c r="A36" s="218">
        <v>843</v>
      </c>
      <c r="B36" s="7">
        <f t="shared" ref="B36:B41" si="428">IFERROR(DATE(D36,E36,F36),"")</f>
        <v>45115</v>
      </c>
      <c r="C36" s="128">
        <f t="shared" ref="C36:C41" si="429">WEEKNUM(B36)</f>
        <v>27</v>
      </c>
      <c r="D36" s="56">
        <v>2023</v>
      </c>
      <c r="E36" s="56">
        <v>7</v>
      </c>
      <c r="F36" s="56">
        <v>8</v>
      </c>
      <c r="G36" s="71">
        <v>45117</v>
      </c>
      <c r="H36" s="56"/>
      <c r="I36" s="56" t="s">
        <v>453</v>
      </c>
      <c r="J36" s="56" t="s">
        <v>476</v>
      </c>
      <c r="K36" s="82" t="str">
        <f t="shared" ref="K36:K41" si="430">IF(OR(L36="경원선 18량",L36="과천안산선 70량",L36="1호선 40량"),"128R",IF(OR(L36="경인선 80량",L36="과천안산선 180량",L36="분당선 108량"),"448R","기타"))</f>
        <v>448R</v>
      </c>
      <c r="L36" s="82" t="str">
        <f>VLOOKUP('2023년 신조차 고장관리 세부현황'!DD36,'프로젝트 담당자'!$T$2:$Z$80,7,0)</f>
        <v>과천안산선 180량</v>
      </c>
      <c r="M36" s="81" t="s">
        <v>5</v>
      </c>
      <c r="N36" s="82">
        <v>341049</v>
      </c>
      <c r="O36" s="105">
        <f>IF(OR(K36="128R",K36="448R"),VLOOKUP('2023년 신조차 고장관리 세부현황'!DD36,'프로젝트 담당자'!$T$2:$AB$80,9,0),"기타")</f>
        <v>44834</v>
      </c>
      <c r="P36" s="137">
        <f t="shared" si="427"/>
        <v>281</v>
      </c>
      <c r="Q36" s="89" t="s">
        <v>567</v>
      </c>
      <c r="R36" s="89" t="s">
        <v>568</v>
      </c>
      <c r="S36" s="342" t="s">
        <v>186</v>
      </c>
      <c r="T36" s="340" t="s">
        <v>18</v>
      </c>
      <c r="U36" s="340" t="s">
        <v>18</v>
      </c>
      <c r="V36" s="2" t="s">
        <v>162</v>
      </c>
      <c r="W36" s="223" t="s">
        <v>596</v>
      </c>
      <c r="X36" s="366" t="s">
        <v>694</v>
      </c>
      <c r="Y36" s="2"/>
      <c r="Z36" s="2"/>
      <c r="AA36" s="2"/>
      <c r="AB36" s="2"/>
      <c r="AC36" s="2"/>
      <c r="AD36" s="2"/>
      <c r="AE36" s="2"/>
      <c r="AF36" s="2"/>
      <c r="AG36" s="1"/>
      <c r="AH36" s="1"/>
      <c r="AI36" s="1"/>
      <c r="AJ36" s="1" t="s">
        <v>597</v>
      </c>
      <c r="AK36" s="1"/>
      <c r="AL36" s="80" t="s">
        <v>482</v>
      </c>
      <c r="AM36" s="1"/>
      <c r="AN36" s="1"/>
      <c r="AO36" s="1"/>
      <c r="AP36" s="1"/>
      <c r="AQ36" s="11" t="s">
        <v>425</v>
      </c>
      <c r="AR36" s="3" t="s">
        <v>551</v>
      </c>
      <c r="AS36" s="53" t="s">
        <v>10</v>
      </c>
      <c r="AT36" s="7">
        <v>45133</v>
      </c>
      <c r="AU36" s="82" t="s">
        <v>424</v>
      </c>
      <c r="AV36" s="82"/>
      <c r="AW36" s="56"/>
      <c r="AX36" s="56"/>
      <c r="AY36" s="1"/>
      <c r="AZ36" s="7" t="str">
        <f t="shared" si="392"/>
        <v>완료</v>
      </c>
      <c r="BA36" s="10" t="s">
        <v>421</v>
      </c>
      <c r="BB36" s="82" t="s">
        <v>5</v>
      </c>
      <c r="BC36" s="82" t="str">
        <f t="shared" ref="BC36:BC40" ca="1" si="431">IF(ISBLANK(BB36),"",IF(OR(BB36&lt;=BA36,BB36="조치완료보고 대체",BB36="제출불가"),"완료",IF(AND(BB36="-",BA36&gt;=TODAY()),"예정",IF(AND(BB36="-",BA36&lt;TODAY()),"지연",IF(BB36&gt;BA36,"완료","")))))</f>
        <v>완료</v>
      </c>
      <c r="BD36" s="7" t="s">
        <v>460</v>
      </c>
      <c r="BE36" s="10">
        <v>45129</v>
      </c>
      <c r="BF36" s="82" t="s">
        <v>5</v>
      </c>
      <c r="BG36" s="82" t="str">
        <f t="shared" ref="BG36:BG40" ca="1" si="432">IF(ISBLANK(BF36),"",IF(OR(BF36&lt;=BE36,BF36="조치완료보고 대체",BF36="제출불가"),"완료",IF(AND(BF36="-",BE36&gt;=TODAY()),"예정",IF(AND(BF36="-",BE36&lt;TODAY()),"지연",IF(BF36&gt;BE36,"완료","")))))</f>
        <v>지연</v>
      </c>
      <c r="BH36" s="10" t="s">
        <v>422</v>
      </c>
      <c r="BI36" s="82"/>
      <c r="BJ36" s="82" t="str">
        <f t="shared" ref="BJ36:BJ40" ca="1" si="433">IF(ISBLANK(BI36),"",IF(OR(BI36&lt;=BH36,BI36="조치완료보고 대체",BI36="제출불가"),"완료",IF(AND(BI36="-",BH36&gt;=TODAY()),"예정",IF(AND(BI36="-",BH36&lt;TODAY()),"지연",IF(BI36&gt;BH36,"완료","")))))</f>
        <v/>
      </c>
      <c r="BK36" s="2"/>
      <c r="BL36" s="10">
        <v>45168</v>
      </c>
      <c r="BM36" s="82" t="s">
        <v>5</v>
      </c>
      <c r="BN36" s="82" t="str">
        <f t="shared" ref="BN36:BN41" ca="1" si="434">IF(ISBLANK(BM36),"",IF(OR(BM36&lt;=BL36,BM36="조치완료보고 대체",BM36="제출불가"),"완료",IF(AND(BM36="-",BL36&gt;=TODAY()),"예정",IF(AND(BM36="-",BL36&lt;TODAY()),"지연",IF(BM36&gt;BL36,"완료","")))))</f>
        <v>지연</v>
      </c>
      <c r="BO36" s="2"/>
      <c r="BP36" s="7" t="str">
        <f t="shared" ref="BP36:BP41" si="435">IF(ISBLANK(BA36),"",BA36)</f>
        <v>동일건(협의필요)</v>
      </c>
      <c r="BQ36" s="7">
        <f t="shared" ref="BQ36:BQ41" si="436">IF(ISBLANK(BE36),"",BE36)</f>
        <v>45129</v>
      </c>
      <c r="BR36" s="7" t="str">
        <f t="shared" ref="BR36:BR41" si="437">IF(ISBLANK(BH36),"",BH36)</f>
        <v>동일건</v>
      </c>
      <c r="BS36" s="7">
        <f t="shared" ref="BS36:BS41" si="438">IF(ISBLANK(BL36),"",BL36)</f>
        <v>45168</v>
      </c>
      <c r="BT36" s="128" t="str">
        <f t="shared" ref="BT36:BT41" si="439">IF(ISBLANK(BP36),"",IFERROR(YEAR(BP36),""))</f>
        <v/>
      </c>
      <c r="BU36" s="128">
        <f t="shared" ref="BU36:BU41" si="440">IF(ISBLANK(BQ36),"",IFERROR(YEAR(BQ36),""))</f>
        <v>2023</v>
      </c>
      <c r="BV36" s="128" t="str">
        <f t="shared" ref="BV36:BV41" si="441">IF(ISBLANK(BR36),"",IFERROR(YEAR(BR36),""))</f>
        <v/>
      </c>
      <c r="BW36" s="128">
        <f t="shared" ref="BW36:BW41" si="442">IF(ISBLANK(BS36),"",IFERROR(YEAR(BS36),""))</f>
        <v>2023</v>
      </c>
      <c r="BX36" s="128" t="str">
        <f t="shared" ref="BX36:BX41" si="443">IF(ISBLANK(BP36),"",IF(OR(BP36="제출불가",BP36="조치완료보고 대체"),BP36,IFERROR(WEEKNUM(BP36),"")))</f>
        <v/>
      </c>
      <c r="BY36" s="128">
        <f t="shared" ref="BY36:BY41" si="444">IF(ISBLANK(BQ36),"",IF(OR(BQ36="제출불가",BQ36="조치완료보고 대체"),BQ36,IFERROR(WEEKNUM(BQ36),"")))</f>
        <v>29</v>
      </c>
      <c r="BZ36" s="128" t="str">
        <f t="shared" ref="BZ36:BZ41" si="445">IF(ISBLANK(BR36),"",IF(OR(BR36="제출불가",BR36="조치완료보고 대체"),BR36,IFERROR(WEEKNUM(BR36),"")))</f>
        <v/>
      </c>
      <c r="CA36" s="128">
        <f t="shared" ref="CA36:CA41" si="446">IF(ISBLANK(BS36),"",IF(OR(BS36="제출불가",BS36="조치완료보고 대체"),BS36,IFERROR(WEEKNUM(BS36),"")))</f>
        <v>35</v>
      </c>
      <c r="CB36" s="7" t="str">
        <f t="shared" ref="CB36:CB41" si="447">IF(ISBLANK(BB36),"",BB36)</f>
        <v>-</v>
      </c>
      <c r="CC36" s="7" t="str">
        <f t="shared" ref="CC36:CC41" si="448">IF(ISBLANK(BF36),"",BF36)</f>
        <v>-</v>
      </c>
      <c r="CD36" s="7" t="str">
        <f t="shared" ref="CD36:CD41" si="449">IF(ISBLANK(BI36),"",BI36)</f>
        <v/>
      </c>
      <c r="CE36" s="7" t="str">
        <f t="shared" ref="CE36:CE41" si="450">IF(ISBLANK(BM36),"",BM36)</f>
        <v>-</v>
      </c>
      <c r="CF36" s="128" t="str">
        <f t="shared" ref="CF36:CF41" si="451">IF(ISBLANK(CB36),"",IFERROR(YEAR(CB36),""))</f>
        <v/>
      </c>
      <c r="CG36" s="128" t="str">
        <f t="shared" ref="CG36:CG41" si="452">IF(ISBLANK(CC36),"",IFERROR(YEAR(CC36),""))</f>
        <v/>
      </c>
      <c r="CH36" s="128" t="str">
        <f t="shared" ref="CH36:CH41" si="453">IF(ISBLANK(CD36),"",IFERROR(YEAR(CD36),""))</f>
        <v/>
      </c>
      <c r="CI36" s="128" t="str">
        <f t="shared" ref="CI36:CI41" si="454">IF(ISBLANK(CE36),"",IFERROR(YEAR(CE36),""))</f>
        <v/>
      </c>
      <c r="CJ36" s="128" t="str">
        <f t="shared" ref="CJ36:CJ41" si="455">IF(ISBLANK(CB36),"",IF(OR(CB36="제출불가",CB36="조치완료보고 대체"),CB36,IFERROR(WEEKNUM(CB36),"")))</f>
        <v/>
      </c>
      <c r="CK36" s="128" t="str">
        <f t="shared" ref="CK36:CK41" si="456">IF(ISBLANK(CC36),"",IF(OR(CC36="제출불가",CC36="조치완료보고 대체"),CC36,IFERROR(WEEKNUM(CC36),"")))</f>
        <v/>
      </c>
      <c r="CL36" s="128" t="str">
        <f t="shared" ref="CL36:CL41" si="457">IF(ISBLANK(CD36),"",IF(OR(CD36="제출불가",CD36="조치완료보고 대체"),CD36,IFERROR(WEEKNUM(CD36),"")))</f>
        <v/>
      </c>
      <c r="CM36" s="128" t="str">
        <f t="shared" ref="CM36:CM41" si="458">IF(ISBLANK(CE36),"",IF(OR(CE36="제출불가",CE36="조치완료보고 대체"),CE36,IFERROR(WEEKNUM(CE36),"")))</f>
        <v/>
      </c>
      <c r="CN36" s="82" t="str">
        <f t="shared" ref="CN36:CN41" ca="1" si="459">BC36</f>
        <v>완료</v>
      </c>
      <c r="CO36" s="82" t="str">
        <f t="shared" ref="CO36:CO41" ca="1" si="460">BG36</f>
        <v>지연</v>
      </c>
      <c r="CP36" s="82" t="str">
        <f t="shared" ref="CP36:CP41" ca="1" si="461">BJ36</f>
        <v/>
      </c>
      <c r="CQ36" s="82" t="str">
        <f t="shared" ref="CQ36:CQ41" ca="1" si="462">BN36</f>
        <v>지연</v>
      </c>
      <c r="CR36" s="82" t="str">
        <f t="shared" ref="CR36:CR41" si="463">IF(BD36="","",BD36)</f>
        <v>종결</v>
      </c>
      <c r="CS36" s="82"/>
      <c r="CT36" s="82"/>
      <c r="CU36" s="82"/>
      <c r="CV36" s="101" t="s">
        <v>715</v>
      </c>
      <c r="CW36" s="169" t="str">
        <f>IF(COUNTIF($CV:$CV,CV36)&gt;1,"중복","")</f>
        <v>중복</v>
      </c>
      <c r="CX36" s="2" t="s">
        <v>223</v>
      </c>
      <c r="CY36" s="2" t="s">
        <v>156</v>
      </c>
      <c r="CZ36" s="2" t="s">
        <v>224</v>
      </c>
      <c r="DA36" s="11" t="s">
        <v>83</v>
      </c>
      <c r="DB36" s="2" t="s">
        <v>87</v>
      </c>
      <c r="DC36" s="80" t="s">
        <v>87</v>
      </c>
      <c r="DD36" s="82">
        <f t="shared" ref="DD36:DD41" si="464">IF(N36="-","-",VALUE(LEFT(N36,3)&amp;RIGHT(N36,2)))</f>
        <v>34149</v>
      </c>
      <c r="DE36" s="82" t="str">
        <f>IF(DD36="-","-",VLOOKUP(DD36,'프로젝트 담당자'!$T$3:$W$80,4,0))</f>
        <v>이문</v>
      </c>
      <c r="DF36" s="82" t="s">
        <v>29</v>
      </c>
      <c r="DG36" s="82" t="str">
        <f>VLOOKUP(DD36,'프로젝트 담당자'!$T$2:$Y$80,6,0)</f>
        <v>이진웅</v>
      </c>
      <c r="DH36" s="82" t="s">
        <v>91</v>
      </c>
      <c r="DI36" s="2" t="s">
        <v>107</v>
      </c>
      <c r="DJ36" s="82" t="s">
        <v>91</v>
      </c>
    </row>
    <row r="37" spans="1:114" ht="90.75" customHeight="1" x14ac:dyDescent="0.4">
      <c r="A37" s="218">
        <v>847</v>
      </c>
      <c r="B37" s="7">
        <f t="shared" si="428"/>
        <v>45119</v>
      </c>
      <c r="C37" s="128">
        <f t="shared" si="429"/>
        <v>28</v>
      </c>
      <c r="D37" s="56">
        <v>2023</v>
      </c>
      <c r="E37" s="56">
        <v>7</v>
      </c>
      <c r="F37" s="56">
        <v>12</v>
      </c>
      <c r="G37" s="71">
        <v>45120</v>
      </c>
      <c r="H37" s="56"/>
      <c r="I37" s="56" t="s">
        <v>453</v>
      </c>
      <c r="J37" s="56" t="s">
        <v>476</v>
      </c>
      <c r="K37" s="82" t="str">
        <f t="shared" si="430"/>
        <v>448R</v>
      </c>
      <c r="L37" s="82" t="str">
        <f>VLOOKUP('2023년 신조차 고장관리 세부현황'!DD37,'프로젝트 담당자'!$T$2:$Z$80,7,0)</f>
        <v>과천안산선 180량</v>
      </c>
      <c r="M37" s="81" t="s">
        <v>5</v>
      </c>
      <c r="N37" s="82">
        <v>341948</v>
      </c>
      <c r="O37" s="105">
        <f>IF(OR(K37="128R",K37="448R"),VLOOKUP('2023년 신조차 고장관리 세부현황'!DD37,'프로젝트 담당자'!$T$2:$AB$80,9,0),"기타")</f>
        <v>44834</v>
      </c>
      <c r="P37" s="137">
        <f t="shared" si="427"/>
        <v>285</v>
      </c>
      <c r="Q37" s="89" t="s">
        <v>584</v>
      </c>
      <c r="R37" s="89" t="s">
        <v>585</v>
      </c>
      <c r="S37" s="82"/>
      <c r="T37" s="82" t="s">
        <v>17</v>
      </c>
      <c r="U37" s="82" t="s">
        <v>17</v>
      </c>
      <c r="V37" s="82" t="s">
        <v>162</v>
      </c>
      <c r="W37" s="222" t="s">
        <v>26</v>
      </c>
      <c r="X37" s="353" t="s">
        <v>705</v>
      </c>
      <c r="Y37" s="82"/>
      <c r="Z37" s="82"/>
      <c r="AA37" s="82"/>
      <c r="AB37" s="82"/>
      <c r="AC37" s="82"/>
      <c r="AD37" s="82"/>
      <c r="AE37" s="82" t="s">
        <v>173</v>
      </c>
      <c r="AF37" s="82" t="s">
        <v>718</v>
      </c>
      <c r="AG37" s="56"/>
      <c r="AH37" s="56"/>
      <c r="AI37" s="56"/>
      <c r="AJ37" s="56"/>
      <c r="AK37" s="56"/>
      <c r="AL37" s="56" t="s">
        <v>173</v>
      </c>
      <c r="AM37" s="56"/>
      <c r="AN37" s="56"/>
      <c r="AO37" s="56"/>
      <c r="AP37" s="56"/>
      <c r="AQ37" s="11" t="s">
        <v>373</v>
      </c>
      <c r="AR37" s="56"/>
      <c r="AS37" s="82" t="s">
        <v>5</v>
      </c>
      <c r="AT37" s="82" t="s">
        <v>5</v>
      </c>
      <c r="AU37" s="56"/>
      <c r="AV37" s="82"/>
      <c r="AW37" s="56" t="s">
        <v>698</v>
      </c>
      <c r="AX37" s="56"/>
      <c r="AY37" s="56"/>
      <c r="AZ37" s="7" t="str">
        <f t="shared" si="392"/>
        <v>지연</v>
      </c>
      <c r="BA37" s="7" t="s">
        <v>128</v>
      </c>
      <c r="BB37" s="82"/>
      <c r="BC37" s="82" t="str">
        <f t="shared" ca="1" si="431"/>
        <v/>
      </c>
      <c r="BD37" s="7"/>
      <c r="BE37" s="7" t="s">
        <v>128</v>
      </c>
      <c r="BF37" s="82"/>
      <c r="BG37" s="82" t="str">
        <f t="shared" ca="1" si="432"/>
        <v/>
      </c>
      <c r="BH37" s="7" t="s">
        <v>128</v>
      </c>
      <c r="BI37" s="82"/>
      <c r="BJ37" s="82" t="str">
        <f t="shared" ca="1" si="433"/>
        <v/>
      </c>
      <c r="BK37" s="82"/>
      <c r="BL37" s="7" t="s">
        <v>128</v>
      </c>
      <c r="BM37" s="82"/>
      <c r="BN37" s="82" t="str">
        <f t="shared" ca="1" si="434"/>
        <v/>
      </c>
      <c r="BO37" s="82"/>
      <c r="BP37" s="7" t="str">
        <f t="shared" si="435"/>
        <v>코레일 협의중</v>
      </c>
      <c r="BQ37" s="7" t="str">
        <f t="shared" si="436"/>
        <v>코레일 협의중</v>
      </c>
      <c r="BR37" s="7" t="str">
        <f t="shared" si="437"/>
        <v>코레일 협의중</v>
      </c>
      <c r="BS37" s="7" t="str">
        <f t="shared" si="438"/>
        <v>코레일 협의중</v>
      </c>
      <c r="BT37" s="128" t="str">
        <f t="shared" si="439"/>
        <v/>
      </c>
      <c r="BU37" s="128" t="str">
        <f t="shared" si="440"/>
        <v/>
      </c>
      <c r="BV37" s="128" t="str">
        <f t="shared" si="441"/>
        <v/>
      </c>
      <c r="BW37" s="128" t="str">
        <f t="shared" si="442"/>
        <v/>
      </c>
      <c r="BX37" s="128" t="str">
        <f t="shared" si="443"/>
        <v/>
      </c>
      <c r="BY37" s="128" t="str">
        <f t="shared" si="444"/>
        <v/>
      </c>
      <c r="BZ37" s="128" t="str">
        <f t="shared" si="445"/>
        <v/>
      </c>
      <c r="CA37" s="128" t="str">
        <f t="shared" si="446"/>
        <v/>
      </c>
      <c r="CB37" s="7" t="str">
        <f t="shared" si="447"/>
        <v/>
      </c>
      <c r="CC37" s="7" t="str">
        <f t="shared" si="448"/>
        <v/>
      </c>
      <c r="CD37" s="7" t="str">
        <f t="shared" si="449"/>
        <v/>
      </c>
      <c r="CE37" s="7" t="str">
        <f t="shared" si="450"/>
        <v/>
      </c>
      <c r="CF37" s="128" t="str">
        <f t="shared" si="451"/>
        <v/>
      </c>
      <c r="CG37" s="128" t="str">
        <f t="shared" si="452"/>
        <v/>
      </c>
      <c r="CH37" s="128" t="str">
        <f t="shared" si="453"/>
        <v/>
      </c>
      <c r="CI37" s="128" t="str">
        <f t="shared" si="454"/>
        <v/>
      </c>
      <c r="CJ37" s="128" t="str">
        <f t="shared" si="455"/>
        <v/>
      </c>
      <c r="CK37" s="128" t="str">
        <f t="shared" si="456"/>
        <v/>
      </c>
      <c r="CL37" s="128" t="str">
        <f t="shared" si="457"/>
        <v/>
      </c>
      <c r="CM37" s="128" t="str">
        <f t="shared" si="458"/>
        <v/>
      </c>
      <c r="CN37" s="82" t="str">
        <f t="shared" ca="1" si="459"/>
        <v/>
      </c>
      <c r="CO37" s="82" t="str">
        <f t="shared" ca="1" si="460"/>
        <v/>
      </c>
      <c r="CP37" s="82" t="str">
        <f t="shared" ca="1" si="461"/>
        <v/>
      </c>
      <c r="CQ37" s="82" t="str">
        <f t="shared" ca="1" si="462"/>
        <v/>
      </c>
      <c r="CR37" s="82" t="str">
        <f t="shared" si="463"/>
        <v/>
      </c>
      <c r="CS37" s="82"/>
      <c r="CT37" s="82"/>
      <c r="CU37" s="82"/>
      <c r="CV37" s="56"/>
      <c r="CW37" s="169" t="str">
        <f>IF(COUNTIF($CV:$CV,CV37)&gt;1,"중복","")</f>
        <v/>
      </c>
      <c r="CX37" s="82"/>
      <c r="CY37" s="82" t="s">
        <v>670</v>
      </c>
      <c r="CZ37" s="82"/>
      <c r="DA37" s="82"/>
      <c r="DB37" s="375" t="s">
        <v>557</v>
      </c>
      <c r="DC37" s="79" t="s">
        <v>665</v>
      </c>
      <c r="DD37" s="82">
        <f t="shared" si="464"/>
        <v>34148</v>
      </c>
      <c r="DE37" s="82" t="str">
        <f>IF(DD37="-","-",VLOOKUP(DD37,'프로젝트 담당자'!$T$3:$W$80,4,0))</f>
        <v>이문</v>
      </c>
      <c r="DF37" s="82" t="s">
        <v>29</v>
      </c>
      <c r="DG37" s="82" t="str">
        <f>VLOOKUP(DD37,'프로젝트 담당자'!$T$2:$Y$80,6,0)</f>
        <v>이진웅</v>
      </c>
      <c r="DH37" s="82" t="s">
        <v>91</v>
      </c>
      <c r="DI37" s="82" t="s">
        <v>107</v>
      </c>
      <c r="DJ37" s="82" t="s">
        <v>91</v>
      </c>
    </row>
    <row r="38" spans="1:114" ht="85.2" x14ac:dyDescent="0.4">
      <c r="A38" s="218">
        <v>868</v>
      </c>
      <c r="B38" s="7">
        <f t="shared" si="428"/>
        <v>45124</v>
      </c>
      <c r="C38" s="128">
        <f t="shared" si="429"/>
        <v>29</v>
      </c>
      <c r="D38" s="56">
        <v>2023</v>
      </c>
      <c r="E38" s="56">
        <v>7</v>
      </c>
      <c r="F38" s="56">
        <v>17</v>
      </c>
      <c r="G38" s="71">
        <v>45125</v>
      </c>
      <c r="H38" s="56"/>
      <c r="I38" s="56" t="s">
        <v>453</v>
      </c>
      <c r="J38" s="56" t="s">
        <v>476</v>
      </c>
      <c r="K38" s="82" t="str">
        <f t="shared" si="430"/>
        <v>448R</v>
      </c>
      <c r="L38" s="82" t="str">
        <f>VLOOKUP('2023년 신조차 고장관리 세부현황'!DD38,'프로젝트 담당자'!$T$2:$Z$80,7,0)</f>
        <v>과천안산선 180량</v>
      </c>
      <c r="M38" s="56" t="s">
        <v>528</v>
      </c>
      <c r="N38" s="56">
        <v>341950</v>
      </c>
      <c r="O38" s="105">
        <f>IF(OR(K38="128R",K38="448R"),VLOOKUP('2023년 신조차 고장관리 세부현황'!DD38,'프로젝트 담당자'!$T$2:$AB$80,9,0),"기타")</f>
        <v>44865</v>
      </c>
      <c r="P38" s="137">
        <f t="shared" ref="P38:P42" si="465">IF(OR(V38="삭제",O38="기타"),"",IF(ISBLANK(O38),"",B38-O38))</f>
        <v>259</v>
      </c>
      <c r="Q38" s="89" t="s">
        <v>587</v>
      </c>
      <c r="R38" s="89"/>
      <c r="S38" s="56"/>
      <c r="T38" s="82" t="s">
        <v>17</v>
      </c>
      <c r="U38" s="82" t="s">
        <v>17</v>
      </c>
      <c r="V38" s="82" t="s">
        <v>162</v>
      </c>
      <c r="W38" s="222" t="s">
        <v>26</v>
      </c>
      <c r="X38" s="91" t="s">
        <v>706</v>
      </c>
      <c r="Y38" s="82"/>
      <c r="Z38" s="82"/>
      <c r="AA38" s="82"/>
      <c r="AB38" s="82"/>
      <c r="AC38" s="82"/>
      <c r="AD38" s="82"/>
      <c r="AE38" s="82"/>
      <c r="AF38" s="82"/>
      <c r="AG38" s="56"/>
      <c r="AH38" s="56"/>
      <c r="AI38" s="56"/>
      <c r="AJ38" s="56"/>
      <c r="AK38" s="56"/>
      <c r="AL38" s="56" t="s">
        <v>270</v>
      </c>
      <c r="AM38" s="56"/>
      <c r="AN38" s="56"/>
      <c r="AO38" s="56"/>
      <c r="AP38" s="56"/>
      <c r="AQ38" s="82" t="s">
        <v>377</v>
      </c>
      <c r="AR38" s="56"/>
      <c r="AS38" s="82" t="s">
        <v>5</v>
      </c>
      <c r="AT38" s="82" t="s">
        <v>5</v>
      </c>
      <c r="AU38" s="56"/>
      <c r="AV38" s="82"/>
      <c r="AW38" s="56" t="s">
        <v>698</v>
      </c>
      <c r="AX38" s="56"/>
      <c r="AY38" s="56"/>
      <c r="AZ38" s="7" t="str">
        <f t="shared" ref="AZ38:AZ41" si="466">IF(OR(AS38="O",AS38="삭제"),"완료","지연")</f>
        <v>지연</v>
      </c>
      <c r="BA38" s="7">
        <v>45131</v>
      </c>
      <c r="BB38" s="82" t="s">
        <v>5</v>
      </c>
      <c r="BC38" s="82" t="str">
        <f t="shared" ca="1" si="431"/>
        <v>지연</v>
      </c>
      <c r="BD38" s="7" t="s">
        <v>459</v>
      </c>
      <c r="BE38" s="7">
        <v>45137</v>
      </c>
      <c r="BF38" s="82" t="s">
        <v>5</v>
      </c>
      <c r="BG38" s="82" t="str">
        <f t="shared" ca="1" si="432"/>
        <v>지연</v>
      </c>
      <c r="BH38" s="7">
        <v>45143</v>
      </c>
      <c r="BI38" s="82" t="s">
        <v>5</v>
      </c>
      <c r="BJ38" s="82" t="str">
        <f t="shared" ca="1" si="433"/>
        <v>지연</v>
      </c>
      <c r="BK38" s="82"/>
      <c r="BL38" s="7">
        <v>45176</v>
      </c>
      <c r="BM38" s="82" t="s">
        <v>5</v>
      </c>
      <c r="BN38" s="82" t="str">
        <f t="shared" ca="1" si="434"/>
        <v>지연</v>
      </c>
      <c r="BO38" s="82"/>
      <c r="BP38" s="10">
        <f t="shared" si="435"/>
        <v>45131</v>
      </c>
      <c r="BQ38" s="10">
        <f t="shared" si="436"/>
        <v>45137</v>
      </c>
      <c r="BR38" s="10">
        <f t="shared" si="437"/>
        <v>45143</v>
      </c>
      <c r="BS38" s="10">
        <f t="shared" si="438"/>
        <v>45176</v>
      </c>
      <c r="BT38" s="75">
        <f t="shared" si="439"/>
        <v>2023</v>
      </c>
      <c r="BU38" s="75">
        <f t="shared" si="440"/>
        <v>2023</v>
      </c>
      <c r="BV38" s="75">
        <f t="shared" si="441"/>
        <v>2023</v>
      </c>
      <c r="BW38" s="75">
        <f t="shared" si="442"/>
        <v>2023</v>
      </c>
      <c r="BX38" s="75">
        <f t="shared" si="443"/>
        <v>30</v>
      </c>
      <c r="BY38" s="75">
        <f t="shared" si="444"/>
        <v>31</v>
      </c>
      <c r="BZ38" s="75">
        <f t="shared" si="445"/>
        <v>31</v>
      </c>
      <c r="CA38" s="75">
        <f t="shared" si="446"/>
        <v>36</v>
      </c>
      <c r="CB38" s="10" t="str">
        <f t="shared" si="447"/>
        <v>-</v>
      </c>
      <c r="CC38" s="10" t="str">
        <f t="shared" si="448"/>
        <v>-</v>
      </c>
      <c r="CD38" s="10" t="str">
        <f t="shared" si="449"/>
        <v>-</v>
      </c>
      <c r="CE38" s="10" t="str">
        <f t="shared" si="450"/>
        <v>-</v>
      </c>
      <c r="CF38" s="75" t="str">
        <f t="shared" si="451"/>
        <v/>
      </c>
      <c r="CG38" s="75" t="str">
        <f t="shared" si="452"/>
        <v/>
      </c>
      <c r="CH38" s="75" t="str">
        <f t="shared" si="453"/>
        <v/>
      </c>
      <c r="CI38" s="75" t="str">
        <f t="shared" si="454"/>
        <v/>
      </c>
      <c r="CJ38" s="75" t="str">
        <f t="shared" si="455"/>
        <v/>
      </c>
      <c r="CK38" s="75" t="str">
        <f t="shared" si="456"/>
        <v/>
      </c>
      <c r="CL38" s="75" t="str">
        <f t="shared" si="457"/>
        <v/>
      </c>
      <c r="CM38" s="75" t="str">
        <f t="shared" si="458"/>
        <v/>
      </c>
      <c r="CN38" s="2" t="str">
        <f t="shared" ca="1" si="459"/>
        <v>지연</v>
      </c>
      <c r="CO38" s="2" t="str">
        <f t="shared" ca="1" si="460"/>
        <v>지연</v>
      </c>
      <c r="CP38" s="2" t="str">
        <f t="shared" ca="1" si="461"/>
        <v>지연</v>
      </c>
      <c r="CQ38" s="2" t="str">
        <f t="shared" ca="1" si="462"/>
        <v>지연</v>
      </c>
      <c r="CR38" s="2" t="str">
        <f t="shared" si="463"/>
        <v>지연</v>
      </c>
      <c r="CS38" s="2"/>
      <c r="CT38" s="2"/>
      <c r="CU38" s="2"/>
      <c r="CV38" s="56"/>
      <c r="CW38" s="169" t="str">
        <f>IF(COUNTIF($CV:$CV,CV38)&gt;1,"중복","")</f>
        <v/>
      </c>
      <c r="CX38" s="82"/>
      <c r="CY38" s="82" t="s">
        <v>670</v>
      </c>
      <c r="CZ38" s="82"/>
      <c r="DA38" s="82"/>
      <c r="DB38" s="67" t="s">
        <v>679</v>
      </c>
      <c r="DC38" s="3" t="s">
        <v>665</v>
      </c>
      <c r="DD38" s="2">
        <f t="shared" si="464"/>
        <v>34150</v>
      </c>
      <c r="DE38" s="2" t="str">
        <f>IF(DD38="-","-",VLOOKUP(DD38,'프로젝트 담당자'!$T$3:$W$80,4,0))</f>
        <v>이문</v>
      </c>
      <c r="DF38" s="2" t="s">
        <v>29</v>
      </c>
      <c r="DG38" s="2" t="str">
        <f>VLOOKUP(DD38,'프로젝트 담당자'!$T$2:$Y$80,6,0)</f>
        <v>이진웅</v>
      </c>
      <c r="DH38" s="82" t="s">
        <v>92</v>
      </c>
      <c r="DI38" s="82" t="s">
        <v>109</v>
      </c>
      <c r="DJ38" s="82" t="s">
        <v>92</v>
      </c>
    </row>
    <row r="39" spans="1:114" ht="96" x14ac:dyDescent="0.4">
      <c r="A39" s="218">
        <v>872</v>
      </c>
      <c r="B39" s="7">
        <f t="shared" si="428"/>
        <v>45125</v>
      </c>
      <c r="C39" s="128">
        <f t="shared" si="429"/>
        <v>29</v>
      </c>
      <c r="D39" s="56">
        <v>2023</v>
      </c>
      <c r="E39" s="56">
        <v>7</v>
      </c>
      <c r="F39" s="56">
        <v>18</v>
      </c>
      <c r="G39" s="71">
        <v>45126</v>
      </c>
      <c r="H39" s="56"/>
      <c r="I39" s="56" t="s">
        <v>453</v>
      </c>
      <c r="J39" s="56" t="s">
        <v>476</v>
      </c>
      <c r="K39" s="82" t="str">
        <f t="shared" si="430"/>
        <v>448R</v>
      </c>
      <c r="L39" s="82" t="str">
        <f>VLOOKUP('2023년 신조차 고장관리 세부현황'!DD39,'프로젝트 담당자'!$T$2:$Z$80,7,0)</f>
        <v>과천안산선 180량</v>
      </c>
      <c r="M39" s="81" t="s">
        <v>5</v>
      </c>
      <c r="N39" s="82">
        <v>341054</v>
      </c>
      <c r="O39" s="105">
        <f>IF(OR(K39="128R",K39="448R"),VLOOKUP('2023년 신조차 고장관리 세부현황'!DD39,'프로젝트 담당자'!$T$2:$AB$80,9,0),"기타")</f>
        <v>44985</v>
      </c>
      <c r="P39" s="137">
        <f t="shared" si="465"/>
        <v>140</v>
      </c>
      <c r="Q39" s="89" t="s">
        <v>588</v>
      </c>
      <c r="R39" s="89" t="s">
        <v>589</v>
      </c>
      <c r="S39" s="56" t="s">
        <v>186</v>
      </c>
      <c r="T39" s="82" t="s">
        <v>18</v>
      </c>
      <c r="U39" s="82" t="s">
        <v>18</v>
      </c>
      <c r="V39" s="82" t="s">
        <v>162</v>
      </c>
      <c r="W39" s="222" t="s">
        <v>26</v>
      </c>
      <c r="X39" s="91" t="s">
        <v>707</v>
      </c>
      <c r="Y39" s="82"/>
      <c r="Z39" s="82"/>
      <c r="AA39" s="82"/>
      <c r="AB39" s="82"/>
      <c r="AC39" s="82"/>
      <c r="AD39" s="82"/>
      <c r="AE39" s="82"/>
      <c r="AF39" s="82"/>
      <c r="AG39" s="56"/>
      <c r="AH39" s="56"/>
      <c r="AI39" s="56"/>
      <c r="AJ39" s="56"/>
      <c r="AK39" s="56"/>
      <c r="AL39" s="56" t="s">
        <v>270</v>
      </c>
      <c r="AM39" s="56"/>
      <c r="AN39" s="56"/>
      <c r="AO39" s="56"/>
      <c r="AP39" s="56"/>
      <c r="AQ39" s="82" t="s">
        <v>377</v>
      </c>
      <c r="AR39" s="56"/>
      <c r="AS39" s="82" t="s">
        <v>5</v>
      </c>
      <c r="AT39" s="82" t="s">
        <v>5</v>
      </c>
      <c r="AU39" s="56"/>
      <c r="AV39" s="82"/>
      <c r="AW39" s="56" t="s">
        <v>698</v>
      </c>
      <c r="AX39" s="56"/>
      <c r="AY39" s="56"/>
      <c r="AZ39" s="7" t="str">
        <f t="shared" si="466"/>
        <v>지연</v>
      </c>
      <c r="BA39" s="7">
        <v>45132</v>
      </c>
      <c r="BB39" s="82" t="s">
        <v>5</v>
      </c>
      <c r="BC39" s="82" t="str">
        <f t="shared" ca="1" si="431"/>
        <v>지연</v>
      </c>
      <c r="BD39" s="7" t="s">
        <v>459</v>
      </c>
      <c r="BE39" s="7">
        <v>45138</v>
      </c>
      <c r="BF39" s="82" t="s">
        <v>5</v>
      </c>
      <c r="BG39" s="82" t="str">
        <f t="shared" ca="1" si="432"/>
        <v>지연</v>
      </c>
      <c r="BH39" s="7">
        <v>45144</v>
      </c>
      <c r="BI39" s="82" t="s">
        <v>5</v>
      </c>
      <c r="BJ39" s="82" t="str">
        <f t="shared" ca="1" si="433"/>
        <v>지연</v>
      </c>
      <c r="BK39" s="82"/>
      <c r="BL39" s="7">
        <v>45177</v>
      </c>
      <c r="BM39" s="82" t="s">
        <v>5</v>
      </c>
      <c r="BN39" s="82" t="str">
        <f t="shared" ca="1" si="434"/>
        <v>지연</v>
      </c>
      <c r="BO39" s="82"/>
      <c r="BP39" s="10">
        <f t="shared" si="435"/>
        <v>45132</v>
      </c>
      <c r="BQ39" s="10">
        <f t="shared" si="436"/>
        <v>45138</v>
      </c>
      <c r="BR39" s="10">
        <f t="shared" si="437"/>
        <v>45144</v>
      </c>
      <c r="BS39" s="10">
        <f t="shared" si="438"/>
        <v>45177</v>
      </c>
      <c r="BT39" s="75">
        <f t="shared" si="439"/>
        <v>2023</v>
      </c>
      <c r="BU39" s="75">
        <f t="shared" si="440"/>
        <v>2023</v>
      </c>
      <c r="BV39" s="75">
        <f t="shared" si="441"/>
        <v>2023</v>
      </c>
      <c r="BW39" s="75">
        <f t="shared" si="442"/>
        <v>2023</v>
      </c>
      <c r="BX39" s="75">
        <f t="shared" si="443"/>
        <v>30</v>
      </c>
      <c r="BY39" s="75">
        <f t="shared" si="444"/>
        <v>31</v>
      </c>
      <c r="BZ39" s="75">
        <f t="shared" si="445"/>
        <v>32</v>
      </c>
      <c r="CA39" s="75">
        <f t="shared" si="446"/>
        <v>36</v>
      </c>
      <c r="CB39" s="10" t="str">
        <f t="shared" si="447"/>
        <v>-</v>
      </c>
      <c r="CC39" s="10" t="str">
        <f t="shared" si="448"/>
        <v>-</v>
      </c>
      <c r="CD39" s="10" t="str">
        <f t="shared" si="449"/>
        <v>-</v>
      </c>
      <c r="CE39" s="10" t="str">
        <f t="shared" si="450"/>
        <v>-</v>
      </c>
      <c r="CF39" s="75" t="str">
        <f t="shared" si="451"/>
        <v/>
      </c>
      <c r="CG39" s="75" t="str">
        <f t="shared" si="452"/>
        <v/>
      </c>
      <c r="CH39" s="75" t="str">
        <f t="shared" si="453"/>
        <v/>
      </c>
      <c r="CI39" s="75" t="str">
        <f t="shared" si="454"/>
        <v/>
      </c>
      <c r="CJ39" s="75" t="str">
        <f t="shared" si="455"/>
        <v/>
      </c>
      <c r="CK39" s="75" t="str">
        <f t="shared" si="456"/>
        <v/>
      </c>
      <c r="CL39" s="75" t="str">
        <f t="shared" si="457"/>
        <v/>
      </c>
      <c r="CM39" s="75" t="str">
        <f t="shared" si="458"/>
        <v/>
      </c>
      <c r="CN39" s="2" t="str">
        <f t="shared" ca="1" si="459"/>
        <v>지연</v>
      </c>
      <c r="CO39" s="2" t="str">
        <f t="shared" ca="1" si="460"/>
        <v>지연</v>
      </c>
      <c r="CP39" s="2" t="str">
        <f t="shared" ca="1" si="461"/>
        <v>지연</v>
      </c>
      <c r="CQ39" s="2" t="str">
        <f t="shared" ca="1" si="462"/>
        <v>지연</v>
      </c>
      <c r="CR39" s="2" t="str">
        <f t="shared" si="463"/>
        <v>지연</v>
      </c>
      <c r="CS39" s="2"/>
      <c r="CT39" s="2"/>
      <c r="CU39" s="2"/>
      <c r="CV39" s="56"/>
      <c r="CW39" s="169" t="str">
        <f>IF(COUNTIF($CV:$CV,CV39)&gt;1,"중복","")</f>
        <v/>
      </c>
      <c r="CX39" s="82" t="s">
        <v>223</v>
      </c>
      <c r="CY39" s="82" t="s">
        <v>156</v>
      </c>
      <c r="CZ39" s="82"/>
      <c r="DA39" s="82" t="s">
        <v>323</v>
      </c>
      <c r="DB39" s="3" t="s">
        <v>87</v>
      </c>
      <c r="DC39" s="3" t="s">
        <v>87</v>
      </c>
      <c r="DD39" s="2">
        <f t="shared" si="464"/>
        <v>34154</v>
      </c>
      <c r="DE39" s="2" t="str">
        <f>IF(DD39="-","-",VLOOKUP(DD39,'프로젝트 담당자'!$T$3:$W$80,4,0))</f>
        <v>구로</v>
      </c>
      <c r="DF39" s="2" t="s">
        <v>29</v>
      </c>
      <c r="DG39" s="2" t="str">
        <f>VLOOKUP(DD39,'프로젝트 담당자'!$T$2:$Y$80,6,0)</f>
        <v>이진웅</v>
      </c>
      <c r="DH39" s="82" t="s">
        <v>91</v>
      </c>
      <c r="DI39" s="82" t="s">
        <v>107</v>
      </c>
      <c r="DJ39" s="82" t="s">
        <v>91</v>
      </c>
    </row>
    <row r="40" spans="1:114" ht="64.8" x14ac:dyDescent="0.4">
      <c r="A40" s="218">
        <v>875</v>
      </c>
      <c r="B40" s="7">
        <f t="shared" si="428"/>
        <v>45125</v>
      </c>
      <c r="C40" s="128">
        <f t="shared" si="429"/>
        <v>29</v>
      </c>
      <c r="D40" s="56">
        <v>2023</v>
      </c>
      <c r="E40" s="56">
        <v>7</v>
      </c>
      <c r="F40" s="56">
        <v>18</v>
      </c>
      <c r="G40" s="71">
        <v>45126</v>
      </c>
      <c r="H40" s="56"/>
      <c r="I40" s="56" t="s">
        <v>453</v>
      </c>
      <c r="J40" s="56" t="s">
        <v>476</v>
      </c>
      <c r="K40" s="82" t="str">
        <f t="shared" si="430"/>
        <v>448R</v>
      </c>
      <c r="L40" s="82" t="str">
        <f>VLOOKUP('2023년 신조차 고장관리 세부현황'!DD40,'프로젝트 담당자'!$T$2:$Z$80,7,0)</f>
        <v>과천안산선 180량</v>
      </c>
      <c r="M40" s="81" t="s">
        <v>5</v>
      </c>
      <c r="N40" s="82">
        <v>341949</v>
      </c>
      <c r="O40" s="105">
        <f>IF(OR(K40="128R",K40="448R"),VLOOKUP('2023년 신조차 고장관리 세부현황'!DD40,'프로젝트 담당자'!$T$2:$AB$80,9,0),"기타")</f>
        <v>44834</v>
      </c>
      <c r="P40" s="137">
        <f t="shared" si="465"/>
        <v>291</v>
      </c>
      <c r="Q40" s="89" t="s">
        <v>590</v>
      </c>
      <c r="R40" s="89" t="s">
        <v>591</v>
      </c>
      <c r="S40" s="56"/>
      <c r="T40" s="82" t="s">
        <v>17</v>
      </c>
      <c r="U40" s="82" t="s">
        <v>17</v>
      </c>
      <c r="V40" s="82" t="s">
        <v>162</v>
      </c>
      <c r="W40" s="222" t="s">
        <v>26</v>
      </c>
      <c r="X40" s="91" t="s">
        <v>708</v>
      </c>
      <c r="Y40" s="82"/>
      <c r="Z40" s="82"/>
      <c r="AA40" s="82"/>
      <c r="AB40" s="82"/>
      <c r="AC40" s="82"/>
      <c r="AD40" s="82"/>
      <c r="AE40" s="82"/>
      <c r="AF40" s="82"/>
      <c r="AG40" s="56"/>
      <c r="AH40" s="56"/>
      <c r="AI40" s="56"/>
      <c r="AJ40" s="56"/>
      <c r="AK40" s="56"/>
      <c r="AL40" s="56" t="s">
        <v>270</v>
      </c>
      <c r="AM40" s="56"/>
      <c r="AN40" s="56"/>
      <c r="AO40" s="56"/>
      <c r="AP40" s="56"/>
      <c r="AQ40" s="82" t="s">
        <v>377</v>
      </c>
      <c r="AR40" s="56"/>
      <c r="AS40" s="82" t="s">
        <v>5</v>
      </c>
      <c r="AT40" s="82" t="s">
        <v>5</v>
      </c>
      <c r="AU40" s="56"/>
      <c r="AV40" s="82"/>
      <c r="AW40" s="56" t="s">
        <v>698</v>
      </c>
      <c r="AX40" s="56"/>
      <c r="AY40" s="56"/>
      <c r="AZ40" s="7" t="str">
        <f t="shared" si="466"/>
        <v>지연</v>
      </c>
      <c r="BA40" s="7">
        <v>45132</v>
      </c>
      <c r="BB40" s="82" t="s">
        <v>5</v>
      </c>
      <c r="BC40" s="82" t="str">
        <f t="shared" ca="1" si="431"/>
        <v>지연</v>
      </c>
      <c r="BD40" s="7" t="s">
        <v>459</v>
      </c>
      <c r="BE40" s="7">
        <v>45138</v>
      </c>
      <c r="BF40" s="82" t="s">
        <v>5</v>
      </c>
      <c r="BG40" s="82" t="str">
        <f t="shared" ca="1" si="432"/>
        <v>지연</v>
      </c>
      <c r="BH40" s="7">
        <v>45144</v>
      </c>
      <c r="BI40" s="82" t="s">
        <v>5</v>
      </c>
      <c r="BJ40" s="82" t="str">
        <f t="shared" ca="1" si="433"/>
        <v>지연</v>
      </c>
      <c r="BK40" s="82"/>
      <c r="BL40" s="7">
        <v>45177</v>
      </c>
      <c r="BM40" s="82" t="s">
        <v>5</v>
      </c>
      <c r="BN40" s="82" t="str">
        <f t="shared" ca="1" si="434"/>
        <v>지연</v>
      </c>
      <c r="BO40" s="82"/>
      <c r="BP40" s="10">
        <f t="shared" si="435"/>
        <v>45132</v>
      </c>
      <c r="BQ40" s="10">
        <f t="shared" si="436"/>
        <v>45138</v>
      </c>
      <c r="BR40" s="10">
        <f t="shared" si="437"/>
        <v>45144</v>
      </c>
      <c r="BS40" s="10">
        <f t="shared" si="438"/>
        <v>45177</v>
      </c>
      <c r="BT40" s="75">
        <f t="shared" si="439"/>
        <v>2023</v>
      </c>
      <c r="BU40" s="75">
        <f t="shared" si="440"/>
        <v>2023</v>
      </c>
      <c r="BV40" s="75">
        <f t="shared" si="441"/>
        <v>2023</v>
      </c>
      <c r="BW40" s="75">
        <f t="shared" si="442"/>
        <v>2023</v>
      </c>
      <c r="BX40" s="75">
        <f t="shared" si="443"/>
        <v>30</v>
      </c>
      <c r="BY40" s="75">
        <f t="shared" si="444"/>
        <v>31</v>
      </c>
      <c r="BZ40" s="75">
        <f t="shared" si="445"/>
        <v>32</v>
      </c>
      <c r="CA40" s="75">
        <f t="shared" si="446"/>
        <v>36</v>
      </c>
      <c r="CB40" s="10" t="str">
        <f t="shared" si="447"/>
        <v>-</v>
      </c>
      <c r="CC40" s="10" t="str">
        <f t="shared" si="448"/>
        <v>-</v>
      </c>
      <c r="CD40" s="10" t="str">
        <f t="shared" si="449"/>
        <v>-</v>
      </c>
      <c r="CE40" s="10" t="str">
        <f t="shared" si="450"/>
        <v>-</v>
      </c>
      <c r="CF40" s="75" t="str">
        <f t="shared" si="451"/>
        <v/>
      </c>
      <c r="CG40" s="75" t="str">
        <f t="shared" si="452"/>
        <v/>
      </c>
      <c r="CH40" s="75" t="str">
        <f t="shared" si="453"/>
        <v/>
      </c>
      <c r="CI40" s="75" t="str">
        <f t="shared" si="454"/>
        <v/>
      </c>
      <c r="CJ40" s="75" t="str">
        <f t="shared" si="455"/>
        <v/>
      </c>
      <c r="CK40" s="75" t="str">
        <f t="shared" si="456"/>
        <v/>
      </c>
      <c r="CL40" s="75" t="str">
        <f t="shared" si="457"/>
        <v/>
      </c>
      <c r="CM40" s="75" t="str">
        <f t="shared" si="458"/>
        <v/>
      </c>
      <c r="CN40" s="2" t="str">
        <f t="shared" ca="1" si="459"/>
        <v>지연</v>
      </c>
      <c r="CO40" s="2" t="str">
        <f t="shared" ca="1" si="460"/>
        <v>지연</v>
      </c>
      <c r="CP40" s="2" t="str">
        <f t="shared" ca="1" si="461"/>
        <v>지연</v>
      </c>
      <c r="CQ40" s="2" t="str">
        <f t="shared" ca="1" si="462"/>
        <v>지연</v>
      </c>
      <c r="CR40" s="2" t="str">
        <f t="shared" si="463"/>
        <v>지연</v>
      </c>
      <c r="CS40" s="2"/>
      <c r="CT40" s="2"/>
      <c r="CU40" s="2"/>
      <c r="CV40" s="56"/>
      <c r="CW40" s="169" t="str">
        <f>IF(COUNTIF($CV:$CV,CV40)&gt;1,"중복","")</f>
        <v/>
      </c>
      <c r="CX40" s="82"/>
      <c r="CY40" s="82" t="s">
        <v>670</v>
      </c>
      <c r="CZ40" s="82"/>
      <c r="DA40" s="82"/>
      <c r="DB40" s="3" t="s">
        <v>87</v>
      </c>
      <c r="DC40" s="3" t="s">
        <v>87</v>
      </c>
      <c r="DD40" s="2">
        <f t="shared" si="464"/>
        <v>34149</v>
      </c>
      <c r="DE40" s="2" t="str">
        <f>IF(DD40="-","-",VLOOKUP(DD40,'프로젝트 담당자'!$T$3:$W$80,4,0))</f>
        <v>이문</v>
      </c>
      <c r="DF40" s="2" t="s">
        <v>29</v>
      </c>
      <c r="DG40" s="2" t="str">
        <f>VLOOKUP(DD40,'프로젝트 담당자'!$T$2:$Y$80,6,0)</f>
        <v>이진웅</v>
      </c>
      <c r="DH40" s="82" t="s">
        <v>91</v>
      </c>
      <c r="DI40" s="82" t="s">
        <v>107</v>
      </c>
      <c r="DJ40" s="82" t="s">
        <v>91</v>
      </c>
    </row>
    <row r="41" spans="1:114" ht="54" x14ac:dyDescent="0.4">
      <c r="A41" s="218">
        <v>887</v>
      </c>
      <c r="B41" s="7">
        <f t="shared" si="428"/>
        <v>45127</v>
      </c>
      <c r="C41" s="128">
        <f t="shared" si="429"/>
        <v>29</v>
      </c>
      <c r="D41" s="1">
        <v>2023</v>
      </c>
      <c r="E41" s="1">
        <v>7</v>
      </c>
      <c r="F41" s="1">
        <v>20</v>
      </c>
      <c r="G41" s="14">
        <v>45128</v>
      </c>
      <c r="H41" s="1"/>
      <c r="I41" s="1" t="s">
        <v>449</v>
      </c>
      <c r="J41" s="1" t="s">
        <v>476</v>
      </c>
      <c r="K41" s="82" t="str">
        <f t="shared" si="430"/>
        <v>448R</v>
      </c>
      <c r="L41" s="82" t="str">
        <f>VLOOKUP('2023년 신조차 고장관리 세부현황'!DD41,'프로젝트 담당자'!$T$2:$Z$80,7,0)</f>
        <v>과천안산선 180량</v>
      </c>
      <c r="M41" s="1" t="s">
        <v>528</v>
      </c>
      <c r="N41" s="1">
        <v>341954</v>
      </c>
      <c r="O41" s="105">
        <f>IF(OR(K41="128R",K41="448R"),VLOOKUP('2023년 신조차 고장관리 세부현황'!DD41,'프로젝트 담당자'!$T$2:$AB$80,9,0),"기타")</f>
        <v>44985</v>
      </c>
      <c r="P41" s="137">
        <f t="shared" si="465"/>
        <v>142</v>
      </c>
      <c r="Q41" s="89" t="s">
        <v>592</v>
      </c>
      <c r="R41" s="89" t="s">
        <v>593</v>
      </c>
      <c r="S41" s="1"/>
      <c r="T41" s="82" t="s">
        <v>17</v>
      </c>
      <c r="U41" s="82" t="s">
        <v>17</v>
      </c>
      <c r="V41" s="82" t="s">
        <v>162</v>
      </c>
      <c r="W41" s="222" t="s">
        <v>26</v>
      </c>
      <c r="X41" s="374" t="s">
        <v>709</v>
      </c>
      <c r="Y41" s="2"/>
      <c r="Z41" s="2"/>
      <c r="AA41" s="2"/>
      <c r="AB41" s="2"/>
      <c r="AC41" s="2"/>
      <c r="AD41" s="2"/>
      <c r="AE41" s="2"/>
      <c r="AF41" s="2"/>
      <c r="AG41" s="1"/>
      <c r="AH41" s="1"/>
      <c r="AI41" s="1"/>
      <c r="AJ41" s="1"/>
      <c r="AK41" s="1"/>
      <c r="AL41" s="1" t="s">
        <v>270</v>
      </c>
      <c r="AM41" s="1"/>
      <c r="AN41" s="1"/>
      <c r="AO41" s="1"/>
      <c r="AP41" s="1"/>
      <c r="AQ41" s="82" t="s">
        <v>377</v>
      </c>
      <c r="AR41" s="1"/>
      <c r="AS41" s="82" t="s">
        <v>5</v>
      </c>
      <c r="AT41" s="82" t="s">
        <v>5</v>
      </c>
      <c r="AU41" s="1"/>
      <c r="AV41" s="82"/>
      <c r="AW41" s="56" t="s">
        <v>698</v>
      </c>
      <c r="AX41" s="56"/>
      <c r="AY41" s="1"/>
      <c r="AZ41" s="7" t="str">
        <f t="shared" si="466"/>
        <v>지연</v>
      </c>
      <c r="BA41" s="10">
        <v>45134</v>
      </c>
      <c r="BB41" s="82" t="s">
        <v>5</v>
      </c>
      <c r="BC41" s="82" t="str">
        <f t="shared" ref="BC41:BC43" ca="1" si="467">IF(ISBLANK(BB41),"",IF(OR(BB41&lt;=BA41,BB41="조치완료보고 대체",BB41="제출불가"),"완료",IF(AND(BB41="-",BA41&gt;=TODAY()),"예정",IF(AND(BB41="-",BA41&lt;TODAY()),"지연",IF(BB41&gt;BA41,"완료","")))))</f>
        <v>지연</v>
      </c>
      <c r="BD41" s="7" t="s">
        <v>459</v>
      </c>
      <c r="BE41" s="10">
        <v>45140</v>
      </c>
      <c r="BF41" s="82" t="s">
        <v>5</v>
      </c>
      <c r="BG41" s="82" t="str">
        <f t="shared" ref="BG41:BG43" ca="1" si="468">IF(ISBLANK(BF41),"",IF(OR(BF41&lt;=BE41,BF41="조치완료보고 대체",BF41="제출불가"),"완료",IF(AND(BF41="-",BE41&gt;=TODAY()),"예정",IF(AND(BF41="-",BE41&lt;TODAY()),"지연",IF(BF41&gt;BE41,"완료","")))))</f>
        <v>지연</v>
      </c>
      <c r="BH41" s="10">
        <v>45146</v>
      </c>
      <c r="BI41" s="82" t="s">
        <v>5</v>
      </c>
      <c r="BJ41" s="82" t="str">
        <f t="shared" ref="BJ41:BJ43" ca="1" si="469">IF(ISBLANK(BI41),"",IF(OR(BI41&lt;=BH41,BI41="조치완료보고 대체",BI41="제출불가"),"완료",IF(AND(BI41="-",BH41&gt;=TODAY()),"예정",IF(AND(BI41="-",BH41&lt;TODAY()),"지연",IF(BI41&gt;BH41,"완료","")))))</f>
        <v>지연</v>
      </c>
      <c r="BK41" s="2"/>
      <c r="BL41" s="10">
        <v>45179</v>
      </c>
      <c r="BM41" s="82" t="s">
        <v>5</v>
      </c>
      <c r="BN41" s="82" t="str">
        <f t="shared" ca="1" si="434"/>
        <v>지연</v>
      </c>
      <c r="BO41" s="2"/>
      <c r="BP41" s="10">
        <f t="shared" si="435"/>
        <v>45134</v>
      </c>
      <c r="BQ41" s="10">
        <f t="shared" si="436"/>
        <v>45140</v>
      </c>
      <c r="BR41" s="10">
        <f t="shared" si="437"/>
        <v>45146</v>
      </c>
      <c r="BS41" s="10">
        <f t="shared" si="438"/>
        <v>45179</v>
      </c>
      <c r="BT41" s="75">
        <f t="shared" si="439"/>
        <v>2023</v>
      </c>
      <c r="BU41" s="75">
        <f t="shared" si="440"/>
        <v>2023</v>
      </c>
      <c r="BV41" s="75">
        <f t="shared" si="441"/>
        <v>2023</v>
      </c>
      <c r="BW41" s="75">
        <f t="shared" si="442"/>
        <v>2023</v>
      </c>
      <c r="BX41" s="75">
        <f t="shared" si="443"/>
        <v>30</v>
      </c>
      <c r="BY41" s="75">
        <f t="shared" si="444"/>
        <v>31</v>
      </c>
      <c r="BZ41" s="75">
        <f t="shared" si="445"/>
        <v>32</v>
      </c>
      <c r="CA41" s="75">
        <f t="shared" si="446"/>
        <v>37</v>
      </c>
      <c r="CB41" s="10" t="str">
        <f t="shared" si="447"/>
        <v>-</v>
      </c>
      <c r="CC41" s="10" t="str">
        <f t="shared" si="448"/>
        <v>-</v>
      </c>
      <c r="CD41" s="10" t="str">
        <f t="shared" si="449"/>
        <v>-</v>
      </c>
      <c r="CE41" s="10" t="str">
        <f t="shared" si="450"/>
        <v>-</v>
      </c>
      <c r="CF41" s="75" t="str">
        <f t="shared" si="451"/>
        <v/>
      </c>
      <c r="CG41" s="75" t="str">
        <f t="shared" si="452"/>
        <v/>
      </c>
      <c r="CH41" s="75" t="str">
        <f t="shared" si="453"/>
        <v/>
      </c>
      <c r="CI41" s="75" t="str">
        <f t="shared" si="454"/>
        <v/>
      </c>
      <c r="CJ41" s="75" t="str">
        <f t="shared" si="455"/>
        <v/>
      </c>
      <c r="CK41" s="75" t="str">
        <f t="shared" si="456"/>
        <v/>
      </c>
      <c r="CL41" s="75" t="str">
        <f t="shared" si="457"/>
        <v/>
      </c>
      <c r="CM41" s="75" t="str">
        <f t="shared" si="458"/>
        <v/>
      </c>
      <c r="CN41" s="2" t="str">
        <f t="shared" ca="1" si="459"/>
        <v>지연</v>
      </c>
      <c r="CO41" s="2" t="str">
        <f t="shared" ca="1" si="460"/>
        <v>지연</v>
      </c>
      <c r="CP41" s="2" t="str">
        <f t="shared" ca="1" si="461"/>
        <v>지연</v>
      </c>
      <c r="CQ41" s="2" t="str">
        <f t="shared" ca="1" si="462"/>
        <v>지연</v>
      </c>
      <c r="CR41" s="2" t="str">
        <f t="shared" si="463"/>
        <v>지연</v>
      </c>
      <c r="CS41" s="2"/>
      <c r="CT41" s="2"/>
      <c r="CU41" s="2"/>
      <c r="CV41" s="1"/>
      <c r="CW41" s="169" t="str">
        <f>IF(COUNTIF($CV:$CV,CV41)&gt;1,"중복","")</f>
        <v/>
      </c>
      <c r="CX41" s="2"/>
      <c r="CY41" s="2" t="s">
        <v>670</v>
      </c>
      <c r="CZ41" s="2" t="s">
        <v>670</v>
      </c>
      <c r="DA41" s="2" t="s">
        <v>670</v>
      </c>
      <c r="DB41" s="67" t="s">
        <v>672</v>
      </c>
      <c r="DC41" s="2" t="s">
        <v>87</v>
      </c>
      <c r="DD41" s="2">
        <f t="shared" si="464"/>
        <v>34154</v>
      </c>
      <c r="DE41" s="2" t="str">
        <f>IF(DD41="-","-",VLOOKUP(DD41,'프로젝트 담당자'!$T$3:$W$80,4,0))</f>
        <v>구로</v>
      </c>
      <c r="DF41" s="2" t="s">
        <v>29</v>
      </c>
      <c r="DG41" s="2" t="str">
        <f>VLOOKUP(DD41,'프로젝트 담당자'!$T$2:$Y$80,6,0)</f>
        <v>이진웅</v>
      </c>
      <c r="DH41" s="2" t="s">
        <v>95</v>
      </c>
      <c r="DI41" s="2" t="s">
        <v>112</v>
      </c>
      <c r="DJ41" s="2" t="s">
        <v>95</v>
      </c>
    </row>
    <row r="42" spans="1:114" ht="86.4" x14ac:dyDescent="0.4">
      <c r="A42" s="218">
        <v>925</v>
      </c>
      <c r="B42" s="7">
        <f t="shared" ref="B42:B44" si="470">IFERROR(DATE(D42,E42,F42),"")</f>
        <v>45135</v>
      </c>
      <c r="C42" s="128">
        <f t="shared" ref="C42:C44" si="471">WEEKNUM(B42)</f>
        <v>30</v>
      </c>
      <c r="D42" s="1">
        <v>2023</v>
      </c>
      <c r="E42" s="1">
        <v>7</v>
      </c>
      <c r="F42" s="1">
        <v>28</v>
      </c>
      <c r="G42" s="14">
        <v>45138</v>
      </c>
      <c r="H42" s="1"/>
      <c r="I42" s="1" t="s">
        <v>449</v>
      </c>
      <c r="J42" s="1" t="s">
        <v>476</v>
      </c>
      <c r="K42" s="82" t="str">
        <f t="shared" ref="K42:K44" si="472">IF(OR(L42="경원선 18량",L42="과천안산선 70량",L42="1호선 40량"),"128R",IF(OR(L42="경인선 80량",L42="과천안산선 180량",L42="분당선 108량"),"448R","기타"))</f>
        <v>448R</v>
      </c>
      <c r="L42" s="82" t="str">
        <f>VLOOKUP('2023년 신조차 고장관리 세부현황'!DD42,'프로젝트 담당자'!$T$2:$Z$80,7,0)</f>
        <v>경인선 80량</v>
      </c>
      <c r="M42" s="81" t="s">
        <v>5</v>
      </c>
      <c r="N42" s="1">
        <v>312012</v>
      </c>
      <c r="O42" s="105">
        <f>IF(OR(K42="128R",K42="448R"),VLOOKUP('2023년 신조차 고장관리 세부현황'!DD42,'프로젝트 담당자'!$T$2:$AB$80,9,0),"기타")</f>
        <v>44592</v>
      </c>
      <c r="P42" s="137">
        <f t="shared" si="465"/>
        <v>543</v>
      </c>
      <c r="Q42" s="15" t="s">
        <v>598</v>
      </c>
      <c r="R42" s="90"/>
      <c r="S42" s="1" t="s">
        <v>188</v>
      </c>
      <c r="T42" s="82" t="s">
        <v>17</v>
      </c>
      <c r="U42" s="82" t="s">
        <v>17</v>
      </c>
      <c r="V42" s="82" t="s">
        <v>162</v>
      </c>
      <c r="W42" s="222" t="s">
        <v>26</v>
      </c>
      <c r="X42" s="91" t="s">
        <v>710</v>
      </c>
      <c r="Y42" s="2"/>
      <c r="Z42" s="2"/>
      <c r="AA42" s="2"/>
      <c r="AB42" s="2"/>
      <c r="AC42" s="2"/>
      <c r="AD42" s="2"/>
      <c r="AE42" s="82" t="s">
        <v>173</v>
      </c>
      <c r="AF42" s="80" t="s">
        <v>718</v>
      </c>
      <c r="AG42" s="1"/>
      <c r="AH42" s="1"/>
      <c r="AI42" s="79" t="s">
        <v>659</v>
      </c>
      <c r="AJ42" s="1"/>
      <c r="AK42" s="1"/>
      <c r="AL42" s="80" t="s">
        <v>173</v>
      </c>
      <c r="AM42" s="1"/>
      <c r="AN42" s="1"/>
      <c r="AO42" s="1"/>
      <c r="AP42" s="1"/>
      <c r="AQ42" s="11" t="s">
        <v>373</v>
      </c>
      <c r="AR42" s="3" t="s">
        <v>658</v>
      </c>
      <c r="AS42" s="82" t="s">
        <v>5</v>
      </c>
      <c r="AT42" s="82" t="s">
        <v>5</v>
      </c>
      <c r="AU42" s="1"/>
      <c r="AV42" s="82"/>
      <c r="AW42" s="56" t="s">
        <v>698</v>
      </c>
      <c r="AX42" s="56"/>
      <c r="AY42" s="1"/>
      <c r="AZ42" s="7" t="str">
        <f t="shared" ref="AZ42:AZ44" si="473">IF(OR(AS42="O",AS42="삭제"),"완료","지연")</f>
        <v>지연</v>
      </c>
      <c r="BA42" s="7" t="s">
        <v>128</v>
      </c>
      <c r="BB42" s="82"/>
      <c r="BC42" s="82" t="str">
        <f t="shared" ca="1" si="467"/>
        <v/>
      </c>
      <c r="BD42" s="2"/>
      <c r="BE42" s="7" t="s">
        <v>128</v>
      </c>
      <c r="BF42" s="82"/>
      <c r="BG42" s="82" t="str">
        <f t="shared" ca="1" si="468"/>
        <v/>
      </c>
      <c r="BH42" s="7" t="s">
        <v>128</v>
      </c>
      <c r="BI42" s="82"/>
      <c r="BJ42" s="82" t="str">
        <f t="shared" ca="1" si="469"/>
        <v/>
      </c>
      <c r="BK42" s="2"/>
      <c r="BL42" s="7" t="s">
        <v>128</v>
      </c>
      <c r="BM42" s="82"/>
      <c r="BN42" s="82" t="str">
        <f t="shared" ref="BN42:BN44" ca="1" si="474">IF(ISBLANK(BM42),"",IF(OR(BM42&lt;=BL42,BM42="조치완료보고 대체",BM42="제출불가"),"완료",IF(AND(BM42="-",BL42&gt;=TODAY()),"예정",IF(AND(BM42="-",BL42&lt;TODAY()),"지연",IF(BM42&gt;BL42,"완료","")))))</f>
        <v/>
      </c>
      <c r="BO42" s="2"/>
      <c r="BP42" s="10" t="str">
        <f t="shared" ref="BP42:BP44" si="475">IF(ISBLANK(BA42),"",BA42)</f>
        <v>코레일 협의중</v>
      </c>
      <c r="BQ42" s="10" t="str">
        <f t="shared" ref="BQ42:BQ44" si="476">IF(ISBLANK(BE42),"",BE42)</f>
        <v>코레일 협의중</v>
      </c>
      <c r="BR42" s="10" t="str">
        <f t="shared" ref="BR42:BR44" si="477">IF(ISBLANK(BH42),"",BH42)</f>
        <v>코레일 협의중</v>
      </c>
      <c r="BS42" s="10" t="str">
        <f t="shared" ref="BS42:BS44" si="478">IF(ISBLANK(BL42),"",BL42)</f>
        <v>코레일 협의중</v>
      </c>
      <c r="BT42" s="75" t="str">
        <f t="shared" ref="BT42:BT44" si="479">IF(ISBLANK(BP42),"",IFERROR(YEAR(BP42),""))</f>
        <v/>
      </c>
      <c r="BU42" s="75" t="str">
        <f t="shared" ref="BU42:BU44" si="480">IF(ISBLANK(BQ42),"",IFERROR(YEAR(BQ42),""))</f>
        <v/>
      </c>
      <c r="BV42" s="75" t="str">
        <f t="shared" ref="BV42:BV44" si="481">IF(ISBLANK(BR42),"",IFERROR(YEAR(BR42),""))</f>
        <v/>
      </c>
      <c r="BW42" s="75" t="str">
        <f t="shared" ref="BW42:BW44" si="482">IF(ISBLANK(BS42),"",IFERROR(YEAR(BS42),""))</f>
        <v/>
      </c>
      <c r="BX42" s="75" t="str">
        <f t="shared" ref="BX42:BX44" si="483">IF(ISBLANK(BP42),"",IF(OR(BP42="제출불가",BP42="조치완료보고 대체"),BP42,IFERROR(WEEKNUM(BP42),"")))</f>
        <v/>
      </c>
      <c r="BY42" s="75" t="str">
        <f t="shared" ref="BY42:BY44" si="484">IF(ISBLANK(BQ42),"",IF(OR(BQ42="제출불가",BQ42="조치완료보고 대체"),BQ42,IFERROR(WEEKNUM(BQ42),"")))</f>
        <v/>
      </c>
      <c r="BZ42" s="75" t="str">
        <f t="shared" ref="BZ42:BZ44" si="485">IF(ISBLANK(BR42),"",IF(OR(BR42="제출불가",BR42="조치완료보고 대체"),BR42,IFERROR(WEEKNUM(BR42),"")))</f>
        <v/>
      </c>
      <c r="CA42" s="75" t="str">
        <f t="shared" ref="CA42:CA44" si="486">IF(ISBLANK(BS42),"",IF(OR(BS42="제출불가",BS42="조치완료보고 대체"),BS42,IFERROR(WEEKNUM(BS42),"")))</f>
        <v/>
      </c>
      <c r="CB42" s="10" t="str">
        <f t="shared" ref="CB42:CB44" si="487">IF(ISBLANK(BB42),"",BB42)</f>
        <v/>
      </c>
      <c r="CC42" s="10" t="str">
        <f t="shared" ref="CC42:CC44" si="488">IF(ISBLANK(BF42),"",BF42)</f>
        <v/>
      </c>
      <c r="CD42" s="10" t="str">
        <f t="shared" ref="CD42:CD44" si="489">IF(ISBLANK(BI42),"",BI42)</f>
        <v/>
      </c>
      <c r="CE42" s="10" t="str">
        <f t="shared" ref="CE42:CE44" si="490">IF(ISBLANK(BM42),"",BM42)</f>
        <v/>
      </c>
      <c r="CF42" s="75" t="str">
        <f t="shared" ref="CF42:CF44" si="491">IF(ISBLANK(CB42),"",IFERROR(YEAR(CB42),""))</f>
        <v/>
      </c>
      <c r="CG42" s="75" t="str">
        <f t="shared" ref="CG42:CG44" si="492">IF(ISBLANK(CC42),"",IFERROR(YEAR(CC42),""))</f>
        <v/>
      </c>
      <c r="CH42" s="75" t="str">
        <f t="shared" ref="CH42:CH44" si="493">IF(ISBLANK(CD42),"",IFERROR(YEAR(CD42),""))</f>
        <v/>
      </c>
      <c r="CI42" s="75" t="str">
        <f t="shared" ref="CI42:CI44" si="494">IF(ISBLANK(CE42),"",IFERROR(YEAR(CE42),""))</f>
        <v/>
      </c>
      <c r="CJ42" s="75" t="str">
        <f t="shared" ref="CJ42:CJ44" si="495">IF(ISBLANK(CB42),"",IF(OR(CB42="제출불가",CB42="조치완료보고 대체"),CB42,IFERROR(WEEKNUM(CB42),"")))</f>
        <v/>
      </c>
      <c r="CK42" s="75" t="str">
        <f t="shared" ref="CK42:CK44" si="496">IF(ISBLANK(CC42),"",IF(OR(CC42="제출불가",CC42="조치완료보고 대체"),CC42,IFERROR(WEEKNUM(CC42),"")))</f>
        <v/>
      </c>
      <c r="CL42" s="75" t="str">
        <f t="shared" ref="CL42:CL44" si="497">IF(ISBLANK(CD42),"",IF(OR(CD42="제출불가",CD42="조치완료보고 대체"),CD42,IFERROR(WEEKNUM(CD42),"")))</f>
        <v/>
      </c>
      <c r="CM42" s="75" t="str">
        <f t="shared" ref="CM42:CM44" si="498">IF(ISBLANK(CE42),"",IF(OR(CE42="제출불가",CE42="조치완료보고 대체"),CE42,IFERROR(WEEKNUM(CE42),"")))</f>
        <v/>
      </c>
      <c r="CN42" s="2" t="str">
        <f t="shared" ref="CN42:CN44" ca="1" si="499">BC42</f>
        <v/>
      </c>
      <c r="CO42" s="2" t="str">
        <f t="shared" ref="CO42:CO44" ca="1" si="500">BG42</f>
        <v/>
      </c>
      <c r="CP42" s="2" t="str">
        <f t="shared" ref="CP42:CP44" ca="1" si="501">BJ42</f>
        <v/>
      </c>
      <c r="CQ42" s="2" t="str">
        <f t="shared" ref="CQ42:CQ44" ca="1" si="502">BN42</f>
        <v/>
      </c>
      <c r="CR42" s="2" t="str">
        <f t="shared" ref="CR42:CR44" si="503">IF(BD42="","",BD42)</f>
        <v/>
      </c>
      <c r="CS42" s="2"/>
      <c r="CT42" s="2"/>
      <c r="CU42" s="2"/>
      <c r="CV42" s="79" t="s">
        <v>661</v>
      </c>
      <c r="CW42" s="169" t="str">
        <f>IF(COUNTIF($CV:$CV,CV42)&gt;1,"중복","")</f>
        <v>중복</v>
      </c>
      <c r="CX42" s="2" t="s">
        <v>15</v>
      </c>
      <c r="CY42" s="2" t="s">
        <v>660</v>
      </c>
      <c r="CZ42" s="82" t="s">
        <v>156</v>
      </c>
      <c r="DA42" s="2" t="s">
        <v>17</v>
      </c>
      <c r="DB42" s="67" t="s">
        <v>680</v>
      </c>
      <c r="DC42" s="2" t="s">
        <v>87</v>
      </c>
      <c r="DD42" s="2">
        <f t="shared" ref="DD42:DD44" si="504">IF(N42="-","-",VALUE(LEFT(N42,3)&amp;RIGHT(N42,2)))</f>
        <v>31212</v>
      </c>
      <c r="DE42" s="2" t="str">
        <f>IF(DD42="-","-",VLOOKUP(DD42,'프로젝트 담당자'!$T$3:$W$80,4,0))</f>
        <v>구로</v>
      </c>
      <c r="DF42" s="2" t="s">
        <v>29</v>
      </c>
      <c r="DG42" s="2" t="str">
        <f>VLOOKUP(DD42,'프로젝트 담당자'!$T$2:$Y$80,6,0)</f>
        <v>최우성</v>
      </c>
      <c r="DH42" s="82" t="s">
        <v>91</v>
      </c>
      <c r="DI42" s="2" t="s">
        <v>107</v>
      </c>
      <c r="DJ42" s="82" t="s">
        <v>91</v>
      </c>
    </row>
    <row r="43" spans="1:114" ht="45.6" x14ac:dyDescent="0.4">
      <c r="A43" s="218">
        <v>939</v>
      </c>
      <c r="B43" s="7">
        <f t="shared" si="470"/>
        <v>45140</v>
      </c>
      <c r="C43" s="128">
        <f t="shared" si="471"/>
        <v>31</v>
      </c>
      <c r="D43" s="1">
        <v>2023</v>
      </c>
      <c r="E43" s="1">
        <v>8</v>
      </c>
      <c r="F43" s="1">
        <v>2</v>
      </c>
      <c r="G43" s="14">
        <v>45141</v>
      </c>
      <c r="H43" s="1"/>
      <c r="I43" s="1" t="s">
        <v>449</v>
      </c>
      <c r="J43" s="1" t="s">
        <v>476</v>
      </c>
      <c r="K43" s="82" t="str">
        <f t="shared" si="472"/>
        <v>448R</v>
      </c>
      <c r="L43" s="82" t="str">
        <f>VLOOKUP('2023년 신조차 고장관리 세부현황'!DD43,'프로젝트 담당자'!$T$2:$Z$80,7,0)</f>
        <v>과천안산선 180량</v>
      </c>
      <c r="M43" s="1" t="s">
        <v>528</v>
      </c>
      <c r="N43" s="1">
        <v>341054</v>
      </c>
      <c r="O43" s="105">
        <f>IF(OR(K43="128R",K43="448R"),VLOOKUP('2023년 신조차 고장관리 세부현황'!DD43,'프로젝트 담당자'!$T$2:$AB$80,9,0),"기타")</f>
        <v>44985</v>
      </c>
      <c r="P43" s="137">
        <f t="shared" ref="P43:P44" si="505">IF(OR(V43="삭제",O43="기타"),"",IF(ISBLANK(O43),"",B43-O43))</f>
        <v>155</v>
      </c>
      <c r="Q43" s="89" t="s">
        <v>655</v>
      </c>
      <c r="R43" s="89" t="s">
        <v>656</v>
      </c>
      <c r="S43" s="1"/>
      <c r="T43" s="82" t="s">
        <v>17</v>
      </c>
      <c r="U43" s="82" t="s">
        <v>17</v>
      </c>
      <c r="V43" s="82" t="s">
        <v>162</v>
      </c>
      <c r="W43" s="222" t="s">
        <v>26</v>
      </c>
      <c r="X43" s="334" t="s">
        <v>711</v>
      </c>
      <c r="Y43" s="2"/>
      <c r="Z43" s="2"/>
      <c r="AA43" s="2"/>
      <c r="AB43" s="2"/>
      <c r="AC43" s="2"/>
      <c r="AD43" s="2"/>
      <c r="AE43" s="2"/>
      <c r="AF43" s="2"/>
      <c r="AG43" s="1"/>
      <c r="AH43" s="1"/>
      <c r="AI43" s="1"/>
      <c r="AJ43" s="1"/>
      <c r="AK43" s="1"/>
      <c r="AL43" s="1" t="s">
        <v>270</v>
      </c>
      <c r="AM43" s="1"/>
      <c r="AN43" s="1"/>
      <c r="AO43" s="1"/>
      <c r="AP43" s="1"/>
      <c r="AQ43" s="82" t="s">
        <v>377</v>
      </c>
      <c r="AR43" s="1"/>
      <c r="AS43" s="82" t="s">
        <v>5</v>
      </c>
      <c r="AT43" s="82" t="s">
        <v>5</v>
      </c>
      <c r="AU43" s="1"/>
      <c r="AV43" s="82"/>
      <c r="AW43" s="56" t="s">
        <v>698</v>
      </c>
      <c r="AX43" s="56"/>
      <c r="AY43" s="1"/>
      <c r="AZ43" s="7" t="str">
        <f t="shared" si="473"/>
        <v>지연</v>
      </c>
      <c r="BA43" s="10">
        <v>45148</v>
      </c>
      <c r="BB43" s="82" t="s">
        <v>5</v>
      </c>
      <c r="BC43" s="82" t="str">
        <f t="shared" ca="1" si="467"/>
        <v>지연</v>
      </c>
      <c r="BD43" s="7" t="s">
        <v>459</v>
      </c>
      <c r="BE43" s="10">
        <v>45153</v>
      </c>
      <c r="BF43" s="82" t="s">
        <v>5</v>
      </c>
      <c r="BG43" s="82" t="str">
        <f t="shared" ca="1" si="468"/>
        <v>지연</v>
      </c>
      <c r="BH43" s="10">
        <v>45160</v>
      </c>
      <c r="BI43" s="82" t="s">
        <v>5</v>
      </c>
      <c r="BJ43" s="82" t="str">
        <f t="shared" ca="1" si="469"/>
        <v>지연</v>
      </c>
      <c r="BK43" s="2"/>
      <c r="BL43" s="10">
        <v>45190</v>
      </c>
      <c r="BM43" s="82" t="s">
        <v>5</v>
      </c>
      <c r="BN43" s="82" t="str">
        <f t="shared" ca="1" si="474"/>
        <v>지연</v>
      </c>
      <c r="BO43" s="2"/>
      <c r="BP43" s="10">
        <f t="shared" si="475"/>
        <v>45148</v>
      </c>
      <c r="BQ43" s="10">
        <f t="shared" si="476"/>
        <v>45153</v>
      </c>
      <c r="BR43" s="10">
        <f t="shared" si="477"/>
        <v>45160</v>
      </c>
      <c r="BS43" s="10">
        <f t="shared" si="478"/>
        <v>45190</v>
      </c>
      <c r="BT43" s="75">
        <f t="shared" si="479"/>
        <v>2023</v>
      </c>
      <c r="BU43" s="75">
        <f t="shared" si="480"/>
        <v>2023</v>
      </c>
      <c r="BV43" s="75">
        <f t="shared" si="481"/>
        <v>2023</v>
      </c>
      <c r="BW43" s="75">
        <f t="shared" si="482"/>
        <v>2023</v>
      </c>
      <c r="BX43" s="75">
        <f t="shared" si="483"/>
        <v>32</v>
      </c>
      <c r="BY43" s="75">
        <f t="shared" si="484"/>
        <v>33</v>
      </c>
      <c r="BZ43" s="75">
        <f t="shared" si="485"/>
        <v>34</v>
      </c>
      <c r="CA43" s="75">
        <f t="shared" si="486"/>
        <v>38</v>
      </c>
      <c r="CB43" s="10" t="str">
        <f t="shared" si="487"/>
        <v>-</v>
      </c>
      <c r="CC43" s="10" t="str">
        <f t="shared" si="488"/>
        <v>-</v>
      </c>
      <c r="CD43" s="10" t="str">
        <f t="shared" si="489"/>
        <v>-</v>
      </c>
      <c r="CE43" s="10" t="str">
        <f t="shared" si="490"/>
        <v>-</v>
      </c>
      <c r="CF43" s="75" t="str">
        <f t="shared" si="491"/>
        <v/>
      </c>
      <c r="CG43" s="75" t="str">
        <f t="shared" si="492"/>
        <v/>
      </c>
      <c r="CH43" s="75" t="str">
        <f t="shared" si="493"/>
        <v/>
      </c>
      <c r="CI43" s="75" t="str">
        <f t="shared" si="494"/>
        <v/>
      </c>
      <c r="CJ43" s="75" t="str">
        <f t="shared" si="495"/>
        <v/>
      </c>
      <c r="CK43" s="75" t="str">
        <f t="shared" si="496"/>
        <v/>
      </c>
      <c r="CL43" s="75" t="str">
        <f t="shared" si="497"/>
        <v/>
      </c>
      <c r="CM43" s="75" t="str">
        <f t="shared" si="498"/>
        <v/>
      </c>
      <c r="CN43" s="2" t="str">
        <f t="shared" ca="1" si="499"/>
        <v>지연</v>
      </c>
      <c r="CO43" s="2" t="str">
        <f t="shared" ca="1" si="500"/>
        <v>지연</v>
      </c>
      <c r="CP43" s="2" t="str">
        <f t="shared" ca="1" si="501"/>
        <v>지연</v>
      </c>
      <c r="CQ43" s="2" t="str">
        <f t="shared" ca="1" si="502"/>
        <v>지연</v>
      </c>
      <c r="CR43" s="2" t="str">
        <f t="shared" si="503"/>
        <v>지연</v>
      </c>
      <c r="CS43" s="2"/>
      <c r="CT43" s="2"/>
      <c r="CU43" s="2"/>
      <c r="CV43" s="1"/>
      <c r="CW43" s="169" t="str">
        <f>IF(COUNTIF($CV:$CV,CV43)&gt;1,"중복","")</f>
        <v/>
      </c>
      <c r="CX43" s="2"/>
      <c r="CY43" s="2" t="s">
        <v>670</v>
      </c>
      <c r="CZ43" s="2"/>
      <c r="DA43" s="2"/>
      <c r="DB43" s="67" t="s">
        <v>681</v>
      </c>
      <c r="DC43" s="2" t="s">
        <v>87</v>
      </c>
      <c r="DD43" s="2">
        <f t="shared" si="504"/>
        <v>34154</v>
      </c>
      <c r="DE43" s="2" t="str">
        <f>IF(DD43="-","-",VLOOKUP(DD43,'프로젝트 담당자'!$T$3:$W$80,4,0))</f>
        <v>구로</v>
      </c>
      <c r="DF43" s="2" t="s">
        <v>29</v>
      </c>
      <c r="DG43" s="2" t="str">
        <f>VLOOKUP(DD43,'프로젝트 담당자'!$T$2:$Y$80,6,0)</f>
        <v>이진웅</v>
      </c>
      <c r="DH43" s="2" t="s">
        <v>91</v>
      </c>
      <c r="DI43" s="2" t="s">
        <v>107</v>
      </c>
      <c r="DJ43" s="2" t="s">
        <v>91</v>
      </c>
    </row>
    <row r="44" spans="1:114" ht="82.8" x14ac:dyDescent="0.4">
      <c r="A44" s="218">
        <v>957</v>
      </c>
      <c r="B44" s="7">
        <f t="shared" si="470"/>
        <v>45142</v>
      </c>
      <c r="C44" s="128">
        <f t="shared" si="471"/>
        <v>31</v>
      </c>
      <c r="D44" s="56">
        <v>2023</v>
      </c>
      <c r="E44" s="56">
        <v>8</v>
      </c>
      <c r="F44" s="56">
        <v>4</v>
      </c>
      <c r="G44" s="71">
        <v>45145</v>
      </c>
      <c r="H44" s="56"/>
      <c r="I44" s="82" t="s">
        <v>449</v>
      </c>
      <c r="J44" s="82" t="s">
        <v>476</v>
      </c>
      <c r="K44" s="82" t="str">
        <f t="shared" si="472"/>
        <v>448R</v>
      </c>
      <c r="L44" s="82" t="str">
        <f>VLOOKUP('2023년 신조차 고장관리 세부현황'!DD44,'프로젝트 담당자'!$T$2:$Z$80,7,0)</f>
        <v>과천안산선 180량</v>
      </c>
      <c r="M44" s="8" t="s">
        <v>5</v>
      </c>
      <c r="N44" s="56">
        <v>341053</v>
      </c>
      <c r="O44" s="105">
        <f>IF(OR(K44="128R",K44="448R"),VLOOKUP('2023년 신조차 고장관리 세부현황'!DD44,'프로젝트 담당자'!$T$2:$AB$80,9,0),"기타")</f>
        <v>44957</v>
      </c>
      <c r="P44" s="137">
        <f t="shared" si="505"/>
        <v>185</v>
      </c>
      <c r="Q44" s="89" t="s">
        <v>663</v>
      </c>
      <c r="R44" s="89" t="s">
        <v>664</v>
      </c>
      <c r="S44" s="56"/>
      <c r="T44" s="82" t="s">
        <v>17</v>
      </c>
      <c r="U44" s="82" t="s">
        <v>17</v>
      </c>
      <c r="V44" s="82" t="s">
        <v>162</v>
      </c>
      <c r="W44" s="222" t="s">
        <v>26</v>
      </c>
      <c r="X44" s="334" t="s">
        <v>712</v>
      </c>
      <c r="Y44" s="82"/>
      <c r="Z44" s="82"/>
      <c r="AA44" s="82"/>
      <c r="AB44" s="82"/>
      <c r="AC44" s="82"/>
      <c r="AD44" s="82"/>
      <c r="AE44" s="82" t="s">
        <v>696</v>
      </c>
      <c r="AF44" s="82" t="s">
        <v>719</v>
      </c>
      <c r="AG44" s="56"/>
      <c r="AH44" s="56"/>
      <c r="AI44" s="56"/>
      <c r="AJ44" s="56"/>
      <c r="AK44" s="56"/>
      <c r="AL44" s="1" t="s">
        <v>173</v>
      </c>
      <c r="AM44" s="56"/>
      <c r="AN44" s="56"/>
      <c r="AO44" s="56"/>
      <c r="AP44" s="56"/>
      <c r="AQ44" s="82" t="s">
        <v>373</v>
      </c>
      <c r="AR44" s="56"/>
      <c r="AS44" s="53" t="s">
        <v>10</v>
      </c>
      <c r="AT44" s="7">
        <v>45174</v>
      </c>
      <c r="AU44" s="82" t="s">
        <v>424</v>
      </c>
      <c r="AV44" s="82"/>
      <c r="AW44" s="56"/>
      <c r="AX44" s="56"/>
      <c r="AY44" s="56"/>
      <c r="AZ44" s="7" t="str">
        <f t="shared" si="473"/>
        <v>완료</v>
      </c>
      <c r="BA44" s="7" t="s">
        <v>128</v>
      </c>
      <c r="BB44" s="82"/>
      <c r="BC44" s="82" t="str">
        <f t="shared" ref="BC44" ca="1" si="506">IF(ISBLANK(BB44),"",IF(OR(BB44&lt;=BA44,BB44="조치완료보고 대체",BB44="제출불가"),"완료",IF(AND(BB44="-",BA44&gt;=TODAY()),"예정",IF(AND(BB44="-",BA44&lt;TODAY()),"지연",IF(BB44&gt;BA44,"완료","")))))</f>
        <v/>
      </c>
      <c r="BD44" s="7"/>
      <c r="BE44" s="7" t="s">
        <v>128</v>
      </c>
      <c r="BF44" s="82"/>
      <c r="BG44" s="82" t="str">
        <f t="shared" ref="BG44" ca="1" si="507">IF(ISBLANK(BF44),"",IF(OR(BF44&lt;=BE44,BF44="조치완료보고 대체",BF44="제출불가"),"완료",IF(AND(BF44="-",BE44&gt;=TODAY()),"예정",IF(AND(BF44="-",BE44&lt;TODAY()),"지연",IF(BF44&gt;BE44,"완료","")))))</f>
        <v/>
      </c>
      <c r="BH44" s="7" t="s">
        <v>128</v>
      </c>
      <c r="BI44" s="82"/>
      <c r="BJ44" s="82" t="str">
        <f t="shared" ref="BJ44" ca="1" si="508">IF(ISBLANK(BI44),"",IF(OR(BI44&lt;=BH44,BI44="조치완료보고 대체",BI44="제출불가"),"완료",IF(AND(BI44="-",BH44&gt;=TODAY()),"예정",IF(AND(BI44="-",BH44&lt;TODAY()),"지연",IF(BI44&gt;BH44,"완료","")))))</f>
        <v/>
      </c>
      <c r="BK44" s="82"/>
      <c r="BL44" s="7" t="s">
        <v>128</v>
      </c>
      <c r="BM44" s="82"/>
      <c r="BN44" s="82" t="str">
        <f t="shared" ca="1" si="474"/>
        <v/>
      </c>
      <c r="BO44" s="82"/>
      <c r="BP44" s="10" t="str">
        <f t="shared" si="475"/>
        <v>코레일 협의중</v>
      </c>
      <c r="BQ44" s="10" t="str">
        <f t="shared" si="476"/>
        <v>코레일 협의중</v>
      </c>
      <c r="BR44" s="10" t="str">
        <f t="shared" si="477"/>
        <v>코레일 협의중</v>
      </c>
      <c r="BS44" s="10" t="str">
        <f t="shared" si="478"/>
        <v>코레일 협의중</v>
      </c>
      <c r="BT44" s="75" t="str">
        <f t="shared" si="479"/>
        <v/>
      </c>
      <c r="BU44" s="75" t="str">
        <f t="shared" si="480"/>
        <v/>
      </c>
      <c r="BV44" s="75" t="str">
        <f t="shared" si="481"/>
        <v/>
      </c>
      <c r="BW44" s="75" t="str">
        <f t="shared" si="482"/>
        <v/>
      </c>
      <c r="BX44" s="75" t="str">
        <f t="shared" si="483"/>
        <v/>
      </c>
      <c r="BY44" s="75" t="str">
        <f t="shared" si="484"/>
        <v/>
      </c>
      <c r="BZ44" s="75" t="str">
        <f t="shared" si="485"/>
        <v/>
      </c>
      <c r="CA44" s="75" t="str">
        <f t="shared" si="486"/>
        <v/>
      </c>
      <c r="CB44" s="10" t="str">
        <f t="shared" si="487"/>
        <v/>
      </c>
      <c r="CC44" s="10" t="str">
        <f t="shared" si="488"/>
        <v/>
      </c>
      <c r="CD44" s="10" t="str">
        <f t="shared" si="489"/>
        <v/>
      </c>
      <c r="CE44" s="10" t="str">
        <f t="shared" si="490"/>
        <v/>
      </c>
      <c r="CF44" s="75" t="str">
        <f t="shared" si="491"/>
        <v/>
      </c>
      <c r="CG44" s="75" t="str">
        <f t="shared" si="492"/>
        <v/>
      </c>
      <c r="CH44" s="75" t="str">
        <f t="shared" si="493"/>
        <v/>
      </c>
      <c r="CI44" s="75" t="str">
        <f t="shared" si="494"/>
        <v/>
      </c>
      <c r="CJ44" s="75" t="str">
        <f t="shared" si="495"/>
        <v/>
      </c>
      <c r="CK44" s="75" t="str">
        <f t="shared" si="496"/>
        <v/>
      </c>
      <c r="CL44" s="75" t="str">
        <f t="shared" si="497"/>
        <v/>
      </c>
      <c r="CM44" s="75" t="str">
        <f t="shared" si="498"/>
        <v/>
      </c>
      <c r="CN44" s="2" t="str">
        <f t="shared" ca="1" si="499"/>
        <v/>
      </c>
      <c r="CO44" s="2" t="str">
        <f t="shared" ca="1" si="500"/>
        <v/>
      </c>
      <c r="CP44" s="2" t="str">
        <f t="shared" ca="1" si="501"/>
        <v/>
      </c>
      <c r="CQ44" s="2" t="str">
        <f t="shared" ca="1" si="502"/>
        <v/>
      </c>
      <c r="CR44" s="2" t="str">
        <f t="shared" si="503"/>
        <v/>
      </c>
      <c r="CS44" s="2"/>
      <c r="CT44" s="2"/>
      <c r="CU44" s="2"/>
      <c r="CV44" s="56"/>
      <c r="CW44" s="169" t="str">
        <f>IF(COUNTIF($CV:$CV,CV44)&gt;1,"중복","")</f>
        <v/>
      </c>
      <c r="CX44" s="56" t="s">
        <v>188</v>
      </c>
      <c r="CY44" s="56" t="s">
        <v>700</v>
      </c>
      <c r="CZ44" s="56"/>
      <c r="DA44" s="56"/>
      <c r="DB44" s="67" t="s">
        <v>87</v>
      </c>
      <c r="DC44" s="56" t="s">
        <v>87</v>
      </c>
      <c r="DD44" s="2">
        <f t="shared" si="504"/>
        <v>34153</v>
      </c>
      <c r="DE44" s="2" t="str">
        <f>IF(DD44="-","-",VLOOKUP(DD44,'프로젝트 담당자'!$T$3:$W$80,4,0))</f>
        <v>구로</v>
      </c>
      <c r="DF44" s="2" t="s">
        <v>29</v>
      </c>
      <c r="DG44" s="2" t="str">
        <f>VLOOKUP(DD44,'프로젝트 담당자'!$T$2:$Y$80,6,0)</f>
        <v>이진웅</v>
      </c>
      <c r="DH44" s="82" t="s">
        <v>91</v>
      </c>
      <c r="DI44" s="82" t="s">
        <v>107</v>
      </c>
      <c r="DJ44" s="56"/>
    </row>
    <row r="45" spans="1:114" ht="73.2" x14ac:dyDescent="0.4">
      <c r="A45" s="218">
        <v>1031</v>
      </c>
      <c r="B45" s="7">
        <f t="shared" ref="B45:B46" si="509">IFERROR(DATE(D45,E45,F45),"")</f>
        <v>45157</v>
      </c>
      <c r="C45" s="128">
        <f t="shared" ref="C45:C46" si="510">WEEKNUM(B45)</f>
        <v>33</v>
      </c>
      <c r="D45" s="1">
        <v>2023</v>
      </c>
      <c r="E45" s="1">
        <v>8</v>
      </c>
      <c r="F45" s="1">
        <v>19</v>
      </c>
      <c r="G45" s="14">
        <v>45159</v>
      </c>
      <c r="H45" s="1"/>
      <c r="I45" s="1" t="s">
        <v>449</v>
      </c>
      <c r="J45" s="1" t="s">
        <v>476</v>
      </c>
      <c r="K45" s="82" t="str">
        <f t="shared" ref="K45:K46" si="511">IF(OR(L45="경원선 18량",L45="과천안산선 70량",L45="1호선 40량"),"128R",IF(OR(L45="경인선 80량",L45="과천안산선 180량",L45="분당선 108량"),"448R","기타"))</f>
        <v>448R</v>
      </c>
      <c r="L45" s="82" t="str">
        <f>VLOOKUP('2023년 신조차 고장관리 세부현황'!DD45,'프로젝트 담당자'!$T$2:$Z$80,7,0)</f>
        <v>과천안산선 180량</v>
      </c>
      <c r="M45" s="355" t="s">
        <v>5</v>
      </c>
      <c r="N45" s="1">
        <v>341055</v>
      </c>
      <c r="O45" s="105">
        <f>IF(OR(K45="128R",K45="448R"),VLOOKUP('2023년 신조차 고장관리 세부현황'!DD45,'프로젝트 담당자'!$T$2:$AB$80,9,0),"기타")</f>
        <v>45016</v>
      </c>
      <c r="P45" s="137">
        <f t="shared" ref="P45:P46" si="512">IF(OR(V45="삭제",O45="기타"),"",IF(ISBLANK(O45),"",B45-O45))</f>
        <v>141</v>
      </c>
      <c r="Q45" s="93" t="s">
        <v>674</v>
      </c>
      <c r="R45" s="93" t="s">
        <v>675</v>
      </c>
      <c r="S45" s="1"/>
      <c r="T45" s="82" t="s">
        <v>17</v>
      </c>
      <c r="U45" s="82" t="s">
        <v>17</v>
      </c>
      <c r="V45" s="82" t="s">
        <v>162</v>
      </c>
      <c r="W45" s="222" t="s">
        <v>26</v>
      </c>
      <c r="X45" s="354" t="s">
        <v>713</v>
      </c>
      <c r="Y45" s="2"/>
      <c r="Z45" s="2"/>
      <c r="AA45" s="2"/>
      <c r="AB45" s="2"/>
      <c r="AC45" s="2"/>
      <c r="AD45" s="2"/>
      <c r="AE45" s="2"/>
      <c r="AF45" s="2"/>
      <c r="AG45" s="1"/>
      <c r="AH45" s="1"/>
      <c r="AI45" s="1"/>
      <c r="AJ45" s="1"/>
      <c r="AK45" s="1"/>
      <c r="AL45" s="1" t="s">
        <v>270</v>
      </c>
      <c r="AM45" s="1"/>
      <c r="AN45" s="1"/>
      <c r="AO45" s="1"/>
      <c r="AP45" s="1"/>
      <c r="AQ45" s="82" t="s">
        <v>377</v>
      </c>
      <c r="AR45" s="1"/>
      <c r="AS45" s="82" t="s">
        <v>5</v>
      </c>
      <c r="AT45" s="82" t="s">
        <v>5</v>
      </c>
      <c r="AU45" s="1"/>
      <c r="AV45" s="82"/>
      <c r="AW45" s="56" t="s">
        <v>698</v>
      </c>
      <c r="AX45" s="56"/>
      <c r="AY45" s="1"/>
      <c r="AZ45" s="7" t="str">
        <f t="shared" ref="AZ45:AZ46" si="513">IF(OR(AS45="O",AS45="삭제"),"완료","지연")</f>
        <v>지연</v>
      </c>
      <c r="BA45" s="10">
        <v>45166</v>
      </c>
      <c r="BB45" s="82" t="s">
        <v>5</v>
      </c>
      <c r="BC45" s="82" t="str">
        <f t="shared" ref="BC45:BC46" ca="1" si="514">IF(ISBLANK(BB45),"",IF(OR(BB45&lt;=BA45,BB45="조치완료보고 대체",BB45="제출불가"),"완료",IF(AND(BB45="-",BA45&gt;=TODAY()),"예정",IF(AND(BB45="-",BA45&lt;TODAY()),"지연",IF(BB45&gt;BA45,"완료","")))))</f>
        <v>지연</v>
      </c>
      <c r="BD45" s="7" t="s">
        <v>459</v>
      </c>
      <c r="BE45" s="10">
        <v>45171</v>
      </c>
      <c r="BF45" s="82" t="s">
        <v>5</v>
      </c>
      <c r="BG45" s="82" t="str">
        <f t="shared" ref="BG45:BG46" ca="1" si="515">IF(ISBLANK(BF45),"",IF(OR(BF45&lt;=BE45,BF45="조치완료보고 대체",BF45="제출불가"),"완료",IF(AND(BF45="-",BE45&gt;=TODAY()),"예정",IF(AND(BF45="-",BE45&lt;TODAY()),"지연",IF(BF45&gt;BE45,"완료","")))))</f>
        <v>지연</v>
      </c>
      <c r="BH45" s="10">
        <v>45178</v>
      </c>
      <c r="BI45" s="82" t="s">
        <v>5</v>
      </c>
      <c r="BJ45" s="82" t="str">
        <f t="shared" ref="BJ45:BJ46" ca="1" si="516">IF(ISBLANK(BI45),"",IF(OR(BI45&lt;=BH45,BI45="조치완료보고 대체",BI45="제출불가"),"완료",IF(AND(BI45="-",BH45&gt;=TODAY()),"예정",IF(AND(BI45="-",BH45&lt;TODAY()),"지연",IF(BI45&gt;BH45,"완료","")))))</f>
        <v>지연</v>
      </c>
      <c r="BK45" s="2"/>
      <c r="BL45" s="10">
        <v>45208</v>
      </c>
      <c r="BM45" s="82" t="s">
        <v>5</v>
      </c>
      <c r="BN45" s="82" t="str">
        <f t="shared" ref="BN45" ca="1" si="517">IF(ISBLANK(BM45),"",IF(OR(BM45&lt;=BL45,BM45="조치완료보고 대체",BM45="제출불가"),"완료",IF(AND(BM45="-",BL45&gt;=TODAY()),"예정",IF(AND(BM45="-",BL45&lt;TODAY()),"지연",IF(BM45&gt;BL45,"완료","")))))</f>
        <v>지연</v>
      </c>
      <c r="BO45" s="2"/>
      <c r="BP45" s="7">
        <f t="shared" ref="BP45:BP46" si="518">IF(ISBLANK(BA45),"",BA45)</f>
        <v>45166</v>
      </c>
      <c r="BQ45" s="7">
        <f t="shared" ref="BQ45:BQ46" si="519">IF(ISBLANK(BE45),"",BE45)</f>
        <v>45171</v>
      </c>
      <c r="BR45" s="7">
        <f t="shared" ref="BR45:BR46" si="520">IF(ISBLANK(BH45),"",BH45)</f>
        <v>45178</v>
      </c>
      <c r="BS45" s="7">
        <f t="shared" ref="BS45:BS46" si="521">IF(ISBLANK(BL45),"",BL45)</f>
        <v>45208</v>
      </c>
      <c r="BT45" s="128">
        <f t="shared" ref="BT45:BT46" si="522">IF(ISBLANK(BP45),"",IFERROR(YEAR(BP45),""))</f>
        <v>2023</v>
      </c>
      <c r="BU45" s="128">
        <f t="shared" ref="BU45:BU46" si="523">IF(ISBLANK(BQ45),"",IFERROR(YEAR(BQ45),""))</f>
        <v>2023</v>
      </c>
      <c r="BV45" s="128">
        <f t="shared" ref="BV45:BV46" si="524">IF(ISBLANK(BR45),"",IFERROR(YEAR(BR45),""))</f>
        <v>2023</v>
      </c>
      <c r="BW45" s="128">
        <f t="shared" ref="BW45:BW46" si="525">IF(ISBLANK(BS45),"",IFERROR(YEAR(BS45),""))</f>
        <v>2023</v>
      </c>
      <c r="BX45" s="128">
        <f t="shared" ref="BX45:BX46" si="526">IF(ISBLANK(BP45),"",IF(OR(BP45="제출불가",BP45="조치완료보고 대체"),BP45,IFERROR(WEEKNUM(BP45),"")))</f>
        <v>35</v>
      </c>
      <c r="BY45" s="128">
        <f t="shared" ref="BY45:BY46" si="527">IF(ISBLANK(BQ45),"",IF(OR(BQ45="제출불가",BQ45="조치완료보고 대체"),BQ45,IFERROR(WEEKNUM(BQ45),"")))</f>
        <v>35</v>
      </c>
      <c r="BZ45" s="128">
        <f t="shared" ref="BZ45:BZ46" si="528">IF(ISBLANK(BR45),"",IF(OR(BR45="제출불가",BR45="조치완료보고 대체"),BR45,IFERROR(WEEKNUM(BR45),"")))</f>
        <v>36</v>
      </c>
      <c r="CA45" s="128">
        <f t="shared" ref="CA45:CA46" si="529">IF(ISBLANK(BS45),"",IF(OR(BS45="제출불가",BS45="조치완료보고 대체"),BS45,IFERROR(WEEKNUM(BS45),"")))</f>
        <v>41</v>
      </c>
      <c r="CB45" s="7" t="str">
        <f t="shared" ref="CB45:CB46" si="530">IF(ISBLANK(BB45),"",BB45)</f>
        <v>-</v>
      </c>
      <c r="CC45" s="7" t="str">
        <f t="shared" ref="CC45:CC46" si="531">IF(ISBLANK(BF45),"",BF45)</f>
        <v>-</v>
      </c>
      <c r="CD45" s="7" t="str">
        <f t="shared" ref="CD45:CD46" si="532">IF(ISBLANK(BI45),"",BI45)</f>
        <v>-</v>
      </c>
      <c r="CE45" s="7" t="str">
        <f t="shared" ref="CE45:CE46" si="533">IF(ISBLANK(BM45),"",BM45)</f>
        <v>-</v>
      </c>
      <c r="CF45" s="128" t="str">
        <f t="shared" ref="CF45:CF46" si="534">IF(ISBLANK(CB45),"",IFERROR(YEAR(CB45),""))</f>
        <v/>
      </c>
      <c r="CG45" s="128" t="str">
        <f t="shared" ref="CG45:CG46" si="535">IF(ISBLANK(CC45),"",IFERROR(YEAR(CC45),""))</f>
        <v/>
      </c>
      <c r="CH45" s="128" t="str">
        <f t="shared" ref="CH45:CH46" si="536">IF(ISBLANK(CD45),"",IFERROR(YEAR(CD45),""))</f>
        <v/>
      </c>
      <c r="CI45" s="128" t="str">
        <f t="shared" ref="CI45:CI46" si="537">IF(ISBLANK(CE45),"",IFERROR(YEAR(CE45),""))</f>
        <v/>
      </c>
      <c r="CJ45" s="128" t="str">
        <f t="shared" ref="CJ45:CJ46" si="538">IF(ISBLANK(CB45),"",IF(OR(CB45="제출불가",CB45="조치완료보고 대체"),CB45,IFERROR(WEEKNUM(CB45),"")))</f>
        <v/>
      </c>
      <c r="CK45" s="128" t="str">
        <f t="shared" ref="CK45:CK46" si="539">IF(ISBLANK(CC45),"",IF(OR(CC45="제출불가",CC45="조치완료보고 대체"),CC45,IFERROR(WEEKNUM(CC45),"")))</f>
        <v/>
      </c>
      <c r="CL45" s="128" t="str">
        <f t="shared" ref="CL45:CL46" si="540">IF(ISBLANK(CD45),"",IF(OR(CD45="제출불가",CD45="조치완료보고 대체"),CD45,IFERROR(WEEKNUM(CD45),"")))</f>
        <v/>
      </c>
      <c r="CM45" s="128" t="str">
        <f t="shared" ref="CM45:CM46" si="541">IF(ISBLANK(CE45),"",IF(OR(CE45="제출불가",CE45="조치완료보고 대체"),CE45,IFERROR(WEEKNUM(CE45),"")))</f>
        <v/>
      </c>
      <c r="CN45" s="82" t="str">
        <f t="shared" ref="CN45:CN46" ca="1" si="542">BC45</f>
        <v>지연</v>
      </c>
      <c r="CO45" s="82" t="str">
        <f t="shared" ref="CO45:CO46" ca="1" si="543">BG45</f>
        <v>지연</v>
      </c>
      <c r="CP45" s="82" t="str">
        <f t="shared" ref="CP45:CP46" ca="1" si="544">BJ45</f>
        <v>지연</v>
      </c>
      <c r="CQ45" s="82" t="str">
        <f t="shared" ref="CQ45:CQ46" ca="1" si="545">BN45</f>
        <v>지연</v>
      </c>
      <c r="CR45" s="82" t="str">
        <f t="shared" ref="CR45:CR46" si="546">IF(BD45="","",BD45)</f>
        <v>지연</v>
      </c>
      <c r="CS45" s="82"/>
      <c r="CT45" s="82"/>
      <c r="CU45" s="82"/>
      <c r="CV45" s="1"/>
      <c r="CW45" s="169" t="str">
        <f>IF(COUNTIF($CV:$CV,CV45)&gt;1,"중복","")</f>
        <v/>
      </c>
      <c r="CX45" s="1" t="s">
        <v>15</v>
      </c>
      <c r="CY45" s="1" t="s">
        <v>156</v>
      </c>
      <c r="CZ45" s="1"/>
      <c r="DA45" s="1"/>
      <c r="DB45" s="1" t="s">
        <v>87</v>
      </c>
      <c r="DC45" s="1" t="s">
        <v>87</v>
      </c>
      <c r="DD45" s="82">
        <f t="shared" ref="DD45:DD46" si="547">IF(N45="-","-",VALUE(LEFT(N45,3)&amp;RIGHT(N45,2)))</f>
        <v>34155</v>
      </c>
      <c r="DE45" s="82" t="str">
        <f>IF(DD45="-","-",VLOOKUP(DD45,'프로젝트 담당자'!$T$3:$W$80,4,0))</f>
        <v>구로</v>
      </c>
      <c r="DF45" s="82" t="s">
        <v>29</v>
      </c>
      <c r="DG45" s="82" t="str">
        <f>VLOOKUP(DD45,'프로젝트 담당자'!$T$2:$Y$80,6,0)</f>
        <v>이진웅</v>
      </c>
      <c r="DH45" s="82" t="s">
        <v>95</v>
      </c>
      <c r="DI45" s="2" t="s">
        <v>112</v>
      </c>
    </row>
    <row r="46" spans="1:114" ht="50.4" x14ac:dyDescent="0.4">
      <c r="A46" s="212">
        <v>1040</v>
      </c>
      <c r="B46" s="7">
        <f t="shared" si="509"/>
        <v>45160</v>
      </c>
      <c r="C46" s="128">
        <f t="shared" si="510"/>
        <v>34</v>
      </c>
      <c r="D46" s="56">
        <v>2023</v>
      </c>
      <c r="E46" s="56">
        <v>8</v>
      </c>
      <c r="F46" s="56">
        <v>22</v>
      </c>
      <c r="G46" s="71">
        <v>45161</v>
      </c>
      <c r="H46" s="56"/>
      <c r="I46" s="56" t="s">
        <v>449</v>
      </c>
      <c r="J46" s="56" t="s">
        <v>476</v>
      </c>
      <c r="K46" s="82" t="str">
        <f t="shared" si="511"/>
        <v>448R</v>
      </c>
      <c r="L46" s="82" t="str">
        <f>VLOOKUP('2023년 신조차 고장관리 세부현황'!DD46,'프로젝트 담당자'!$T$2:$Z$80,7,0)</f>
        <v>과천안산선 180량</v>
      </c>
      <c r="M46" s="56" t="s">
        <v>5</v>
      </c>
      <c r="N46" s="56">
        <v>341044</v>
      </c>
      <c r="O46" s="105">
        <f>IF(OR(K46="128R",K46="448R"),VLOOKUP('2023년 신조차 고장관리 세부현황'!DD46,'프로젝트 담당자'!$T$2:$AB$80,9,0),"기타")</f>
        <v>44773</v>
      </c>
      <c r="P46" s="137">
        <f t="shared" si="512"/>
        <v>387</v>
      </c>
      <c r="Q46" s="93" t="s">
        <v>676</v>
      </c>
      <c r="R46" s="93" t="s">
        <v>677</v>
      </c>
      <c r="S46" s="56"/>
      <c r="T46" s="82" t="s">
        <v>17</v>
      </c>
      <c r="U46" s="82" t="s">
        <v>17</v>
      </c>
      <c r="V46" s="82" t="s">
        <v>162</v>
      </c>
      <c r="W46" s="221" t="s">
        <v>690</v>
      </c>
      <c r="X46" s="354" t="s">
        <v>714</v>
      </c>
      <c r="Y46" s="82"/>
      <c r="Z46" s="82"/>
      <c r="AA46" s="82"/>
      <c r="AB46" s="82"/>
      <c r="AC46" s="82"/>
      <c r="AD46" s="82"/>
      <c r="AE46" s="82"/>
      <c r="AF46" s="82"/>
      <c r="AG46" s="56"/>
      <c r="AH46" s="56"/>
      <c r="AI46" s="56"/>
      <c r="AJ46" s="56"/>
      <c r="AK46" s="56"/>
      <c r="AL46" s="56" t="s">
        <v>270</v>
      </c>
      <c r="AM46" s="56"/>
      <c r="AN46" s="56"/>
      <c r="AO46" s="56"/>
      <c r="AP46" s="56"/>
      <c r="AQ46" s="82" t="s">
        <v>377</v>
      </c>
      <c r="AR46" s="56"/>
      <c r="AS46" s="82" t="s">
        <v>5</v>
      </c>
      <c r="AT46" s="82" t="s">
        <v>5</v>
      </c>
      <c r="AU46" s="56"/>
      <c r="AV46" s="82"/>
      <c r="AW46" s="56" t="s">
        <v>698</v>
      </c>
      <c r="AX46" s="56"/>
      <c r="AY46" s="56"/>
      <c r="AZ46" s="7" t="str">
        <f t="shared" si="513"/>
        <v>지연</v>
      </c>
      <c r="BA46" s="7">
        <v>45168</v>
      </c>
      <c r="BB46" s="82" t="s">
        <v>5</v>
      </c>
      <c r="BC46" s="82" t="str">
        <f t="shared" ca="1" si="514"/>
        <v>지연</v>
      </c>
      <c r="BD46" s="7" t="s">
        <v>459</v>
      </c>
      <c r="BE46" s="7">
        <v>45173</v>
      </c>
      <c r="BF46" s="82" t="s">
        <v>5</v>
      </c>
      <c r="BG46" s="82" t="str">
        <f t="shared" ca="1" si="515"/>
        <v>지연</v>
      </c>
      <c r="BH46" s="7">
        <v>45180</v>
      </c>
      <c r="BI46" s="82" t="s">
        <v>5</v>
      </c>
      <c r="BJ46" s="82" t="str">
        <f t="shared" ca="1" si="516"/>
        <v>지연</v>
      </c>
      <c r="BK46" s="82"/>
      <c r="BL46" s="7">
        <v>45210</v>
      </c>
      <c r="BM46" s="82" t="s">
        <v>5</v>
      </c>
      <c r="BN46" s="82" t="str">
        <f t="shared" ref="BN46" ca="1" si="548">IF(ISBLANK(BM46),"",IF(OR(BM46&lt;=BL46,BM46="조치완료보고 대체",BM46="제출불가"),"완료",IF(AND(BM46="-",BL46&gt;=TODAY()),"예정",IF(AND(BM46="-",BL46&lt;TODAY()),"지연",IF(BM46&gt;BL46,"완료","")))))</f>
        <v>지연</v>
      </c>
      <c r="BO46" s="82"/>
      <c r="BP46" s="7">
        <f t="shared" si="518"/>
        <v>45168</v>
      </c>
      <c r="BQ46" s="7">
        <f t="shared" si="519"/>
        <v>45173</v>
      </c>
      <c r="BR46" s="7">
        <f t="shared" si="520"/>
        <v>45180</v>
      </c>
      <c r="BS46" s="7">
        <f t="shared" si="521"/>
        <v>45210</v>
      </c>
      <c r="BT46" s="128">
        <f t="shared" si="522"/>
        <v>2023</v>
      </c>
      <c r="BU46" s="128">
        <f t="shared" si="523"/>
        <v>2023</v>
      </c>
      <c r="BV46" s="128">
        <f t="shared" si="524"/>
        <v>2023</v>
      </c>
      <c r="BW46" s="128">
        <f t="shared" si="525"/>
        <v>2023</v>
      </c>
      <c r="BX46" s="128">
        <f t="shared" si="526"/>
        <v>35</v>
      </c>
      <c r="BY46" s="128">
        <f t="shared" si="527"/>
        <v>36</v>
      </c>
      <c r="BZ46" s="128">
        <f t="shared" si="528"/>
        <v>37</v>
      </c>
      <c r="CA46" s="128">
        <f t="shared" si="529"/>
        <v>41</v>
      </c>
      <c r="CB46" s="7" t="str">
        <f t="shared" si="530"/>
        <v>-</v>
      </c>
      <c r="CC46" s="7" t="str">
        <f t="shared" si="531"/>
        <v>-</v>
      </c>
      <c r="CD46" s="7" t="str">
        <f t="shared" si="532"/>
        <v>-</v>
      </c>
      <c r="CE46" s="7" t="str">
        <f t="shared" si="533"/>
        <v>-</v>
      </c>
      <c r="CF46" s="128" t="str">
        <f t="shared" si="534"/>
        <v/>
      </c>
      <c r="CG46" s="128" t="str">
        <f t="shared" si="535"/>
        <v/>
      </c>
      <c r="CH46" s="128" t="str">
        <f t="shared" si="536"/>
        <v/>
      </c>
      <c r="CI46" s="128" t="str">
        <f t="shared" si="537"/>
        <v/>
      </c>
      <c r="CJ46" s="128" t="str">
        <f t="shared" si="538"/>
        <v/>
      </c>
      <c r="CK46" s="128" t="str">
        <f t="shared" si="539"/>
        <v/>
      </c>
      <c r="CL46" s="128" t="str">
        <f t="shared" si="540"/>
        <v/>
      </c>
      <c r="CM46" s="128" t="str">
        <f t="shared" si="541"/>
        <v/>
      </c>
      <c r="CN46" s="82" t="str">
        <f t="shared" ca="1" si="542"/>
        <v>지연</v>
      </c>
      <c r="CO46" s="82" t="str">
        <f t="shared" ca="1" si="543"/>
        <v>지연</v>
      </c>
      <c r="CP46" s="82" t="str">
        <f t="shared" ca="1" si="544"/>
        <v>지연</v>
      </c>
      <c r="CQ46" s="82" t="str">
        <f t="shared" ca="1" si="545"/>
        <v>지연</v>
      </c>
      <c r="CR46" s="82" t="str">
        <f t="shared" si="546"/>
        <v>지연</v>
      </c>
      <c r="CS46" s="82"/>
      <c r="CT46" s="82"/>
      <c r="CU46" s="82"/>
      <c r="CV46" s="56"/>
      <c r="CW46" s="169" t="str">
        <f>IF(COUNTIF($CV:$CV,CV46)&gt;1,"중복","")</f>
        <v/>
      </c>
      <c r="CX46" s="56" t="s">
        <v>15</v>
      </c>
      <c r="CY46" s="56" t="s">
        <v>156</v>
      </c>
      <c r="CZ46" s="56"/>
      <c r="DA46" s="56"/>
      <c r="DB46" s="56" t="s">
        <v>87</v>
      </c>
      <c r="DC46" s="56" t="s">
        <v>87</v>
      </c>
      <c r="DD46" s="82">
        <f t="shared" si="547"/>
        <v>34144</v>
      </c>
      <c r="DE46" s="82" t="str">
        <f>IF(DD46="-","-",VLOOKUP(DD46,'프로젝트 담당자'!$T$3:$W$80,4,0))</f>
        <v>구로</v>
      </c>
      <c r="DF46" s="82" t="s">
        <v>29</v>
      </c>
      <c r="DG46" s="82" t="str">
        <f>VLOOKUP(DD46,'프로젝트 담당자'!$T$2:$Y$80,6,0)</f>
        <v>이진웅</v>
      </c>
      <c r="DH46" s="82" t="s">
        <v>91</v>
      </c>
      <c r="DI46" s="82" t="s">
        <v>107</v>
      </c>
    </row>
  </sheetData>
  <mergeCells count="58">
    <mergeCell ref="DI3:DI4"/>
    <mergeCell ref="BP3:BS3"/>
    <mergeCell ref="X3:X4"/>
    <mergeCell ref="AA3:AA4"/>
    <mergeCell ref="DG3:DG4"/>
    <mergeCell ref="DD3:DD4"/>
    <mergeCell ref="DF3:DF4"/>
    <mergeCell ref="CZ3:CZ4"/>
    <mergeCell ref="DB3:DB4"/>
    <mergeCell ref="CY3:CY4"/>
    <mergeCell ref="CN3:CQ3"/>
    <mergeCell ref="BT3:BW3"/>
    <mergeCell ref="Y3:Y4"/>
    <mergeCell ref="AE3:AI3"/>
    <mergeCell ref="BL3:BO3"/>
    <mergeCell ref="DC3:DC4"/>
    <mergeCell ref="DA3:DA4"/>
    <mergeCell ref="G3:G4"/>
    <mergeCell ref="K3:K4"/>
    <mergeCell ref="R3:R4"/>
    <mergeCell ref="S3:S4"/>
    <mergeCell ref="W3:W4"/>
    <mergeCell ref="U3:U4"/>
    <mergeCell ref="H3:H4"/>
    <mergeCell ref="P3:P4"/>
    <mergeCell ref="L3:L4"/>
    <mergeCell ref="BX3:CA3"/>
    <mergeCell ref="CR3:CU3"/>
    <mergeCell ref="CX3:CX4"/>
    <mergeCell ref="Z3:Z4"/>
    <mergeCell ref="A1:DJ1"/>
    <mergeCell ref="T3:T4"/>
    <mergeCell ref="Q3:Q4"/>
    <mergeCell ref="N3:N4"/>
    <mergeCell ref="J3:J4"/>
    <mergeCell ref="I3:I4"/>
    <mergeCell ref="F3:F4"/>
    <mergeCell ref="E3:E4"/>
    <mergeCell ref="D3:D4"/>
    <mergeCell ref="A3:A4"/>
    <mergeCell ref="B3:B4"/>
    <mergeCell ref="CV3:CV4"/>
    <mergeCell ref="CW3:CW4"/>
    <mergeCell ref="DH3:DH4"/>
    <mergeCell ref="CJ3:CM3"/>
    <mergeCell ref="C3:C4"/>
    <mergeCell ref="DJ3:DJ4"/>
    <mergeCell ref="BA3:BD3"/>
    <mergeCell ref="M3:M4"/>
    <mergeCell ref="O3:O4"/>
    <mergeCell ref="CF3:CI3"/>
    <mergeCell ref="AS3:AZ3"/>
    <mergeCell ref="AB3:AD3"/>
    <mergeCell ref="V3:V4"/>
    <mergeCell ref="BE3:BG3"/>
    <mergeCell ref="BH3:BJ3"/>
    <mergeCell ref="CB3:CE3"/>
    <mergeCell ref="DE3:DE4"/>
  </mergeCells>
  <phoneticPr fontId="3" type="noConversion"/>
  <conditionalFormatting sqref="BC38:BC46 BG38:BG46 BJ38:BJ46 BN38:BN46 BC31:BC36 BG31:BG36 BJ31:BJ36 BN31:BN36 BC22:BC29 BG22:BG29 BJ22:BJ29 BN22:BN29 BC5:BC20 BG5:BG20 BJ5:BJ20 BN5:BN20">
    <cfRule type="containsText" dxfId="62" priority="2995" operator="containsText" text="지연">
      <formula>NOT(ISERROR(SEARCH("지연",BC5)))</formula>
    </cfRule>
    <cfRule type="containsText" dxfId="61" priority="2996" operator="containsText" text="예정">
      <formula>NOT(ISERROR(SEARCH("예정",BC5)))</formula>
    </cfRule>
    <cfRule type="containsText" dxfId="60" priority="2997" operator="containsText" text="완료">
      <formula>NOT(ISERROR(SEARCH("완료",BC5)))</formula>
    </cfRule>
  </conditionalFormatting>
  <conditionalFormatting sqref="BC38:BC46 BG38:BG46 BJ38:BJ46 BN38:BN46 BC31:BC36 BG31:BG36 BJ31:BJ36 BN31:BN36 BC22:BC29 BG22:BG29 BJ22:BJ29 BN22:BN29 BC5:BC20 BG5:BG20 BJ5:BJ20 BN5:BN20">
    <cfRule type="containsText" dxfId="59" priority="2947" operator="containsText" text="지연 제출">
      <formula>NOT(ISERROR(SEARCH("지연 제출",BC5)))</formula>
    </cfRule>
  </conditionalFormatting>
  <conditionalFormatting sqref="AZ38:AZ1048576 AZ31:AZ36 AZ1:AZ29">
    <cfRule type="containsText" dxfId="58" priority="2791" operator="containsText" text="지연">
      <formula>NOT(ISERROR(SEARCH("지연",AZ1)))</formula>
    </cfRule>
    <cfRule type="containsText" dxfId="57" priority="2792" operator="containsText" text="완료">
      <formula>NOT(ISERROR(SEARCH("완료",AZ1)))</formula>
    </cfRule>
  </conditionalFormatting>
  <conditionalFormatting sqref="N8">
    <cfRule type="duplicateValues" dxfId="56" priority="4182"/>
  </conditionalFormatting>
  <conditionalFormatting sqref="BO1:BO2 BO24:BO1048576">
    <cfRule type="containsText" dxfId="55" priority="2397" operator="containsText" text="보완">
      <formula>NOT(ISERROR(SEARCH("보완",BO1)))</formula>
    </cfRule>
    <cfRule type="containsText" dxfId="54" priority="2398" operator="containsText" text="완료">
      <formula>NOT(ISERROR(SEARCH("완료",BO1)))</formula>
    </cfRule>
  </conditionalFormatting>
  <conditionalFormatting sqref="BC21">
    <cfRule type="containsText" dxfId="53" priority="2234" operator="containsText" text="지연">
      <formula>NOT(ISERROR(SEARCH("지연",BC21)))</formula>
    </cfRule>
    <cfRule type="containsText" dxfId="52" priority="2235" operator="containsText" text="예정">
      <formula>NOT(ISERROR(SEARCH("예정",BC21)))</formula>
    </cfRule>
    <cfRule type="containsText" dxfId="51" priority="2236" operator="containsText" text="완료">
      <formula>NOT(ISERROR(SEARCH("완료",BC21)))</formula>
    </cfRule>
  </conditionalFormatting>
  <conditionalFormatting sqref="BC21">
    <cfRule type="containsText" dxfId="50" priority="2233" operator="containsText" text="지연 제출">
      <formula>NOT(ISERROR(SEARCH("지연 제출",BC21)))</formula>
    </cfRule>
  </conditionalFormatting>
  <conditionalFormatting sqref="BG21">
    <cfRule type="containsText" dxfId="49" priority="2230" operator="containsText" text="지연">
      <formula>NOT(ISERROR(SEARCH("지연",BG21)))</formula>
    </cfRule>
    <cfRule type="containsText" dxfId="48" priority="2231" operator="containsText" text="예정">
      <formula>NOT(ISERROR(SEARCH("예정",BG21)))</formula>
    </cfRule>
    <cfRule type="containsText" dxfId="47" priority="2232" operator="containsText" text="완료">
      <formula>NOT(ISERROR(SEARCH("완료",BG21)))</formula>
    </cfRule>
  </conditionalFormatting>
  <conditionalFormatting sqref="BG21">
    <cfRule type="containsText" dxfId="46" priority="2229" operator="containsText" text="지연 제출">
      <formula>NOT(ISERROR(SEARCH("지연 제출",BG21)))</formula>
    </cfRule>
  </conditionalFormatting>
  <conditionalFormatting sqref="BJ21">
    <cfRule type="containsText" dxfId="45" priority="2226" operator="containsText" text="지연">
      <formula>NOT(ISERROR(SEARCH("지연",BJ21)))</formula>
    </cfRule>
    <cfRule type="containsText" dxfId="44" priority="2227" operator="containsText" text="예정">
      <formula>NOT(ISERROR(SEARCH("예정",BJ21)))</formula>
    </cfRule>
    <cfRule type="containsText" dxfId="43" priority="2228" operator="containsText" text="완료">
      <formula>NOT(ISERROR(SEARCH("완료",BJ21)))</formula>
    </cfRule>
  </conditionalFormatting>
  <conditionalFormatting sqref="BJ21">
    <cfRule type="containsText" dxfId="42" priority="2225" operator="containsText" text="지연 제출">
      <formula>NOT(ISERROR(SEARCH("지연 제출",BJ21)))</formula>
    </cfRule>
  </conditionalFormatting>
  <conditionalFormatting sqref="BN21">
    <cfRule type="containsText" dxfId="41" priority="2222" operator="containsText" text="지연">
      <formula>NOT(ISERROR(SEARCH("지연",BN21)))</formula>
    </cfRule>
    <cfRule type="containsText" dxfId="40" priority="2223" operator="containsText" text="예정">
      <formula>NOT(ISERROR(SEARCH("예정",BN21)))</formula>
    </cfRule>
    <cfRule type="containsText" dxfId="39" priority="2224" operator="containsText" text="완료">
      <formula>NOT(ISERROR(SEARCH("완료",BN21)))</formula>
    </cfRule>
  </conditionalFormatting>
  <conditionalFormatting sqref="BN21">
    <cfRule type="containsText" dxfId="38" priority="2221" operator="containsText" text="지연 제출">
      <formula>NOT(ISERROR(SEARCH("지연 제출",BN21)))</formula>
    </cfRule>
  </conditionalFormatting>
  <conditionalFormatting sqref="AZ30">
    <cfRule type="containsText" dxfId="37" priority="1673" operator="containsText" text="지연">
      <formula>NOT(ISERROR(SEARCH("지연",AZ30)))</formula>
    </cfRule>
    <cfRule type="containsText" dxfId="36" priority="1674" operator="containsText" text="완료">
      <formula>NOT(ISERROR(SEARCH("완료",AZ30)))</formula>
    </cfRule>
  </conditionalFormatting>
  <conditionalFormatting sqref="BC30">
    <cfRule type="containsText" dxfId="35" priority="1670" operator="containsText" text="지연">
      <formula>NOT(ISERROR(SEARCH("지연",BC30)))</formula>
    </cfRule>
    <cfRule type="containsText" dxfId="34" priority="1671" operator="containsText" text="예정">
      <formula>NOT(ISERROR(SEARCH("예정",BC30)))</formula>
    </cfRule>
    <cfRule type="containsText" dxfId="33" priority="1672" operator="containsText" text="완료">
      <formula>NOT(ISERROR(SEARCH("완료",BC30)))</formula>
    </cfRule>
  </conditionalFormatting>
  <conditionalFormatting sqref="BC30">
    <cfRule type="containsText" dxfId="32" priority="1669" operator="containsText" text="지연 제출">
      <formula>NOT(ISERROR(SEARCH("지연 제출",BC30)))</formula>
    </cfRule>
  </conditionalFormatting>
  <conditionalFormatting sqref="BG30">
    <cfRule type="containsText" dxfId="31" priority="1666" operator="containsText" text="지연">
      <formula>NOT(ISERROR(SEARCH("지연",BG30)))</formula>
    </cfRule>
    <cfRule type="containsText" dxfId="30" priority="1667" operator="containsText" text="예정">
      <formula>NOT(ISERROR(SEARCH("예정",BG30)))</formula>
    </cfRule>
    <cfRule type="containsText" dxfId="29" priority="1668" operator="containsText" text="완료">
      <formula>NOT(ISERROR(SEARCH("완료",BG30)))</formula>
    </cfRule>
  </conditionalFormatting>
  <conditionalFormatting sqref="BG30">
    <cfRule type="containsText" dxfId="28" priority="1665" operator="containsText" text="지연 제출">
      <formula>NOT(ISERROR(SEARCH("지연 제출",BG30)))</formula>
    </cfRule>
  </conditionalFormatting>
  <conditionalFormatting sqref="BJ30">
    <cfRule type="containsText" dxfId="27" priority="1662" operator="containsText" text="지연">
      <formula>NOT(ISERROR(SEARCH("지연",BJ30)))</formula>
    </cfRule>
    <cfRule type="containsText" dxfId="26" priority="1663" operator="containsText" text="예정">
      <formula>NOT(ISERROR(SEARCH("예정",BJ30)))</formula>
    </cfRule>
    <cfRule type="containsText" dxfId="25" priority="1664" operator="containsText" text="완료">
      <formula>NOT(ISERROR(SEARCH("완료",BJ30)))</formula>
    </cfRule>
  </conditionalFormatting>
  <conditionalFormatting sqref="BJ30">
    <cfRule type="containsText" dxfId="24" priority="1661" operator="containsText" text="지연 제출">
      <formula>NOT(ISERROR(SEARCH("지연 제출",BJ30)))</formula>
    </cfRule>
  </conditionalFormatting>
  <conditionalFormatting sqref="BN30">
    <cfRule type="containsText" dxfId="23" priority="1657" operator="containsText" text="지연 제출">
      <formula>NOT(ISERROR(SEARCH("지연 제출",BN30)))</formula>
    </cfRule>
  </conditionalFormatting>
  <conditionalFormatting sqref="BN30">
    <cfRule type="containsText" dxfId="22" priority="1658" operator="containsText" text="지연">
      <formula>NOT(ISERROR(SEARCH("지연",BN30)))</formula>
    </cfRule>
    <cfRule type="containsText" dxfId="21" priority="1659" operator="containsText" text="예정">
      <formula>NOT(ISERROR(SEARCH("예정",BN30)))</formula>
    </cfRule>
    <cfRule type="containsText" dxfId="20" priority="1660" operator="containsText" text="완료">
      <formula>NOT(ISERROR(SEARCH("완료",BN30)))</formula>
    </cfRule>
  </conditionalFormatting>
  <conditionalFormatting sqref="AZ37">
    <cfRule type="containsText" dxfId="19" priority="989" operator="containsText" text="지연">
      <formula>NOT(ISERROR(SEARCH("지연",AZ37)))</formula>
    </cfRule>
    <cfRule type="containsText" dxfId="18" priority="990" operator="containsText" text="완료">
      <formula>NOT(ISERROR(SEARCH("완료",AZ37)))</formula>
    </cfRule>
  </conditionalFormatting>
  <conditionalFormatting sqref="BC37">
    <cfRule type="containsText" dxfId="17" priority="986" operator="containsText" text="지연">
      <formula>NOT(ISERROR(SEARCH("지연",BC37)))</formula>
    </cfRule>
    <cfRule type="containsText" dxfId="16" priority="987" operator="containsText" text="예정">
      <formula>NOT(ISERROR(SEARCH("예정",BC37)))</formula>
    </cfRule>
    <cfRule type="containsText" dxfId="15" priority="988" operator="containsText" text="완료">
      <formula>NOT(ISERROR(SEARCH("완료",BC37)))</formula>
    </cfRule>
  </conditionalFormatting>
  <conditionalFormatting sqref="BC37">
    <cfRule type="containsText" dxfId="14" priority="985" operator="containsText" text="지연 제출">
      <formula>NOT(ISERROR(SEARCH("지연 제출",BC37)))</formula>
    </cfRule>
  </conditionalFormatting>
  <conditionalFormatting sqref="BG37">
    <cfRule type="containsText" dxfId="13" priority="982" operator="containsText" text="지연">
      <formula>NOT(ISERROR(SEARCH("지연",BG37)))</formula>
    </cfRule>
    <cfRule type="containsText" dxfId="12" priority="983" operator="containsText" text="예정">
      <formula>NOT(ISERROR(SEARCH("예정",BG37)))</formula>
    </cfRule>
    <cfRule type="containsText" dxfId="11" priority="984" operator="containsText" text="완료">
      <formula>NOT(ISERROR(SEARCH("완료",BG37)))</formula>
    </cfRule>
  </conditionalFormatting>
  <conditionalFormatting sqref="BG37">
    <cfRule type="containsText" dxfId="10" priority="981" operator="containsText" text="지연 제출">
      <formula>NOT(ISERROR(SEARCH("지연 제출",BG37)))</formula>
    </cfRule>
  </conditionalFormatting>
  <conditionalFormatting sqref="BJ37">
    <cfRule type="containsText" dxfId="9" priority="978" operator="containsText" text="지연">
      <formula>NOT(ISERROR(SEARCH("지연",BJ37)))</formula>
    </cfRule>
    <cfRule type="containsText" dxfId="8" priority="979" operator="containsText" text="예정">
      <formula>NOT(ISERROR(SEARCH("예정",BJ37)))</formula>
    </cfRule>
    <cfRule type="containsText" dxfId="7" priority="980" operator="containsText" text="완료">
      <formula>NOT(ISERROR(SEARCH("완료",BJ37)))</formula>
    </cfRule>
  </conditionalFormatting>
  <conditionalFormatting sqref="BJ37">
    <cfRule type="containsText" dxfId="6" priority="977" operator="containsText" text="지연 제출">
      <formula>NOT(ISERROR(SEARCH("지연 제출",BJ37)))</formula>
    </cfRule>
  </conditionalFormatting>
  <conditionalFormatting sqref="BN37">
    <cfRule type="containsText" dxfId="5" priority="973" operator="containsText" text="지연 제출">
      <formula>NOT(ISERROR(SEARCH("지연 제출",BN37)))</formula>
    </cfRule>
  </conditionalFormatting>
  <conditionalFormatting sqref="BN37">
    <cfRule type="containsText" dxfId="4" priority="974" operator="containsText" text="지연">
      <formula>NOT(ISERROR(SEARCH("지연",BN37)))</formula>
    </cfRule>
    <cfRule type="containsText" dxfId="3" priority="975" operator="containsText" text="예정">
      <formula>NOT(ISERROR(SEARCH("예정",BN37)))</formula>
    </cfRule>
    <cfRule type="containsText" dxfId="2" priority="976" operator="containsText" text="완료">
      <formula>NOT(ISERROR(SEARCH("완료",BN37)))</formula>
    </cfRule>
  </conditionalFormatting>
  <conditionalFormatting sqref="N9">
    <cfRule type="duplicateValues" dxfId="1" priority="4221"/>
  </conditionalFormatting>
  <conditionalFormatting sqref="N5">
    <cfRule type="duplicateValues" dxfId="0" priority="4279"/>
  </conditionalFormatting>
  <dataValidations count="5">
    <dataValidation type="list" allowBlank="1" showInputMessage="1" showErrorMessage="1" sqref="S1:S1048576 CX1:CX1048576">
      <formula1>"단품불량, S/W불량, 설계불량, 휴먼에러, 삭제, 기타"</formula1>
    </dataValidation>
    <dataValidation type="list" allowBlank="1" showInputMessage="1" showErrorMessage="1" sqref="AO5:AO34">
      <formula1>"O"</formula1>
    </dataValidation>
    <dataValidation type="list" allowBlank="1" showInputMessage="1" showErrorMessage="1" sqref="AQ5:AQ46">
      <formula1>"1.원인검토중,2.원인검토 보완여부확인필요,3.원인검토보완,4.원인검토서完 모니터링및홀딩,5.검토필,6.조치계획제출대상,7.개선작업중,8.완료보고가능여부_ABC등급별 진행,9.완료보고 제출完 보완및추가요구,NTF,SEQUENCE,삭제,삭제 협의중,시운전 사항,완료"</formula1>
    </dataValidation>
    <dataValidation type="list" allowBlank="1" showInputMessage="1" showErrorMessage="1" sqref="AW5:AW46">
      <formula1>"고장재현안됨,고장내용 불분명,차량수배,열번 미입력,기타-BA열 내용 기입"</formula1>
    </dataValidation>
    <dataValidation type="list" allowBlank="1" showInputMessage="1" showErrorMessage="1" sqref="AV5:AV46">
      <formula1>"미확보"</formula1>
    </dataValidation>
  </dataValidations>
  <pageMargins left="0.23622047244094491" right="0.23622047244094491" top="0.39370078740157483" bottom="0.39370078740157483" header="0.31496062992125984" footer="0.31496062992125984"/>
  <pageSetup paperSize="8" scale="18"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4" sqref="A4:B11"/>
    </sheetView>
  </sheetViews>
  <sheetFormatPr defaultRowHeight="17.399999999999999" x14ac:dyDescent="0.4"/>
  <cols>
    <col min="1" max="1" width="15.09765625" customWidth="1"/>
    <col min="2" max="2" width="9.09765625" customWidth="1"/>
    <col min="3" max="12" width="18.8984375" bestFit="1" customWidth="1"/>
    <col min="13" max="13" width="7.3984375" customWidth="1"/>
  </cols>
  <sheetData>
    <row r="3" spans="1:2" x14ac:dyDescent="0.4">
      <c r="A3" s="315" t="s">
        <v>581</v>
      </c>
      <c r="B3" t="s">
        <v>582</v>
      </c>
    </row>
    <row r="4" spans="1:2" x14ac:dyDescent="0.4">
      <c r="A4" s="360" t="s">
        <v>575</v>
      </c>
      <c r="B4" s="316">
        <v>35</v>
      </c>
    </row>
    <row r="5" spans="1:2" x14ac:dyDescent="0.4">
      <c r="A5" s="360" t="s">
        <v>573</v>
      </c>
      <c r="B5" s="316">
        <v>40</v>
      </c>
    </row>
    <row r="6" spans="1:2" x14ac:dyDescent="0.4">
      <c r="A6" s="360" t="s">
        <v>577</v>
      </c>
      <c r="B6" s="316">
        <v>4</v>
      </c>
    </row>
    <row r="7" spans="1:2" x14ac:dyDescent="0.4">
      <c r="A7" s="360" t="s">
        <v>578</v>
      </c>
      <c r="B7" s="316">
        <v>6</v>
      </c>
    </row>
    <row r="8" spans="1:2" x14ac:dyDescent="0.4">
      <c r="A8" s="360" t="s">
        <v>576</v>
      </c>
      <c r="B8" s="316">
        <v>22</v>
      </c>
    </row>
    <row r="9" spans="1:2" x14ac:dyDescent="0.4">
      <c r="A9" s="360" t="s">
        <v>579</v>
      </c>
      <c r="B9" s="316">
        <v>52</v>
      </c>
    </row>
    <row r="10" spans="1:2" x14ac:dyDescent="0.4">
      <c r="A10" s="360" t="s">
        <v>580</v>
      </c>
      <c r="B10" s="316">
        <v>7</v>
      </c>
    </row>
    <row r="11" spans="1:2" x14ac:dyDescent="0.4">
      <c r="A11" s="360" t="s">
        <v>113</v>
      </c>
      <c r="B11" s="316">
        <v>73</v>
      </c>
    </row>
    <row r="12" spans="1:2" x14ac:dyDescent="0.4">
      <c r="A12" s="360" t="s">
        <v>540</v>
      </c>
      <c r="B12" s="316">
        <v>239</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890"/>
  <sheetViews>
    <sheetView topLeftCell="A229" workbookViewId="0">
      <selection activeCell="H3" sqref="H3:H241"/>
    </sheetView>
  </sheetViews>
  <sheetFormatPr defaultRowHeight="17.399999999999999" x14ac:dyDescent="0.4"/>
  <cols>
    <col min="3" max="3" width="17.8984375" customWidth="1"/>
    <col min="6" max="6" width="33.5" customWidth="1"/>
    <col min="8" max="8" width="40.09765625" bestFit="1" customWidth="1"/>
    <col min="11" max="11" width="8.8984375" customWidth="1"/>
    <col min="12" max="12" width="31.5" customWidth="1"/>
  </cols>
  <sheetData>
    <row r="2" spans="2:12" x14ac:dyDescent="0.4">
      <c r="B2" s="85" t="s">
        <v>572</v>
      </c>
      <c r="C2" s="85" t="s">
        <v>55</v>
      </c>
      <c r="D2" s="85" t="s">
        <v>54</v>
      </c>
      <c r="F2" s="339" t="s">
        <v>574</v>
      </c>
      <c r="G2" s="85" t="s">
        <v>572</v>
      </c>
      <c r="H2" s="85" t="s">
        <v>55</v>
      </c>
      <c r="I2" s="85" t="s">
        <v>54</v>
      </c>
      <c r="L2" s="339" t="s">
        <v>678</v>
      </c>
    </row>
    <row r="3" spans="2:12" x14ac:dyDescent="0.4">
      <c r="B3" s="211">
        <v>1</v>
      </c>
      <c r="C3" s="83" t="s">
        <v>88</v>
      </c>
      <c r="D3" s="83" t="s">
        <v>105</v>
      </c>
      <c r="G3" s="211">
        <v>11</v>
      </c>
      <c r="H3" s="83" t="s">
        <v>93</v>
      </c>
      <c r="I3" s="83" t="s">
        <v>110</v>
      </c>
    </row>
    <row r="4" spans="2:12" x14ac:dyDescent="0.4">
      <c r="B4" s="211">
        <v>2</v>
      </c>
      <c r="C4" s="83" t="s">
        <v>88</v>
      </c>
      <c r="D4" s="83" t="s">
        <v>105</v>
      </c>
      <c r="G4" s="213">
        <v>16</v>
      </c>
      <c r="H4" s="6" t="s">
        <v>91</v>
      </c>
      <c r="I4" s="6" t="s">
        <v>107</v>
      </c>
    </row>
    <row r="5" spans="2:12" x14ac:dyDescent="0.4">
      <c r="B5" s="211">
        <v>3</v>
      </c>
      <c r="C5" s="83" t="s">
        <v>90</v>
      </c>
      <c r="D5" s="83" t="s">
        <v>106</v>
      </c>
      <c r="G5" s="211">
        <v>32</v>
      </c>
      <c r="H5" s="83" t="s">
        <v>95</v>
      </c>
      <c r="I5" s="83" t="s">
        <v>112</v>
      </c>
    </row>
    <row r="6" spans="2:12" x14ac:dyDescent="0.4">
      <c r="B6" s="211">
        <v>4</v>
      </c>
      <c r="C6" s="83" t="s">
        <v>88</v>
      </c>
      <c r="D6" s="83" t="s">
        <v>105</v>
      </c>
      <c r="G6" s="213">
        <v>36</v>
      </c>
      <c r="H6" s="6" t="s">
        <v>91</v>
      </c>
      <c r="I6" s="6" t="s">
        <v>107</v>
      </c>
    </row>
    <row r="7" spans="2:12" x14ac:dyDescent="0.4">
      <c r="B7" s="211">
        <v>5</v>
      </c>
      <c r="C7" s="6" t="s">
        <v>91</v>
      </c>
      <c r="D7" s="6" t="s">
        <v>107</v>
      </c>
      <c r="G7" s="213">
        <v>49</v>
      </c>
      <c r="H7" s="83" t="s">
        <v>88</v>
      </c>
      <c r="I7" s="83" t="s">
        <v>108</v>
      </c>
    </row>
    <row r="8" spans="2:12" x14ac:dyDescent="0.4">
      <c r="B8" s="211">
        <v>6</v>
      </c>
      <c r="C8" s="83" t="s">
        <v>88</v>
      </c>
      <c r="D8" s="83" t="s">
        <v>108</v>
      </c>
      <c r="G8" s="213">
        <v>62</v>
      </c>
      <c r="H8" s="83" t="s">
        <v>91</v>
      </c>
      <c r="I8" s="83" t="s">
        <v>107</v>
      </c>
    </row>
    <row r="9" spans="2:12" x14ac:dyDescent="0.4">
      <c r="B9" s="211">
        <v>7</v>
      </c>
      <c r="C9" s="83" t="s">
        <v>88</v>
      </c>
      <c r="D9" s="83" t="s">
        <v>108</v>
      </c>
      <c r="G9" s="211">
        <v>85</v>
      </c>
      <c r="H9" s="83" t="s">
        <v>94</v>
      </c>
      <c r="I9" s="83" t="s">
        <v>111</v>
      </c>
    </row>
    <row r="10" spans="2:12" x14ac:dyDescent="0.4">
      <c r="B10" s="213">
        <v>8</v>
      </c>
      <c r="C10" s="6" t="s">
        <v>91</v>
      </c>
      <c r="D10" s="6" t="s">
        <v>180</v>
      </c>
      <c r="G10" s="211">
        <v>107</v>
      </c>
      <c r="H10" s="6" t="s">
        <v>94</v>
      </c>
      <c r="I10" s="6" t="s">
        <v>111</v>
      </c>
    </row>
    <row r="11" spans="2:12" x14ac:dyDescent="0.4">
      <c r="B11" s="213">
        <v>9</v>
      </c>
      <c r="C11" s="83" t="s">
        <v>92</v>
      </c>
      <c r="D11" s="83" t="s">
        <v>109</v>
      </c>
      <c r="G11" s="211">
        <v>115</v>
      </c>
      <c r="H11" s="83" t="s">
        <v>92</v>
      </c>
      <c r="I11" s="83" t="s">
        <v>109</v>
      </c>
    </row>
    <row r="12" spans="2:12" x14ac:dyDescent="0.4">
      <c r="B12" s="213">
        <v>10</v>
      </c>
      <c r="C12" s="6" t="s">
        <v>91</v>
      </c>
      <c r="D12" s="6" t="s">
        <v>107</v>
      </c>
      <c r="G12" s="211">
        <v>142</v>
      </c>
      <c r="H12" s="3" t="s">
        <v>94</v>
      </c>
      <c r="I12" s="3" t="s">
        <v>111</v>
      </c>
    </row>
    <row r="13" spans="2:12" x14ac:dyDescent="0.4">
      <c r="B13" s="211">
        <v>11</v>
      </c>
      <c r="C13" s="83" t="s">
        <v>93</v>
      </c>
      <c r="D13" s="83" t="s">
        <v>110</v>
      </c>
      <c r="G13" s="211">
        <v>144</v>
      </c>
      <c r="H13" s="83" t="s">
        <v>88</v>
      </c>
      <c r="I13" s="83" t="s">
        <v>108</v>
      </c>
    </row>
    <row r="14" spans="2:12" x14ac:dyDescent="0.4">
      <c r="B14" s="213">
        <v>12</v>
      </c>
      <c r="C14" s="83" t="s">
        <v>92</v>
      </c>
      <c r="D14" s="83" t="s">
        <v>109</v>
      </c>
      <c r="G14" s="211">
        <v>151</v>
      </c>
      <c r="H14" s="83" t="s">
        <v>91</v>
      </c>
      <c r="I14" s="83" t="s">
        <v>114</v>
      </c>
    </row>
    <row r="15" spans="2:12" x14ac:dyDescent="0.4">
      <c r="B15" s="211">
        <v>13</v>
      </c>
      <c r="C15" s="83" t="s">
        <v>94</v>
      </c>
      <c r="D15" s="83" t="s">
        <v>111</v>
      </c>
      <c r="G15" s="211">
        <v>152</v>
      </c>
      <c r="H15" s="83" t="s">
        <v>88</v>
      </c>
      <c r="I15" s="83" t="s">
        <v>108</v>
      </c>
    </row>
    <row r="16" spans="2:12" x14ac:dyDescent="0.4">
      <c r="B16" s="211">
        <v>14</v>
      </c>
      <c r="C16" s="83" t="s">
        <v>88</v>
      </c>
      <c r="D16" s="83" t="s">
        <v>105</v>
      </c>
      <c r="G16" s="211">
        <v>156</v>
      </c>
      <c r="H16" s="83" t="s">
        <v>95</v>
      </c>
      <c r="I16" s="83" t="s">
        <v>112</v>
      </c>
    </row>
    <row r="17" spans="2:9" x14ac:dyDescent="0.4">
      <c r="B17" s="211">
        <v>15</v>
      </c>
      <c r="C17" s="6" t="s">
        <v>91</v>
      </c>
      <c r="D17" s="6" t="s">
        <v>107</v>
      </c>
      <c r="G17" s="213">
        <v>159</v>
      </c>
      <c r="H17" s="83" t="s">
        <v>88</v>
      </c>
      <c r="I17" s="83" t="s">
        <v>108</v>
      </c>
    </row>
    <row r="18" spans="2:9" x14ac:dyDescent="0.4">
      <c r="B18" s="213">
        <v>16</v>
      </c>
      <c r="C18" s="6" t="s">
        <v>91</v>
      </c>
      <c r="D18" s="6" t="s">
        <v>107</v>
      </c>
      <c r="G18" s="213">
        <v>160</v>
      </c>
      <c r="H18" s="6" t="s">
        <v>88</v>
      </c>
      <c r="I18" s="6" t="s">
        <v>108</v>
      </c>
    </row>
    <row r="19" spans="2:9" x14ac:dyDescent="0.4">
      <c r="B19" s="211">
        <v>17</v>
      </c>
      <c r="C19" s="83" t="s">
        <v>88</v>
      </c>
      <c r="D19" s="83" t="s">
        <v>108</v>
      </c>
      <c r="G19" s="213">
        <v>161</v>
      </c>
      <c r="H19" s="83" t="s">
        <v>93</v>
      </c>
      <c r="I19" s="83" t="s">
        <v>110</v>
      </c>
    </row>
    <row r="20" spans="2:9" x14ac:dyDescent="0.4">
      <c r="B20" s="211">
        <v>18</v>
      </c>
      <c r="C20" s="83" t="s">
        <v>88</v>
      </c>
      <c r="D20" s="83" t="s">
        <v>105</v>
      </c>
      <c r="G20" s="213">
        <v>169</v>
      </c>
      <c r="H20" s="3" t="s">
        <v>88</v>
      </c>
      <c r="I20" s="83" t="s">
        <v>108</v>
      </c>
    </row>
    <row r="21" spans="2:9" x14ac:dyDescent="0.4">
      <c r="B21" s="211">
        <v>19</v>
      </c>
      <c r="C21" s="83" t="s">
        <v>95</v>
      </c>
      <c r="D21" s="83" t="s">
        <v>112</v>
      </c>
      <c r="G21" s="213">
        <v>170</v>
      </c>
      <c r="H21" s="3" t="s">
        <v>91</v>
      </c>
      <c r="I21" s="6" t="s">
        <v>107</v>
      </c>
    </row>
    <row r="22" spans="2:9" x14ac:dyDescent="0.4">
      <c r="B22" s="211">
        <v>20</v>
      </c>
      <c r="C22" s="3" t="s">
        <v>94</v>
      </c>
      <c r="D22" s="3" t="s">
        <v>124</v>
      </c>
      <c r="G22" s="213">
        <v>171</v>
      </c>
      <c r="H22" s="3" t="s">
        <v>88</v>
      </c>
      <c r="I22" s="83" t="s">
        <v>108</v>
      </c>
    </row>
    <row r="23" spans="2:9" x14ac:dyDescent="0.4">
      <c r="B23" s="211">
        <v>21</v>
      </c>
      <c r="C23" s="83" t="s">
        <v>92</v>
      </c>
      <c r="D23" s="83" t="s">
        <v>109</v>
      </c>
      <c r="G23" s="212">
        <v>184</v>
      </c>
      <c r="H23" s="65" t="s">
        <v>92</v>
      </c>
      <c r="I23" s="3" t="s">
        <v>109</v>
      </c>
    </row>
    <row r="24" spans="2:9" x14ac:dyDescent="0.4">
      <c r="B24" s="211">
        <v>22</v>
      </c>
      <c r="C24" s="83" t="s">
        <v>91</v>
      </c>
      <c r="D24" s="83" t="s">
        <v>114</v>
      </c>
      <c r="G24" s="212">
        <v>186</v>
      </c>
      <c r="H24" s="65" t="s">
        <v>92</v>
      </c>
      <c r="I24" s="3" t="s">
        <v>109</v>
      </c>
    </row>
    <row r="25" spans="2:9" x14ac:dyDescent="0.4">
      <c r="B25" s="214">
        <v>23</v>
      </c>
      <c r="C25" s="70" t="s">
        <v>163</v>
      </c>
      <c r="D25" s="70" t="s">
        <v>163</v>
      </c>
      <c r="G25" s="212">
        <v>189</v>
      </c>
      <c r="H25" s="66" t="s">
        <v>94</v>
      </c>
      <c r="I25" s="66" t="s">
        <v>111</v>
      </c>
    </row>
    <row r="26" spans="2:9" x14ac:dyDescent="0.4">
      <c r="B26" s="214">
        <v>24</v>
      </c>
      <c r="C26" s="70" t="s">
        <v>163</v>
      </c>
      <c r="D26" s="70" t="s">
        <v>163</v>
      </c>
      <c r="G26" s="211">
        <v>193</v>
      </c>
      <c r="H26" s="3" t="s">
        <v>94</v>
      </c>
      <c r="I26" s="83" t="s">
        <v>111</v>
      </c>
    </row>
    <row r="27" spans="2:9" x14ac:dyDescent="0.4">
      <c r="B27" s="215">
        <v>25</v>
      </c>
      <c r="C27" s="70" t="s">
        <v>163</v>
      </c>
      <c r="D27" s="70" t="s">
        <v>163</v>
      </c>
      <c r="G27" s="211">
        <v>194</v>
      </c>
      <c r="H27" s="65" t="s">
        <v>91</v>
      </c>
      <c r="I27" s="6" t="s">
        <v>107</v>
      </c>
    </row>
    <row r="28" spans="2:9" x14ac:dyDescent="0.4">
      <c r="B28" s="211">
        <v>26</v>
      </c>
      <c r="C28" s="6" t="s">
        <v>88</v>
      </c>
      <c r="D28" s="6" t="s">
        <v>108</v>
      </c>
      <c r="G28" s="212">
        <v>195</v>
      </c>
      <c r="H28" s="66" t="s">
        <v>91</v>
      </c>
      <c r="I28" s="6" t="s">
        <v>107</v>
      </c>
    </row>
    <row r="29" spans="2:9" x14ac:dyDescent="0.4">
      <c r="B29" s="213">
        <v>27</v>
      </c>
      <c r="C29" s="83" t="s">
        <v>90</v>
      </c>
      <c r="D29" s="83" t="s">
        <v>106</v>
      </c>
      <c r="G29" s="212">
        <v>196</v>
      </c>
      <c r="H29" s="78" t="s">
        <v>95</v>
      </c>
      <c r="I29" s="83" t="s">
        <v>120</v>
      </c>
    </row>
    <row r="30" spans="2:9" x14ac:dyDescent="0.4">
      <c r="B30" s="211">
        <v>28</v>
      </c>
      <c r="C30" s="83" t="s">
        <v>88</v>
      </c>
      <c r="D30" s="83" t="s">
        <v>108</v>
      </c>
      <c r="G30" s="211">
        <v>204</v>
      </c>
      <c r="H30" s="3" t="s">
        <v>88</v>
      </c>
      <c r="I30" s="83" t="s">
        <v>108</v>
      </c>
    </row>
    <row r="31" spans="2:9" x14ac:dyDescent="0.4">
      <c r="B31" s="211">
        <v>29</v>
      </c>
      <c r="C31" s="83" t="s">
        <v>92</v>
      </c>
      <c r="D31" s="83" t="s">
        <v>109</v>
      </c>
      <c r="G31" s="211">
        <v>206</v>
      </c>
      <c r="H31" s="78" t="s">
        <v>95</v>
      </c>
      <c r="I31" s="83" t="s">
        <v>120</v>
      </c>
    </row>
    <row r="32" spans="2:9" x14ac:dyDescent="0.4">
      <c r="B32" s="211">
        <v>30</v>
      </c>
      <c r="C32" s="83" t="s">
        <v>90</v>
      </c>
      <c r="D32" s="83" t="s">
        <v>106</v>
      </c>
      <c r="G32" s="211">
        <v>208</v>
      </c>
      <c r="H32" s="6" t="s">
        <v>91</v>
      </c>
      <c r="I32" s="6" t="s">
        <v>107</v>
      </c>
    </row>
    <row r="33" spans="2:9" x14ac:dyDescent="0.4">
      <c r="B33" s="211">
        <v>31</v>
      </c>
      <c r="C33" s="3" t="s">
        <v>94</v>
      </c>
      <c r="D33" s="83" t="s">
        <v>111</v>
      </c>
      <c r="G33" s="211">
        <v>210</v>
      </c>
      <c r="H33" s="83" t="s">
        <v>94</v>
      </c>
      <c r="I33" s="2" t="s">
        <v>111</v>
      </c>
    </row>
    <row r="34" spans="2:9" x14ac:dyDescent="0.4">
      <c r="B34" s="211">
        <v>32</v>
      </c>
      <c r="C34" s="83" t="s">
        <v>95</v>
      </c>
      <c r="D34" s="83" t="s">
        <v>112</v>
      </c>
      <c r="G34" s="211">
        <v>212</v>
      </c>
      <c r="H34" s="78" t="s">
        <v>95</v>
      </c>
      <c r="I34" s="2" t="s">
        <v>120</v>
      </c>
    </row>
    <row r="35" spans="2:9" x14ac:dyDescent="0.4">
      <c r="B35" s="213">
        <v>33</v>
      </c>
      <c r="C35" s="83" t="s">
        <v>88</v>
      </c>
      <c r="D35" s="83" t="s">
        <v>108</v>
      </c>
      <c r="G35" s="211">
        <v>215</v>
      </c>
      <c r="H35" s="3" t="s">
        <v>94</v>
      </c>
      <c r="I35" s="83" t="s">
        <v>111</v>
      </c>
    </row>
    <row r="36" spans="2:9" x14ac:dyDescent="0.4">
      <c r="B36" s="211">
        <v>34</v>
      </c>
      <c r="C36" s="6" t="s">
        <v>94</v>
      </c>
      <c r="D36" s="6" t="s">
        <v>111</v>
      </c>
      <c r="G36" s="211">
        <v>222</v>
      </c>
      <c r="H36" s="3" t="s">
        <v>94</v>
      </c>
      <c r="I36" s="2" t="s">
        <v>122</v>
      </c>
    </row>
    <row r="37" spans="2:9" x14ac:dyDescent="0.4">
      <c r="B37" s="211">
        <v>35</v>
      </c>
      <c r="C37" s="6" t="s">
        <v>91</v>
      </c>
      <c r="D37" s="6" t="s">
        <v>107</v>
      </c>
      <c r="G37" s="211">
        <v>229</v>
      </c>
      <c r="H37" s="2" t="s">
        <v>93</v>
      </c>
      <c r="I37" s="82" t="s">
        <v>110</v>
      </c>
    </row>
    <row r="38" spans="2:9" x14ac:dyDescent="0.4">
      <c r="B38" s="213">
        <v>36</v>
      </c>
      <c r="C38" s="6" t="s">
        <v>91</v>
      </c>
      <c r="D38" s="6" t="s">
        <v>107</v>
      </c>
      <c r="G38" s="211">
        <v>231</v>
      </c>
      <c r="H38" s="3" t="s">
        <v>88</v>
      </c>
      <c r="I38" s="3" t="s">
        <v>108</v>
      </c>
    </row>
    <row r="39" spans="2:9" x14ac:dyDescent="0.4">
      <c r="B39" s="211">
        <v>37</v>
      </c>
      <c r="C39" s="83" t="s">
        <v>88</v>
      </c>
      <c r="D39" s="83" t="s">
        <v>108</v>
      </c>
      <c r="G39" s="212">
        <v>239</v>
      </c>
      <c r="H39" s="65" t="s">
        <v>94</v>
      </c>
      <c r="I39" s="6" t="s">
        <v>111</v>
      </c>
    </row>
    <row r="40" spans="2:9" x14ac:dyDescent="0.4">
      <c r="B40" s="211">
        <v>38</v>
      </c>
      <c r="C40" s="83" t="s">
        <v>88</v>
      </c>
      <c r="D40" s="83" t="s">
        <v>108</v>
      </c>
      <c r="G40" s="212">
        <v>242</v>
      </c>
      <c r="H40" s="65" t="s">
        <v>94</v>
      </c>
      <c r="I40" s="6" t="s">
        <v>111</v>
      </c>
    </row>
    <row r="41" spans="2:9" x14ac:dyDescent="0.4">
      <c r="B41" s="215">
        <v>39</v>
      </c>
      <c r="C41" s="70" t="s">
        <v>163</v>
      </c>
      <c r="D41" s="70" t="s">
        <v>163</v>
      </c>
      <c r="G41" s="212">
        <v>248</v>
      </c>
      <c r="H41" s="2" t="s">
        <v>94</v>
      </c>
      <c r="I41" s="6" t="s">
        <v>111</v>
      </c>
    </row>
    <row r="42" spans="2:9" x14ac:dyDescent="0.4">
      <c r="B42" s="213">
        <v>40</v>
      </c>
      <c r="C42" s="83" t="s">
        <v>88</v>
      </c>
      <c r="D42" s="83" t="s">
        <v>108</v>
      </c>
      <c r="G42" s="212">
        <v>249</v>
      </c>
      <c r="H42" s="3" t="s">
        <v>88</v>
      </c>
      <c r="I42" s="3" t="s">
        <v>108</v>
      </c>
    </row>
    <row r="43" spans="2:9" x14ac:dyDescent="0.4">
      <c r="B43" s="211">
        <v>41</v>
      </c>
      <c r="C43" s="83" t="s">
        <v>95</v>
      </c>
      <c r="D43" s="83" t="s">
        <v>112</v>
      </c>
      <c r="G43" s="212">
        <v>257</v>
      </c>
      <c r="H43" s="3" t="s">
        <v>94</v>
      </c>
      <c r="I43" s="83" t="s">
        <v>111</v>
      </c>
    </row>
    <row r="44" spans="2:9" x14ac:dyDescent="0.4">
      <c r="B44" s="211">
        <v>42</v>
      </c>
      <c r="C44" s="83" t="s">
        <v>96</v>
      </c>
      <c r="D44" s="83" t="s">
        <v>115</v>
      </c>
      <c r="G44" s="218">
        <v>259</v>
      </c>
      <c r="H44" s="65" t="s">
        <v>94</v>
      </c>
      <c r="I44" s="6" t="s">
        <v>111</v>
      </c>
    </row>
    <row r="45" spans="2:9" x14ac:dyDescent="0.4">
      <c r="B45" s="211">
        <v>43</v>
      </c>
      <c r="C45" s="83" t="s">
        <v>88</v>
      </c>
      <c r="D45" s="83" t="s">
        <v>108</v>
      </c>
      <c r="G45" s="218">
        <v>268</v>
      </c>
      <c r="H45" s="65" t="s">
        <v>94</v>
      </c>
      <c r="I45" s="6" t="s">
        <v>111</v>
      </c>
    </row>
    <row r="46" spans="2:9" x14ac:dyDescent="0.4">
      <c r="B46" s="211">
        <v>44</v>
      </c>
      <c r="C46" s="83" t="s">
        <v>92</v>
      </c>
      <c r="D46" s="83" t="s">
        <v>116</v>
      </c>
      <c r="G46" s="212">
        <v>271</v>
      </c>
      <c r="H46" s="2" t="s">
        <v>94</v>
      </c>
      <c r="I46" s="2" t="s">
        <v>111</v>
      </c>
    </row>
    <row r="47" spans="2:9" x14ac:dyDescent="0.4">
      <c r="B47" s="211">
        <v>45</v>
      </c>
      <c r="C47" s="83" t="s">
        <v>88</v>
      </c>
      <c r="D47" s="83" t="s">
        <v>108</v>
      </c>
      <c r="G47" s="212">
        <v>276</v>
      </c>
      <c r="H47" s="82" t="s">
        <v>92</v>
      </c>
      <c r="I47" s="82" t="s">
        <v>109</v>
      </c>
    </row>
    <row r="48" spans="2:9" x14ac:dyDescent="0.4">
      <c r="B48" s="211">
        <v>46</v>
      </c>
      <c r="C48" s="83" t="s">
        <v>88</v>
      </c>
      <c r="D48" s="83" t="s">
        <v>108</v>
      </c>
      <c r="G48" s="212">
        <v>277</v>
      </c>
      <c r="H48" s="79" t="s">
        <v>94</v>
      </c>
      <c r="I48" s="83" t="s">
        <v>111</v>
      </c>
    </row>
    <row r="49" spans="2:9" x14ac:dyDescent="0.4">
      <c r="B49" s="211">
        <v>47</v>
      </c>
      <c r="C49" s="83" t="s">
        <v>88</v>
      </c>
      <c r="D49" s="83" t="s">
        <v>105</v>
      </c>
      <c r="G49" s="212">
        <v>282</v>
      </c>
      <c r="H49" s="3" t="s">
        <v>95</v>
      </c>
      <c r="I49" s="82" t="s">
        <v>112</v>
      </c>
    </row>
    <row r="50" spans="2:9" x14ac:dyDescent="0.4">
      <c r="B50" s="213">
        <v>48</v>
      </c>
      <c r="C50" s="83" t="s">
        <v>95</v>
      </c>
      <c r="D50" s="83" t="s">
        <v>112</v>
      </c>
      <c r="G50" s="218">
        <v>287</v>
      </c>
      <c r="H50" s="82" t="s">
        <v>92</v>
      </c>
      <c r="I50" s="82" t="s">
        <v>108</v>
      </c>
    </row>
    <row r="51" spans="2:9" x14ac:dyDescent="0.4">
      <c r="B51" s="213">
        <v>49</v>
      </c>
      <c r="C51" s="83" t="s">
        <v>88</v>
      </c>
      <c r="D51" s="83" t="s">
        <v>108</v>
      </c>
      <c r="G51" s="218">
        <v>288</v>
      </c>
      <c r="H51" s="82" t="s">
        <v>93</v>
      </c>
      <c r="I51" s="82" t="s">
        <v>110</v>
      </c>
    </row>
    <row r="52" spans="2:9" x14ac:dyDescent="0.4">
      <c r="B52" s="213">
        <v>50</v>
      </c>
      <c r="C52" s="83" t="s">
        <v>92</v>
      </c>
      <c r="D52" s="83" t="s">
        <v>109</v>
      </c>
      <c r="G52" s="218">
        <v>294</v>
      </c>
      <c r="H52" s="82" t="s">
        <v>94</v>
      </c>
      <c r="I52" s="2" t="s">
        <v>111</v>
      </c>
    </row>
    <row r="53" spans="2:9" x14ac:dyDescent="0.4">
      <c r="B53" s="213">
        <v>51</v>
      </c>
      <c r="C53" s="83" t="s">
        <v>92</v>
      </c>
      <c r="D53" s="83" t="s">
        <v>109</v>
      </c>
      <c r="G53" s="218">
        <v>295</v>
      </c>
      <c r="H53" s="65" t="s">
        <v>92</v>
      </c>
      <c r="I53" s="2" t="s">
        <v>109</v>
      </c>
    </row>
    <row r="54" spans="2:9" x14ac:dyDescent="0.4">
      <c r="B54" s="213">
        <v>52</v>
      </c>
      <c r="C54" s="83" t="s">
        <v>95</v>
      </c>
      <c r="D54" s="83" t="s">
        <v>112</v>
      </c>
      <c r="G54" s="218">
        <v>296</v>
      </c>
      <c r="H54" s="2" t="s">
        <v>94</v>
      </c>
      <c r="I54" s="3" t="s">
        <v>111</v>
      </c>
    </row>
    <row r="55" spans="2:9" x14ac:dyDescent="0.4">
      <c r="B55" s="213">
        <v>53</v>
      </c>
      <c r="C55" s="3" t="s">
        <v>91</v>
      </c>
      <c r="D55" s="3" t="s">
        <v>180</v>
      </c>
      <c r="G55" s="218">
        <v>304</v>
      </c>
      <c r="H55" s="2" t="s">
        <v>92</v>
      </c>
      <c r="I55" s="2" t="s">
        <v>109</v>
      </c>
    </row>
    <row r="56" spans="2:9" x14ac:dyDescent="0.4">
      <c r="B56" s="213">
        <v>54</v>
      </c>
      <c r="C56" s="3" t="s">
        <v>91</v>
      </c>
      <c r="D56" s="3" t="s">
        <v>180</v>
      </c>
      <c r="G56" s="218">
        <v>305</v>
      </c>
      <c r="H56" s="2" t="s">
        <v>88</v>
      </c>
      <c r="I56" s="2" t="s">
        <v>108</v>
      </c>
    </row>
    <row r="57" spans="2:9" ht="21.6" x14ac:dyDescent="0.4">
      <c r="B57" s="213">
        <v>55</v>
      </c>
      <c r="C57" s="83" t="s">
        <v>88</v>
      </c>
      <c r="D57" s="83" t="s">
        <v>117</v>
      </c>
      <c r="G57" s="218">
        <v>316</v>
      </c>
      <c r="H57" s="82" t="s">
        <v>94</v>
      </c>
      <c r="I57" s="79" t="s">
        <v>165</v>
      </c>
    </row>
    <row r="58" spans="2:9" x14ac:dyDescent="0.4">
      <c r="B58" s="213">
        <v>56</v>
      </c>
      <c r="C58" s="6" t="s">
        <v>97</v>
      </c>
      <c r="D58" s="6" t="s">
        <v>118</v>
      </c>
      <c r="G58" s="218">
        <v>318</v>
      </c>
      <c r="H58" s="82" t="s">
        <v>94</v>
      </c>
      <c r="I58" s="82" t="s">
        <v>111</v>
      </c>
    </row>
    <row r="59" spans="2:9" x14ac:dyDescent="0.4">
      <c r="B59" s="213">
        <v>57</v>
      </c>
      <c r="C59" s="3" t="s">
        <v>94</v>
      </c>
      <c r="D59" s="3" t="s">
        <v>111</v>
      </c>
      <c r="G59" s="218">
        <v>321</v>
      </c>
      <c r="H59" s="6" t="s">
        <v>92</v>
      </c>
      <c r="I59" s="82" t="s">
        <v>109</v>
      </c>
    </row>
    <row r="60" spans="2:9" x14ac:dyDescent="0.4">
      <c r="B60" s="215">
        <v>58</v>
      </c>
      <c r="C60" s="70" t="s">
        <v>163</v>
      </c>
      <c r="D60" s="70" t="s">
        <v>163</v>
      </c>
      <c r="G60" s="218">
        <v>322</v>
      </c>
      <c r="H60" s="6" t="s">
        <v>94</v>
      </c>
      <c r="I60" s="82" t="s">
        <v>111</v>
      </c>
    </row>
    <row r="61" spans="2:9" x14ac:dyDescent="0.4">
      <c r="B61" s="213">
        <v>59</v>
      </c>
      <c r="C61" s="83" t="s">
        <v>95</v>
      </c>
      <c r="D61" s="83" t="s">
        <v>112</v>
      </c>
      <c r="G61" s="218">
        <v>323</v>
      </c>
      <c r="H61" s="6" t="s">
        <v>88</v>
      </c>
      <c r="I61" s="82" t="s">
        <v>108</v>
      </c>
    </row>
    <row r="62" spans="2:9" x14ac:dyDescent="0.4">
      <c r="B62" s="211">
        <v>60</v>
      </c>
      <c r="C62" s="83" t="s">
        <v>90</v>
      </c>
      <c r="D62" s="83" t="s">
        <v>106</v>
      </c>
      <c r="G62" s="218">
        <v>330</v>
      </c>
      <c r="H62" s="82" t="s">
        <v>97</v>
      </c>
      <c r="I62" s="82" t="s">
        <v>118</v>
      </c>
    </row>
    <row r="63" spans="2:9" x14ac:dyDescent="0.4">
      <c r="B63" s="214">
        <v>61</v>
      </c>
      <c r="C63" s="70" t="s">
        <v>163</v>
      </c>
      <c r="D63" s="70" t="s">
        <v>163</v>
      </c>
      <c r="G63" s="218">
        <v>338</v>
      </c>
      <c r="H63" s="82" t="s">
        <v>94</v>
      </c>
      <c r="I63" s="82" t="s">
        <v>111</v>
      </c>
    </row>
    <row r="64" spans="2:9" ht="21.6" x14ac:dyDescent="0.4">
      <c r="B64" s="213">
        <v>62</v>
      </c>
      <c r="C64" s="83" t="s">
        <v>91</v>
      </c>
      <c r="D64" s="83" t="s">
        <v>107</v>
      </c>
      <c r="G64" s="218">
        <v>340</v>
      </c>
      <c r="H64" s="79" t="s">
        <v>92</v>
      </c>
      <c r="I64" s="79" t="s">
        <v>229</v>
      </c>
    </row>
    <row r="65" spans="2:12" x14ac:dyDescent="0.4">
      <c r="B65" s="211">
        <v>63</v>
      </c>
      <c r="C65" s="83" t="s">
        <v>95</v>
      </c>
      <c r="D65" s="83" t="s">
        <v>112</v>
      </c>
      <c r="G65" s="218">
        <v>342</v>
      </c>
      <c r="H65" s="82" t="s">
        <v>94</v>
      </c>
      <c r="I65" s="82" t="s">
        <v>111</v>
      </c>
    </row>
    <row r="66" spans="2:12" x14ac:dyDescent="0.4">
      <c r="B66" s="211">
        <v>64</v>
      </c>
      <c r="C66" s="83" t="s">
        <v>90</v>
      </c>
      <c r="D66" s="83" t="s">
        <v>106</v>
      </c>
      <c r="G66" s="218">
        <v>345</v>
      </c>
      <c r="H66" s="2" t="s">
        <v>92</v>
      </c>
      <c r="I66" s="2" t="s">
        <v>109</v>
      </c>
      <c r="L66" t="s">
        <v>671</v>
      </c>
    </row>
    <row r="67" spans="2:12" x14ac:dyDescent="0.4">
      <c r="B67" s="211">
        <v>65</v>
      </c>
      <c r="C67" s="6" t="s">
        <v>92</v>
      </c>
      <c r="D67" s="6" t="s">
        <v>109</v>
      </c>
      <c r="G67" s="218">
        <v>346</v>
      </c>
      <c r="H67" s="82" t="s">
        <v>88</v>
      </c>
      <c r="I67" s="82" t="s">
        <v>108</v>
      </c>
    </row>
    <row r="68" spans="2:12" x14ac:dyDescent="0.4">
      <c r="B68" s="211">
        <v>66</v>
      </c>
      <c r="C68" s="83" t="s">
        <v>92</v>
      </c>
      <c r="D68" s="83" t="s">
        <v>109</v>
      </c>
      <c r="G68" s="218">
        <v>347</v>
      </c>
      <c r="H68" s="82" t="s">
        <v>92</v>
      </c>
      <c r="I68" s="82" t="s">
        <v>109</v>
      </c>
    </row>
    <row r="69" spans="2:12" ht="21.6" x14ac:dyDescent="0.4">
      <c r="B69" s="213">
        <v>67</v>
      </c>
      <c r="C69" s="83" t="s">
        <v>94</v>
      </c>
      <c r="D69" s="83" t="s">
        <v>111</v>
      </c>
      <c r="G69" s="218">
        <v>349</v>
      </c>
      <c r="H69" s="79" t="s">
        <v>92</v>
      </c>
      <c r="I69" s="79" t="s">
        <v>229</v>
      </c>
    </row>
    <row r="70" spans="2:12" ht="21.6" x14ac:dyDescent="0.4">
      <c r="B70" s="211">
        <v>68</v>
      </c>
      <c r="C70" s="6" t="s">
        <v>91</v>
      </c>
      <c r="D70" s="6" t="s">
        <v>107</v>
      </c>
      <c r="G70" s="218">
        <v>351</v>
      </c>
      <c r="H70" s="79" t="s">
        <v>93</v>
      </c>
      <c r="I70" s="79" t="s">
        <v>229</v>
      </c>
    </row>
    <row r="71" spans="2:12" x14ac:dyDescent="0.4">
      <c r="B71" s="211">
        <v>69</v>
      </c>
      <c r="C71" s="83" t="s">
        <v>94</v>
      </c>
      <c r="D71" s="83" t="s">
        <v>111</v>
      </c>
      <c r="G71" s="218">
        <v>355</v>
      </c>
      <c r="H71" s="82" t="s">
        <v>94</v>
      </c>
      <c r="I71" s="82" t="s">
        <v>111</v>
      </c>
    </row>
    <row r="72" spans="2:12" x14ac:dyDescent="0.4">
      <c r="B72" s="214">
        <v>70</v>
      </c>
      <c r="C72" s="70" t="s">
        <v>163</v>
      </c>
      <c r="D72" s="70" t="s">
        <v>163</v>
      </c>
      <c r="G72" s="218">
        <v>362</v>
      </c>
      <c r="H72" s="82" t="s">
        <v>95</v>
      </c>
      <c r="I72" s="82" t="s">
        <v>120</v>
      </c>
    </row>
    <row r="73" spans="2:12" x14ac:dyDescent="0.4">
      <c r="B73" s="211">
        <v>71</v>
      </c>
      <c r="C73" s="83" t="s">
        <v>90</v>
      </c>
      <c r="D73" s="83" t="s">
        <v>106</v>
      </c>
      <c r="G73" s="218">
        <v>364</v>
      </c>
      <c r="H73" s="82" t="s">
        <v>88</v>
      </c>
      <c r="I73" s="82" t="s">
        <v>108</v>
      </c>
    </row>
    <row r="74" spans="2:12" x14ac:dyDescent="0.4">
      <c r="B74" s="214">
        <v>72</v>
      </c>
      <c r="C74" s="70" t="s">
        <v>163</v>
      </c>
      <c r="D74" s="70" t="s">
        <v>163</v>
      </c>
      <c r="G74" s="218">
        <v>370</v>
      </c>
      <c r="H74" s="82" t="s">
        <v>95</v>
      </c>
      <c r="I74" s="82" t="s">
        <v>120</v>
      </c>
    </row>
    <row r="75" spans="2:12" x14ac:dyDescent="0.4">
      <c r="B75" s="211">
        <v>73</v>
      </c>
      <c r="C75" s="83" t="s">
        <v>88</v>
      </c>
      <c r="D75" s="83" t="s">
        <v>119</v>
      </c>
      <c r="G75" s="218">
        <v>371</v>
      </c>
      <c r="H75" s="82" t="s">
        <v>94</v>
      </c>
      <c r="I75" s="82" t="s">
        <v>111</v>
      </c>
    </row>
    <row r="76" spans="2:12" x14ac:dyDescent="0.4">
      <c r="B76" s="211">
        <v>74</v>
      </c>
      <c r="C76" s="83" t="s">
        <v>88</v>
      </c>
      <c r="D76" s="83" t="s">
        <v>108</v>
      </c>
      <c r="G76" s="218">
        <v>372</v>
      </c>
      <c r="H76" s="82" t="s">
        <v>92</v>
      </c>
      <c r="I76" s="82" t="s">
        <v>109</v>
      </c>
    </row>
    <row r="77" spans="2:12" x14ac:dyDescent="0.4">
      <c r="B77" s="211">
        <v>75</v>
      </c>
      <c r="C77" s="6" t="s">
        <v>91</v>
      </c>
      <c r="D77" s="6" t="s">
        <v>180</v>
      </c>
      <c r="G77" s="218">
        <v>378</v>
      </c>
      <c r="H77" s="82" t="s">
        <v>94</v>
      </c>
      <c r="I77" s="82" t="s">
        <v>111</v>
      </c>
    </row>
    <row r="78" spans="2:12" x14ac:dyDescent="0.4">
      <c r="B78" s="211">
        <v>76</v>
      </c>
      <c r="C78" s="83" t="s">
        <v>88</v>
      </c>
      <c r="D78" s="83" t="s">
        <v>117</v>
      </c>
      <c r="G78" s="218">
        <v>382</v>
      </c>
      <c r="H78" s="82" t="s">
        <v>92</v>
      </c>
      <c r="I78" s="82" t="s">
        <v>109</v>
      </c>
    </row>
    <row r="79" spans="2:12" x14ac:dyDescent="0.4">
      <c r="B79" s="211">
        <v>77</v>
      </c>
      <c r="C79" s="3" t="s">
        <v>90</v>
      </c>
      <c r="D79" s="3" t="s">
        <v>106</v>
      </c>
      <c r="G79" s="218">
        <v>384</v>
      </c>
      <c r="H79" s="82" t="s">
        <v>94</v>
      </c>
      <c r="I79" s="82" t="s">
        <v>124</v>
      </c>
    </row>
    <row r="80" spans="2:12" ht="21.6" x14ac:dyDescent="0.4">
      <c r="B80" s="211">
        <v>78</v>
      </c>
      <c r="C80" s="3" t="s">
        <v>90</v>
      </c>
      <c r="D80" s="3" t="s">
        <v>106</v>
      </c>
      <c r="G80" s="218">
        <v>387</v>
      </c>
      <c r="H80" s="79" t="s">
        <v>93</v>
      </c>
      <c r="I80" s="79" t="s">
        <v>229</v>
      </c>
    </row>
    <row r="81" spans="2:9" x14ac:dyDescent="0.4">
      <c r="B81" s="211">
        <v>79</v>
      </c>
      <c r="C81" s="83" t="s">
        <v>94</v>
      </c>
      <c r="D81" s="83" t="s">
        <v>111</v>
      </c>
      <c r="G81" s="218">
        <v>392</v>
      </c>
      <c r="H81" s="82" t="s">
        <v>91</v>
      </c>
      <c r="I81" s="82" t="s">
        <v>107</v>
      </c>
    </row>
    <row r="82" spans="2:9" x14ac:dyDescent="0.4">
      <c r="B82" s="211">
        <v>80</v>
      </c>
      <c r="C82" s="83" t="s">
        <v>88</v>
      </c>
      <c r="D82" s="83" t="s">
        <v>108</v>
      </c>
      <c r="G82" s="218">
        <v>396</v>
      </c>
      <c r="H82" s="82" t="s">
        <v>95</v>
      </c>
      <c r="I82" s="82" t="s">
        <v>120</v>
      </c>
    </row>
    <row r="83" spans="2:9" x14ac:dyDescent="0.4">
      <c r="B83" s="211">
        <v>81</v>
      </c>
      <c r="C83" s="83" t="s">
        <v>90</v>
      </c>
      <c r="D83" s="83" t="s">
        <v>106</v>
      </c>
      <c r="G83" s="218">
        <v>400</v>
      </c>
      <c r="H83" s="82" t="s">
        <v>97</v>
      </c>
      <c r="I83" s="82" t="s">
        <v>118</v>
      </c>
    </row>
    <row r="84" spans="2:9" x14ac:dyDescent="0.4">
      <c r="B84" s="211">
        <v>82</v>
      </c>
      <c r="C84" s="83" t="s">
        <v>90</v>
      </c>
      <c r="D84" s="83" t="s">
        <v>106</v>
      </c>
      <c r="G84" s="218">
        <v>406</v>
      </c>
      <c r="H84" s="82" t="s">
        <v>91</v>
      </c>
      <c r="I84" s="82" t="s">
        <v>107</v>
      </c>
    </row>
    <row r="85" spans="2:9" x14ac:dyDescent="0.4">
      <c r="B85" s="211">
        <v>83</v>
      </c>
      <c r="C85" s="83" t="s">
        <v>92</v>
      </c>
      <c r="D85" s="83" t="s">
        <v>109</v>
      </c>
      <c r="G85" s="218">
        <v>407</v>
      </c>
      <c r="H85" s="82" t="s">
        <v>95</v>
      </c>
      <c r="I85" s="82" t="s">
        <v>120</v>
      </c>
    </row>
    <row r="86" spans="2:9" x14ac:dyDescent="0.4">
      <c r="B86" s="211">
        <v>84</v>
      </c>
      <c r="C86" s="83" t="s">
        <v>90</v>
      </c>
      <c r="D86" s="83" t="s">
        <v>106</v>
      </c>
      <c r="G86" s="218">
        <v>408</v>
      </c>
      <c r="H86" s="82" t="s">
        <v>95</v>
      </c>
      <c r="I86" s="82" t="s">
        <v>120</v>
      </c>
    </row>
    <row r="87" spans="2:9" x14ac:dyDescent="0.4">
      <c r="B87" s="211">
        <v>85</v>
      </c>
      <c r="C87" s="83" t="s">
        <v>94</v>
      </c>
      <c r="D87" s="83" t="s">
        <v>111</v>
      </c>
      <c r="G87" s="218">
        <v>413</v>
      </c>
      <c r="H87" s="2" t="s">
        <v>88</v>
      </c>
      <c r="I87" s="2" t="s">
        <v>117</v>
      </c>
    </row>
    <row r="88" spans="2:9" x14ac:dyDescent="0.4">
      <c r="B88" s="211">
        <v>86</v>
      </c>
      <c r="C88" s="83" t="s">
        <v>95</v>
      </c>
      <c r="D88" s="83" t="s">
        <v>120</v>
      </c>
      <c r="G88" s="218">
        <v>421</v>
      </c>
      <c r="H88" s="82" t="s">
        <v>95</v>
      </c>
      <c r="I88" s="82" t="s">
        <v>120</v>
      </c>
    </row>
    <row r="89" spans="2:9" x14ac:dyDescent="0.4">
      <c r="B89" s="211">
        <v>87</v>
      </c>
      <c r="C89" s="83" t="s">
        <v>92</v>
      </c>
      <c r="D89" s="83" t="s">
        <v>109</v>
      </c>
      <c r="G89" s="218">
        <v>422</v>
      </c>
      <c r="H89" s="82" t="s">
        <v>94</v>
      </c>
      <c r="I89" s="82" t="s">
        <v>111</v>
      </c>
    </row>
    <row r="90" spans="2:9" x14ac:dyDescent="0.4">
      <c r="B90" s="211">
        <v>88</v>
      </c>
      <c r="C90" s="83" t="s">
        <v>90</v>
      </c>
      <c r="D90" s="83" t="s">
        <v>106</v>
      </c>
      <c r="G90" s="213">
        <v>432</v>
      </c>
      <c r="H90" s="82" t="s">
        <v>88</v>
      </c>
      <c r="I90" s="2" t="s">
        <v>108</v>
      </c>
    </row>
    <row r="91" spans="2:9" x14ac:dyDescent="0.4">
      <c r="B91" s="213">
        <v>89</v>
      </c>
      <c r="C91" s="83" t="s">
        <v>92</v>
      </c>
      <c r="D91" s="83" t="s">
        <v>109</v>
      </c>
      <c r="G91" s="213">
        <v>435</v>
      </c>
      <c r="H91" s="82" t="s">
        <v>88</v>
      </c>
      <c r="I91" s="2" t="s">
        <v>117</v>
      </c>
    </row>
    <row r="92" spans="2:9" x14ac:dyDescent="0.4">
      <c r="B92" s="211">
        <v>90</v>
      </c>
      <c r="C92" s="6" t="s">
        <v>91</v>
      </c>
      <c r="D92" s="6" t="s">
        <v>107</v>
      </c>
      <c r="G92" s="213">
        <v>437</v>
      </c>
      <c r="H92" s="2" t="s">
        <v>94</v>
      </c>
      <c r="I92" s="2" t="s">
        <v>111</v>
      </c>
    </row>
    <row r="93" spans="2:9" x14ac:dyDescent="0.4">
      <c r="B93" s="211">
        <v>91</v>
      </c>
      <c r="C93" s="83" t="s">
        <v>95</v>
      </c>
      <c r="D93" s="83" t="s">
        <v>120</v>
      </c>
      <c r="G93" s="213">
        <v>438</v>
      </c>
      <c r="H93" s="2" t="s">
        <v>88</v>
      </c>
      <c r="I93" s="3" t="s">
        <v>108</v>
      </c>
    </row>
    <row r="94" spans="2:9" x14ac:dyDescent="0.4">
      <c r="B94" s="211">
        <v>92</v>
      </c>
      <c r="C94" s="83" t="s">
        <v>90</v>
      </c>
      <c r="D94" s="83" t="s">
        <v>106</v>
      </c>
      <c r="G94" s="218">
        <v>440</v>
      </c>
      <c r="H94" s="82" t="s">
        <v>88</v>
      </c>
      <c r="I94" s="82" t="s">
        <v>108</v>
      </c>
    </row>
    <row r="95" spans="2:9" x14ac:dyDescent="0.4">
      <c r="B95" s="214">
        <v>93</v>
      </c>
      <c r="C95" s="70" t="s">
        <v>163</v>
      </c>
      <c r="D95" s="70" t="s">
        <v>163</v>
      </c>
      <c r="G95" s="218">
        <v>441</v>
      </c>
      <c r="H95" s="2" t="s">
        <v>88</v>
      </c>
      <c r="I95" s="2" t="s">
        <v>117</v>
      </c>
    </row>
    <row r="96" spans="2:9" x14ac:dyDescent="0.4">
      <c r="B96" s="211">
        <v>94</v>
      </c>
      <c r="C96" s="83" t="s">
        <v>88</v>
      </c>
      <c r="D96" s="83" t="s">
        <v>119</v>
      </c>
      <c r="G96" s="218">
        <v>443</v>
      </c>
      <c r="H96" s="2" t="s">
        <v>94</v>
      </c>
      <c r="I96" s="2" t="s">
        <v>111</v>
      </c>
    </row>
    <row r="97" spans="2:9" x14ac:dyDescent="0.4">
      <c r="B97" s="213">
        <v>95</v>
      </c>
      <c r="C97" s="6" t="s">
        <v>88</v>
      </c>
      <c r="D97" s="6" t="s">
        <v>117</v>
      </c>
      <c r="G97" s="218">
        <v>445</v>
      </c>
      <c r="H97" s="82" t="s">
        <v>88</v>
      </c>
      <c r="I97" s="82" t="s">
        <v>108</v>
      </c>
    </row>
    <row r="98" spans="2:9" x14ac:dyDescent="0.4">
      <c r="B98" s="211">
        <v>96</v>
      </c>
      <c r="C98" s="83" t="s">
        <v>97</v>
      </c>
      <c r="D98" s="83" t="s">
        <v>121</v>
      </c>
      <c r="G98" s="218">
        <v>451</v>
      </c>
      <c r="H98" s="82" t="s">
        <v>88</v>
      </c>
      <c r="I98" s="82" t="s">
        <v>108</v>
      </c>
    </row>
    <row r="99" spans="2:9" x14ac:dyDescent="0.4">
      <c r="B99" s="211">
        <v>97</v>
      </c>
      <c r="C99" s="83" t="s">
        <v>94</v>
      </c>
      <c r="D99" s="83" t="s">
        <v>111</v>
      </c>
      <c r="G99" s="218">
        <v>453</v>
      </c>
      <c r="H99" s="82" t="s">
        <v>94</v>
      </c>
      <c r="I99" s="83" t="s">
        <v>111</v>
      </c>
    </row>
    <row r="100" spans="2:9" x14ac:dyDescent="0.4">
      <c r="B100" s="211">
        <v>98</v>
      </c>
      <c r="C100" s="83" t="s">
        <v>94</v>
      </c>
      <c r="D100" s="83" t="s">
        <v>122</v>
      </c>
      <c r="G100" s="218">
        <v>455</v>
      </c>
      <c r="H100" s="2" t="s">
        <v>94</v>
      </c>
      <c r="I100" s="2" t="s">
        <v>111</v>
      </c>
    </row>
    <row r="101" spans="2:9" x14ac:dyDescent="0.4">
      <c r="B101" s="211">
        <v>99</v>
      </c>
      <c r="C101" s="83" t="s">
        <v>92</v>
      </c>
      <c r="D101" s="83" t="s">
        <v>109</v>
      </c>
      <c r="G101" s="218">
        <v>456</v>
      </c>
      <c r="H101" s="82" t="s">
        <v>94</v>
      </c>
      <c r="I101" s="82" t="s">
        <v>111</v>
      </c>
    </row>
    <row r="102" spans="2:9" x14ac:dyDescent="0.4">
      <c r="B102" s="211">
        <v>100</v>
      </c>
      <c r="C102" s="83" t="s">
        <v>95</v>
      </c>
      <c r="D102" s="83" t="s">
        <v>112</v>
      </c>
      <c r="G102" s="218">
        <v>459</v>
      </c>
      <c r="H102" s="3" t="s">
        <v>88</v>
      </c>
      <c r="I102" s="83" t="s">
        <v>117</v>
      </c>
    </row>
    <row r="103" spans="2:9" x14ac:dyDescent="0.4">
      <c r="B103" s="211">
        <v>101</v>
      </c>
      <c r="C103" s="83" t="s">
        <v>88</v>
      </c>
      <c r="D103" s="83" t="s">
        <v>108</v>
      </c>
      <c r="G103" s="218">
        <v>460</v>
      </c>
      <c r="H103" s="82" t="s">
        <v>88</v>
      </c>
      <c r="I103" s="82" t="s">
        <v>108</v>
      </c>
    </row>
    <row r="104" spans="2:9" x14ac:dyDescent="0.4">
      <c r="B104" s="211">
        <v>102</v>
      </c>
      <c r="C104" s="83" t="s">
        <v>90</v>
      </c>
      <c r="D104" s="83" t="s">
        <v>106</v>
      </c>
      <c r="G104" s="218">
        <v>461</v>
      </c>
      <c r="H104" s="2" t="s">
        <v>95</v>
      </c>
      <c r="I104" s="3" t="s">
        <v>112</v>
      </c>
    </row>
    <row r="105" spans="2:9" x14ac:dyDescent="0.4">
      <c r="B105" s="211">
        <v>103</v>
      </c>
      <c r="C105" s="83" t="s">
        <v>95</v>
      </c>
      <c r="D105" s="83" t="s">
        <v>112</v>
      </c>
      <c r="G105" s="218">
        <v>462</v>
      </c>
      <c r="H105" s="82" t="s">
        <v>88</v>
      </c>
      <c r="I105" s="82" t="s">
        <v>108</v>
      </c>
    </row>
    <row r="106" spans="2:9" x14ac:dyDescent="0.4">
      <c r="B106" s="211">
        <v>104</v>
      </c>
      <c r="C106" s="83" t="s">
        <v>88</v>
      </c>
      <c r="D106" s="83" t="s">
        <v>117</v>
      </c>
      <c r="G106" s="218">
        <v>466</v>
      </c>
      <c r="H106" s="2" t="s">
        <v>95</v>
      </c>
      <c r="I106" s="3" t="s">
        <v>112</v>
      </c>
    </row>
    <row r="107" spans="2:9" x14ac:dyDescent="0.4">
      <c r="B107" s="211">
        <v>105</v>
      </c>
      <c r="C107" s="83" t="s">
        <v>97</v>
      </c>
      <c r="D107" s="83" t="s">
        <v>118</v>
      </c>
      <c r="G107" s="213">
        <v>472</v>
      </c>
      <c r="H107" s="82" t="s">
        <v>91</v>
      </c>
      <c r="I107" s="82" t="s">
        <v>107</v>
      </c>
    </row>
    <row r="108" spans="2:9" x14ac:dyDescent="0.4">
      <c r="B108" s="211">
        <v>106</v>
      </c>
      <c r="C108" s="3" t="s">
        <v>90</v>
      </c>
      <c r="D108" s="3" t="s">
        <v>106</v>
      </c>
      <c r="G108" s="213">
        <v>473</v>
      </c>
      <c r="H108" s="2" t="s">
        <v>94</v>
      </c>
      <c r="I108" s="3" t="s">
        <v>111</v>
      </c>
    </row>
    <row r="109" spans="2:9" x14ac:dyDescent="0.4">
      <c r="B109" s="211">
        <v>107</v>
      </c>
      <c r="C109" s="6" t="s">
        <v>94</v>
      </c>
      <c r="D109" s="6" t="s">
        <v>111</v>
      </c>
      <c r="G109" s="218">
        <v>475</v>
      </c>
      <c r="H109" s="82" t="s">
        <v>95</v>
      </c>
      <c r="I109" s="82" t="s">
        <v>120</v>
      </c>
    </row>
    <row r="110" spans="2:9" x14ac:dyDescent="0.4">
      <c r="B110" s="211">
        <v>108</v>
      </c>
      <c r="C110" s="83" t="s">
        <v>95</v>
      </c>
      <c r="D110" s="83" t="s">
        <v>120</v>
      </c>
      <c r="G110" s="213">
        <v>482</v>
      </c>
      <c r="H110" s="2" t="s">
        <v>94</v>
      </c>
      <c r="I110" s="2" t="s">
        <v>111</v>
      </c>
    </row>
    <row r="111" spans="2:9" x14ac:dyDescent="0.4">
      <c r="B111" s="211">
        <v>109</v>
      </c>
      <c r="C111" s="83" t="s">
        <v>94</v>
      </c>
      <c r="D111" s="83" t="s">
        <v>111</v>
      </c>
      <c r="G111" s="213">
        <v>483</v>
      </c>
      <c r="H111" s="2" t="s">
        <v>95</v>
      </c>
      <c r="I111" s="2" t="s">
        <v>120</v>
      </c>
    </row>
    <row r="112" spans="2:9" x14ac:dyDescent="0.4">
      <c r="B112" s="211">
        <v>110</v>
      </c>
      <c r="C112" s="83" t="s">
        <v>94</v>
      </c>
      <c r="D112" s="83" t="s">
        <v>111</v>
      </c>
      <c r="G112" s="213">
        <v>485</v>
      </c>
      <c r="H112" s="2" t="s">
        <v>94</v>
      </c>
      <c r="I112" s="3" t="s">
        <v>111</v>
      </c>
    </row>
    <row r="113" spans="2:9" ht="21.6" x14ac:dyDescent="0.4">
      <c r="B113" s="211">
        <v>111</v>
      </c>
      <c r="C113" s="6" t="s">
        <v>91</v>
      </c>
      <c r="D113" s="6" t="s">
        <v>107</v>
      </c>
      <c r="G113" s="218">
        <v>486</v>
      </c>
      <c r="H113" s="82" t="s">
        <v>91</v>
      </c>
      <c r="I113" s="79" t="s">
        <v>454</v>
      </c>
    </row>
    <row r="114" spans="2:9" x14ac:dyDescent="0.4">
      <c r="B114" s="211">
        <v>112</v>
      </c>
      <c r="C114" s="6" t="s">
        <v>91</v>
      </c>
      <c r="D114" s="6" t="s">
        <v>180</v>
      </c>
      <c r="G114" s="218">
        <v>488</v>
      </c>
      <c r="H114" s="82" t="s">
        <v>94</v>
      </c>
      <c r="I114" s="82" t="s">
        <v>124</v>
      </c>
    </row>
    <row r="115" spans="2:9" x14ac:dyDescent="0.4">
      <c r="B115" s="211">
        <v>113</v>
      </c>
      <c r="C115" s="83" t="s">
        <v>88</v>
      </c>
      <c r="D115" s="83" t="s">
        <v>105</v>
      </c>
      <c r="G115" s="218">
        <v>492</v>
      </c>
      <c r="H115" s="82" t="s">
        <v>92</v>
      </c>
      <c r="I115" s="82" t="s">
        <v>116</v>
      </c>
    </row>
    <row r="116" spans="2:9" x14ac:dyDescent="0.4">
      <c r="B116" s="213">
        <v>114</v>
      </c>
      <c r="C116" s="83" t="s">
        <v>88</v>
      </c>
      <c r="D116" s="83" t="s">
        <v>108</v>
      </c>
      <c r="G116" s="218">
        <v>495</v>
      </c>
      <c r="H116" s="82" t="s">
        <v>92</v>
      </c>
      <c r="I116" s="82" t="s">
        <v>109</v>
      </c>
    </row>
    <row r="117" spans="2:9" x14ac:dyDescent="0.4">
      <c r="B117" s="211">
        <v>115</v>
      </c>
      <c r="C117" s="83" t="s">
        <v>92</v>
      </c>
      <c r="D117" s="83" t="s">
        <v>109</v>
      </c>
      <c r="G117" s="218">
        <v>502</v>
      </c>
      <c r="H117" s="82" t="s">
        <v>95</v>
      </c>
      <c r="I117" s="82" t="s">
        <v>120</v>
      </c>
    </row>
    <row r="118" spans="2:9" x14ac:dyDescent="0.4">
      <c r="B118" s="211">
        <v>116</v>
      </c>
      <c r="C118" s="6" t="s">
        <v>91</v>
      </c>
      <c r="D118" s="6" t="s">
        <v>107</v>
      </c>
      <c r="G118" s="218">
        <v>503</v>
      </c>
      <c r="H118" s="82" t="s">
        <v>88</v>
      </c>
      <c r="I118" s="82" t="s">
        <v>117</v>
      </c>
    </row>
    <row r="119" spans="2:9" x14ac:dyDescent="0.4">
      <c r="B119" s="211">
        <v>117</v>
      </c>
      <c r="C119" s="6" t="s">
        <v>93</v>
      </c>
      <c r="D119" s="6" t="s">
        <v>110</v>
      </c>
      <c r="G119" s="218">
        <v>505</v>
      </c>
      <c r="H119" s="82" t="s">
        <v>95</v>
      </c>
      <c r="I119" s="82" t="s">
        <v>120</v>
      </c>
    </row>
    <row r="120" spans="2:9" x14ac:dyDescent="0.4">
      <c r="B120" s="211">
        <v>118</v>
      </c>
      <c r="C120" s="83" t="s">
        <v>88</v>
      </c>
      <c r="D120" s="83" t="s">
        <v>117</v>
      </c>
      <c r="G120" s="213">
        <v>509</v>
      </c>
      <c r="H120" s="2" t="s">
        <v>92</v>
      </c>
      <c r="I120" s="2" t="s">
        <v>109</v>
      </c>
    </row>
    <row r="121" spans="2:9" x14ac:dyDescent="0.4">
      <c r="B121" s="211">
        <v>119</v>
      </c>
      <c r="C121" s="83" t="s">
        <v>90</v>
      </c>
      <c r="D121" s="83" t="s">
        <v>106</v>
      </c>
      <c r="G121" s="213">
        <v>513</v>
      </c>
      <c r="H121" s="2" t="s">
        <v>95</v>
      </c>
      <c r="I121" s="2" t="s">
        <v>112</v>
      </c>
    </row>
    <row r="122" spans="2:9" x14ac:dyDescent="0.4">
      <c r="B122" s="211">
        <v>120</v>
      </c>
      <c r="C122" s="6" t="s">
        <v>91</v>
      </c>
      <c r="D122" s="6" t="s">
        <v>107</v>
      </c>
      <c r="G122" s="213">
        <v>515</v>
      </c>
      <c r="H122" s="2" t="s">
        <v>92</v>
      </c>
      <c r="I122" s="2" t="s">
        <v>109</v>
      </c>
    </row>
    <row r="123" spans="2:9" x14ac:dyDescent="0.4">
      <c r="B123" s="211">
        <v>121</v>
      </c>
      <c r="C123" s="6" t="s">
        <v>91</v>
      </c>
      <c r="D123" s="6" t="s">
        <v>107</v>
      </c>
      <c r="G123" s="213">
        <v>522</v>
      </c>
      <c r="H123" s="2" t="s">
        <v>88</v>
      </c>
      <c r="I123" s="2" t="s">
        <v>108</v>
      </c>
    </row>
    <row r="124" spans="2:9" x14ac:dyDescent="0.4">
      <c r="B124" s="214">
        <v>122</v>
      </c>
      <c r="C124" s="70" t="s">
        <v>163</v>
      </c>
      <c r="D124" s="70" t="s">
        <v>163</v>
      </c>
      <c r="G124" s="218">
        <v>523</v>
      </c>
      <c r="H124" s="82" t="s">
        <v>95</v>
      </c>
      <c r="I124" s="82" t="s">
        <v>120</v>
      </c>
    </row>
    <row r="125" spans="2:9" x14ac:dyDescent="0.4">
      <c r="B125" s="215">
        <v>123</v>
      </c>
      <c r="C125" s="70" t="s">
        <v>163</v>
      </c>
      <c r="D125" s="70" t="s">
        <v>163</v>
      </c>
      <c r="G125" s="218">
        <v>530</v>
      </c>
      <c r="H125" s="82" t="s">
        <v>97</v>
      </c>
      <c r="I125" s="82" t="s">
        <v>118</v>
      </c>
    </row>
    <row r="126" spans="2:9" x14ac:dyDescent="0.4">
      <c r="B126" s="211">
        <v>124</v>
      </c>
      <c r="C126" s="6" t="s">
        <v>91</v>
      </c>
      <c r="D126" s="6" t="s">
        <v>107</v>
      </c>
      <c r="G126" s="218">
        <v>533</v>
      </c>
      <c r="H126" s="82" t="s">
        <v>88</v>
      </c>
      <c r="I126" s="82" t="s">
        <v>108</v>
      </c>
    </row>
    <row r="127" spans="2:9" x14ac:dyDescent="0.4">
      <c r="B127" s="211">
        <v>125</v>
      </c>
      <c r="C127" s="83" t="s">
        <v>92</v>
      </c>
      <c r="D127" s="83" t="s">
        <v>109</v>
      </c>
      <c r="G127" s="218">
        <v>538</v>
      </c>
      <c r="H127" s="82" t="s">
        <v>91</v>
      </c>
      <c r="I127" s="82" t="s">
        <v>107</v>
      </c>
    </row>
    <row r="128" spans="2:9" x14ac:dyDescent="0.4">
      <c r="B128" s="211">
        <v>126</v>
      </c>
      <c r="C128" s="83" t="s">
        <v>90</v>
      </c>
      <c r="D128" s="83" t="s">
        <v>106</v>
      </c>
      <c r="G128" s="218">
        <v>539</v>
      </c>
      <c r="H128" s="82" t="s">
        <v>91</v>
      </c>
      <c r="I128" s="82" t="s">
        <v>107</v>
      </c>
    </row>
    <row r="129" spans="2:9" x14ac:dyDescent="0.4">
      <c r="B129" s="211">
        <v>127</v>
      </c>
      <c r="C129" s="3" t="s">
        <v>94</v>
      </c>
      <c r="D129" s="3" t="s">
        <v>111</v>
      </c>
      <c r="G129" s="218">
        <v>542</v>
      </c>
      <c r="H129" s="82" t="s">
        <v>94</v>
      </c>
      <c r="I129" s="82" t="s">
        <v>111</v>
      </c>
    </row>
    <row r="130" spans="2:9" x14ac:dyDescent="0.4">
      <c r="B130" s="214">
        <v>128</v>
      </c>
      <c r="C130" s="70" t="s">
        <v>163</v>
      </c>
      <c r="D130" s="70" t="s">
        <v>163</v>
      </c>
      <c r="G130" s="218">
        <v>544</v>
      </c>
      <c r="H130" s="82" t="s">
        <v>94</v>
      </c>
      <c r="I130" s="82" t="s">
        <v>111</v>
      </c>
    </row>
    <row r="131" spans="2:9" x14ac:dyDescent="0.4">
      <c r="B131" s="211">
        <v>129</v>
      </c>
      <c r="C131" s="83" t="s">
        <v>94</v>
      </c>
      <c r="D131" s="83" t="s">
        <v>111</v>
      </c>
      <c r="G131" s="218">
        <v>548</v>
      </c>
      <c r="H131" s="94" t="s">
        <v>95</v>
      </c>
      <c r="I131" s="82" t="s">
        <v>120</v>
      </c>
    </row>
    <row r="132" spans="2:9" x14ac:dyDescent="0.4">
      <c r="B132" s="211">
        <v>130</v>
      </c>
      <c r="C132" s="83" t="s">
        <v>94</v>
      </c>
      <c r="D132" s="83" t="s">
        <v>111</v>
      </c>
      <c r="G132" s="218">
        <v>549</v>
      </c>
      <c r="H132" s="82" t="s">
        <v>91</v>
      </c>
      <c r="I132" s="82" t="s">
        <v>107</v>
      </c>
    </row>
    <row r="133" spans="2:9" x14ac:dyDescent="0.4">
      <c r="B133" s="211">
        <v>131</v>
      </c>
      <c r="C133" s="6" t="s">
        <v>91</v>
      </c>
      <c r="D133" s="6" t="s">
        <v>180</v>
      </c>
      <c r="G133" s="213">
        <v>550</v>
      </c>
      <c r="H133" s="2" t="s">
        <v>92</v>
      </c>
      <c r="I133" s="2" t="s">
        <v>109</v>
      </c>
    </row>
    <row r="134" spans="2:9" x14ac:dyDescent="0.4">
      <c r="B134" s="211">
        <v>132</v>
      </c>
      <c r="C134" s="83" t="s">
        <v>94</v>
      </c>
      <c r="D134" s="83" t="s">
        <v>122</v>
      </c>
      <c r="G134" s="213">
        <v>552</v>
      </c>
      <c r="H134" s="2" t="s">
        <v>97</v>
      </c>
      <c r="I134" s="3" t="s">
        <v>118</v>
      </c>
    </row>
    <row r="135" spans="2:9" x14ac:dyDescent="0.4">
      <c r="B135" s="211">
        <v>133</v>
      </c>
      <c r="C135" s="83" t="s">
        <v>94</v>
      </c>
      <c r="D135" s="83" t="s">
        <v>122</v>
      </c>
      <c r="G135" s="213">
        <v>555</v>
      </c>
      <c r="H135" s="82" t="s">
        <v>95</v>
      </c>
      <c r="I135" s="3" t="s">
        <v>120</v>
      </c>
    </row>
    <row r="136" spans="2:9" x14ac:dyDescent="0.4">
      <c r="B136" s="211">
        <v>134</v>
      </c>
      <c r="C136" s="6" t="s">
        <v>91</v>
      </c>
      <c r="D136" s="6" t="s">
        <v>107</v>
      </c>
      <c r="G136" s="213">
        <v>556</v>
      </c>
      <c r="H136" s="82" t="s">
        <v>95</v>
      </c>
      <c r="I136" s="2" t="s">
        <v>120</v>
      </c>
    </row>
    <row r="137" spans="2:9" x14ac:dyDescent="0.4">
      <c r="B137" s="211">
        <v>135</v>
      </c>
      <c r="C137" s="83" t="s">
        <v>88</v>
      </c>
      <c r="D137" s="83" t="s">
        <v>117</v>
      </c>
      <c r="G137" s="218">
        <v>558</v>
      </c>
      <c r="H137" s="82" t="s">
        <v>94</v>
      </c>
      <c r="I137" s="79" t="s">
        <v>124</v>
      </c>
    </row>
    <row r="138" spans="2:9" x14ac:dyDescent="0.4">
      <c r="B138" s="211">
        <v>136</v>
      </c>
      <c r="C138" s="3" t="s">
        <v>91</v>
      </c>
      <c r="D138" s="3" t="s">
        <v>180</v>
      </c>
      <c r="G138" s="218">
        <v>561</v>
      </c>
      <c r="H138" s="82" t="s">
        <v>94</v>
      </c>
      <c r="I138" s="82" t="s">
        <v>124</v>
      </c>
    </row>
    <row r="139" spans="2:9" x14ac:dyDescent="0.4">
      <c r="B139" s="211">
        <v>137</v>
      </c>
      <c r="C139" s="6" t="s">
        <v>91</v>
      </c>
      <c r="D139" s="6" t="s">
        <v>107</v>
      </c>
      <c r="G139" s="218">
        <v>562</v>
      </c>
      <c r="H139" s="82" t="s">
        <v>95</v>
      </c>
      <c r="I139" s="82" t="s">
        <v>112</v>
      </c>
    </row>
    <row r="140" spans="2:9" x14ac:dyDescent="0.4">
      <c r="B140" s="211">
        <v>138</v>
      </c>
      <c r="C140" s="83" t="s">
        <v>88</v>
      </c>
      <c r="D140" s="83" t="s">
        <v>117</v>
      </c>
      <c r="G140" s="218">
        <v>563</v>
      </c>
      <c r="H140" s="82" t="s">
        <v>93</v>
      </c>
      <c r="I140" s="82" t="s">
        <v>110</v>
      </c>
    </row>
    <row r="141" spans="2:9" ht="21.6" x14ac:dyDescent="0.4">
      <c r="B141" s="211">
        <v>139</v>
      </c>
      <c r="C141" s="83" t="s">
        <v>88</v>
      </c>
      <c r="D141" s="83" t="s">
        <v>108</v>
      </c>
      <c r="G141" s="218">
        <v>566</v>
      </c>
      <c r="H141" s="79" t="s">
        <v>94</v>
      </c>
      <c r="I141" s="79" t="s">
        <v>563</v>
      </c>
    </row>
    <row r="142" spans="2:9" x14ac:dyDescent="0.4">
      <c r="B142" s="211">
        <v>140</v>
      </c>
      <c r="C142" s="83" t="s">
        <v>94</v>
      </c>
      <c r="D142" s="83" t="s">
        <v>111</v>
      </c>
      <c r="G142" s="218">
        <v>567</v>
      </c>
      <c r="H142" s="82" t="s">
        <v>92</v>
      </c>
      <c r="I142" s="82" t="s">
        <v>109</v>
      </c>
    </row>
    <row r="143" spans="2:9" x14ac:dyDescent="0.4">
      <c r="B143" s="211">
        <v>141</v>
      </c>
      <c r="C143" s="83" t="s">
        <v>94</v>
      </c>
      <c r="D143" s="83" t="s">
        <v>111</v>
      </c>
      <c r="G143" s="218">
        <v>570</v>
      </c>
      <c r="H143" s="82" t="s">
        <v>88</v>
      </c>
      <c r="I143" s="82" t="s">
        <v>117</v>
      </c>
    </row>
    <row r="144" spans="2:9" ht="32.4" x14ac:dyDescent="0.4">
      <c r="B144" s="211">
        <v>142</v>
      </c>
      <c r="C144" s="263" t="s">
        <v>446</v>
      </c>
      <c r="D144" s="263" t="s">
        <v>447</v>
      </c>
      <c r="G144" s="213">
        <v>571</v>
      </c>
      <c r="H144" s="2" t="s">
        <v>88</v>
      </c>
      <c r="I144" s="2" t="s">
        <v>108</v>
      </c>
    </row>
    <row r="145" spans="2:9" x14ac:dyDescent="0.4">
      <c r="B145" s="214">
        <v>143</v>
      </c>
      <c r="C145" s="70" t="s">
        <v>163</v>
      </c>
      <c r="D145" s="70" t="s">
        <v>163</v>
      </c>
      <c r="G145" s="213">
        <v>572</v>
      </c>
      <c r="H145" s="2" t="s">
        <v>94</v>
      </c>
      <c r="I145" s="2" t="s">
        <v>111</v>
      </c>
    </row>
    <row r="146" spans="2:9" x14ac:dyDescent="0.4">
      <c r="B146" s="211">
        <v>144</v>
      </c>
      <c r="C146" s="83" t="s">
        <v>88</v>
      </c>
      <c r="D146" s="83" t="s">
        <v>108</v>
      </c>
      <c r="G146" s="213">
        <v>573</v>
      </c>
      <c r="H146" s="2" t="s">
        <v>94</v>
      </c>
      <c r="I146" s="2" t="s">
        <v>111</v>
      </c>
    </row>
    <row r="147" spans="2:9" x14ac:dyDescent="0.4">
      <c r="B147" s="211">
        <v>145</v>
      </c>
      <c r="C147" s="83" t="s">
        <v>88</v>
      </c>
      <c r="D147" s="83" t="s">
        <v>117</v>
      </c>
      <c r="G147" s="213">
        <v>577</v>
      </c>
      <c r="H147" s="2" t="s">
        <v>94</v>
      </c>
      <c r="I147" s="2" t="s">
        <v>122</v>
      </c>
    </row>
    <row r="148" spans="2:9" x14ac:dyDescent="0.4">
      <c r="B148" s="211">
        <v>146</v>
      </c>
      <c r="C148" s="83" t="s">
        <v>88</v>
      </c>
      <c r="D148" s="83" t="s">
        <v>105</v>
      </c>
      <c r="G148" s="213">
        <v>580</v>
      </c>
      <c r="H148" s="2" t="s">
        <v>94</v>
      </c>
      <c r="I148" s="2" t="s">
        <v>111</v>
      </c>
    </row>
    <row r="149" spans="2:9" x14ac:dyDescent="0.4">
      <c r="B149" s="211">
        <v>147</v>
      </c>
      <c r="C149" s="83" t="s">
        <v>88</v>
      </c>
      <c r="D149" s="83" t="s">
        <v>117</v>
      </c>
      <c r="G149" s="218">
        <v>598</v>
      </c>
      <c r="H149" s="82" t="s">
        <v>92</v>
      </c>
      <c r="I149" s="82" t="s">
        <v>116</v>
      </c>
    </row>
    <row r="150" spans="2:9" x14ac:dyDescent="0.4">
      <c r="B150" s="211">
        <v>148</v>
      </c>
      <c r="C150" s="6" t="s">
        <v>91</v>
      </c>
      <c r="D150" s="6" t="s">
        <v>107</v>
      </c>
      <c r="G150" s="218">
        <v>602</v>
      </c>
      <c r="H150" s="82" t="s">
        <v>91</v>
      </c>
      <c r="I150" s="82" t="s">
        <v>107</v>
      </c>
    </row>
    <row r="151" spans="2:9" x14ac:dyDescent="0.4">
      <c r="B151" s="211">
        <v>149</v>
      </c>
      <c r="C151" s="83" t="s">
        <v>88</v>
      </c>
      <c r="D151" s="83" t="s">
        <v>105</v>
      </c>
      <c r="G151" s="218">
        <v>603</v>
      </c>
      <c r="H151" s="82" t="s">
        <v>95</v>
      </c>
      <c r="I151" s="82" t="s">
        <v>120</v>
      </c>
    </row>
    <row r="152" spans="2:9" x14ac:dyDescent="0.4">
      <c r="B152" s="211">
        <v>150</v>
      </c>
      <c r="C152" s="3" t="s">
        <v>94</v>
      </c>
      <c r="D152" s="3" t="s">
        <v>111</v>
      </c>
      <c r="G152" s="218">
        <v>607</v>
      </c>
      <c r="H152" s="2" t="s">
        <v>88</v>
      </c>
      <c r="I152" s="2" t="s">
        <v>105</v>
      </c>
    </row>
    <row r="153" spans="2:9" x14ac:dyDescent="0.4">
      <c r="B153" s="211">
        <v>151</v>
      </c>
      <c r="C153" s="83" t="s">
        <v>91</v>
      </c>
      <c r="D153" s="83" t="s">
        <v>114</v>
      </c>
      <c r="G153" s="218">
        <v>613</v>
      </c>
      <c r="H153" s="2" t="s">
        <v>94</v>
      </c>
      <c r="I153" s="2" t="s">
        <v>111</v>
      </c>
    </row>
    <row r="154" spans="2:9" x14ac:dyDescent="0.4">
      <c r="B154" s="211">
        <v>152</v>
      </c>
      <c r="C154" s="83" t="s">
        <v>88</v>
      </c>
      <c r="D154" s="83" t="s">
        <v>108</v>
      </c>
      <c r="G154" s="218">
        <v>615</v>
      </c>
      <c r="H154" s="2" t="s">
        <v>88</v>
      </c>
      <c r="I154" s="2" t="s">
        <v>117</v>
      </c>
    </row>
    <row r="155" spans="2:9" x14ac:dyDescent="0.4">
      <c r="B155" s="211">
        <v>153</v>
      </c>
      <c r="C155" s="6" t="s">
        <v>91</v>
      </c>
      <c r="D155" s="6" t="s">
        <v>107</v>
      </c>
      <c r="G155" s="218">
        <v>623</v>
      </c>
      <c r="H155" s="82" t="s">
        <v>95</v>
      </c>
      <c r="I155" s="82" t="s">
        <v>112</v>
      </c>
    </row>
    <row r="156" spans="2:9" x14ac:dyDescent="0.4">
      <c r="B156" s="211">
        <v>154</v>
      </c>
      <c r="C156" s="3" t="s">
        <v>88</v>
      </c>
      <c r="D156" s="83" t="s">
        <v>117</v>
      </c>
      <c r="G156" s="218">
        <v>630</v>
      </c>
      <c r="H156" s="82" t="s">
        <v>88</v>
      </c>
      <c r="I156" s="82" t="s">
        <v>108</v>
      </c>
    </row>
    <row r="157" spans="2:9" x14ac:dyDescent="0.4">
      <c r="B157" s="211">
        <v>155</v>
      </c>
      <c r="C157" s="83" t="s">
        <v>88</v>
      </c>
      <c r="D157" s="83" t="s">
        <v>117</v>
      </c>
      <c r="G157" s="218">
        <v>633</v>
      </c>
      <c r="H157" s="82" t="s">
        <v>95</v>
      </c>
      <c r="I157" s="82" t="s">
        <v>120</v>
      </c>
    </row>
    <row r="158" spans="2:9" x14ac:dyDescent="0.4">
      <c r="B158" s="211">
        <v>156</v>
      </c>
      <c r="C158" s="83" t="s">
        <v>95</v>
      </c>
      <c r="D158" s="83" t="s">
        <v>112</v>
      </c>
      <c r="G158" s="218">
        <v>635</v>
      </c>
      <c r="H158" s="82" t="s">
        <v>91</v>
      </c>
      <c r="I158" s="82" t="s">
        <v>180</v>
      </c>
    </row>
    <row r="159" spans="2:9" x14ac:dyDescent="0.4">
      <c r="B159" s="211">
        <v>157</v>
      </c>
      <c r="C159" s="6" t="s">
        <v>91</v>
      </c>
      <c r="D159" s="6" t="s">
        <v>107</v>
      </c>
      <c r="G159" s="213">
        <v>639</v>
      </c>
      <c r="H159" s="2" t="s">
        <v>92</v>
      </c>
      <c r="I159" s="2" t="s">
        <v>116</v>
      </c>
    </row>
    <row r="160" spans="2:9" x14ac:dyDescent="0.4">
      <c r="B160" s="213">
        <v>158</v>
      </c>
      <c r="C160" s="83" t="s">
        <v>88</v>
      </c>
      <c r="D160" s="83" t="s">
        <v>117</v>
      </c>
      <c r="G160" s="218">
        <v>648</v>
      </c>
      <c r="H160" s="82" t="s">
        <v>95</v>
      </c>
      <c r="I160" s="82" t="s">
        <v>120</v>
      </c>
    </row>
    <row r="161" spans="2:9" ht="32.4" x14ac:dyDescent="0.4">
      <c r="B161" s="213">
        <v>159</v>
      </c>
      <c r="C161" s="83" t="s">
        <v>88</v>
      </c>
      <c r="D161" s="83" t="s">
        <v>108</v>
      </c>
      <c r="G161" s="218">
        <v>650</v>
      </c>
      <c r="H161" s="3" t="s">
        <v>92</v>
      </c>
      <c r="I161" s="79" t="s">
        <v>472</v>
      </c>
    </row>
    <row r="162" spans="2:9" x14ac:dyDescent="0.4">
      <c r="B162" s="213">
        <v>160</v>
      </c>
      <c r="C162" s="6" t="s">
        <v>88</v>
      </c>
      <c r="D162" s="6" t="s">
        <v>108</v>
      </c>
      <c r="G162" s="213">
        <v>654</v>
      </c>
      <c r="H162" s="2" t="s">
        <v>92</v>
      </c>
      <c r="I162" s="2" t="s">
        <v>109</v>
      </c>
    </row>
    <row r="163" spans="2:9" x14ac:dyDescent="0.4">
      <c r="B163" s="213">
        <v>161</v>
      </c>
      <c r="C163" s="83" t="s">
        <v>93</v>
      </c>
      <c r="D163" s="83" t="s">
        <v>110</v>
      </c>
      <c r="G163" s="213">
        <v>659</v>
      </c>
      <c r="H163" s="2" t="s">
        <v>88</v>
      </c>
      <c r="I163" s="2" t="s">
        <v>108</v>
      </c>
    </row>
    <row r="164" spans="2:9" x14ac:dyDescent="0.4">
      <c r="B164" s="213">
        <v>162</v>
      </c>
      <c r="C164" s="3" t="s">
        <v>92</v>
      </c>
      <c r="D164" s="3" t="s">
        <v>109</v>
      </c>
      <c r="G164" s="213">
        <v>662</v>
      </c>
      <c r="H164" s="2" t="s">
        <v>94</v>
      </c>
      <c r="I164" s="2" t="s">
        <v>124</v>
      </c>
    </row>
    <row r="165" spans="2:9" x14ac:dyDescent="0.4">
      <c r="B165" s="215">
        <v>163</v>
      </c>
      <c r="C165" s="70" t="s">
        <v>163</v>
      </c>
      <c r="D165" s="70" t="s">
        <v>163</v>
      </c>
      <c r="G165" s="218">
        <v>664</v>
      </c>
      <c r="H165" s="2" t="s">
        <v>88</v>
      </c>
      <c r="I165" s="2" t="s">
        <v>108</v>
      </c>
    </row>
    <row r="166" spans="2:9" x14ac:dyDescent="0.4">
      <c r="B166" s="213">
        <v>164</v>
      </c>
      <c r="C166" s="12" t="s">
        <v>88</v>
      </c>
      <c r="D166" s="83" t="s">
        <v>108</v>
      </c>
      <c r="G166" s="218">
        <v>667</v>
      </c>
      <c r="H166" s="2" t="s">
        <v>88</v>
      </c>
      <c r="I166" s="2" t="s">
        <v>108</v>
      </c>
    </row>
    <row r="167" spans="2:9" x14ac:dyDescent="0.4">
      <c r="B167" s="213">
        <v>165</v>
      </c>
      <c r="C167" s="3" t="s">
        <v>95</v>
      </c>
      <c r="D167" s="83" t="s">
        <v>112</v>
      </c>
      <c r="G167" s="218">
        <v>668</v>
      </c>
      <c r="H167" s="2" t="s">
        <v>88</v>
      </c>
      <c r="I167" s="2" t="s">
        <v>105</v>
      </c>
    </row>
    <row r="168" spans="2:9" x14ac:dyDescent="0.4">
      <c r="B168" s="213">
        <v>166</v>
      </c>
      <c r="C168" s="3" t="s">
        <v>95</v>
      </c>
      <c r="D168" s="83" t="s">
        <v>112</v>
      </c>
      <c r="G168" s="218">
        <v>675</v>
      </c>
      <c r="H168" s="82" t="s">
        <v>94</v>
      </c>
      <c r="I168" s="82" t="s">
        <v>124</v>
      </c>
    </row>
    <row r="169" spans="2:9" x14ac:dyDescent="0.4">
      <c r="B169" s="213">
        <v>167</v>
      </c>
      <c r="C169" s="3" t="s">
        <v>88</v>
      </c>
      <c r="D169" s="83" t="s">
        <v>108</v>
      </c>
      <c r="G169" s="218">
        <v>676</v>
      </c>
      <c r="H169" s="82" t="s">
        <v>95</v>
      </c>
      <c r="I169" s="82" t="s">
        <v>112</v>
      </c>
    </row>
    <row r="170" spans="2:9" x14ac:dyDescent="0.4">
      <c r="B170" s="213">
        <v>168</v>
      </c>
      <c r="C170" s="3" t="s">
        <v>95</v>
      </c>
      <c r="D170" s="83" t="s">
        <v>112</v>
      </c>
      <c r="G170" s="218">
        <v>679</v>
      </c>
      <c r="H170" s="82" t="s">
        <v>88</v>
      </c>
      <c r="I170" s="82" t="s">
        <v>108</v>
      </c>
    </row>
    <row r="171" spans="2:9" x14ac:dyDescent="0.4">
      <c r="B171" s="213">
        <v>169</v>
      </c>
      <c r="C171" s="3" t="s">
        <v>88</v>
      </c>
      <c r="D171" s="83" t="s">
        <v>108</v>
      </c>
      <c r="G171" s="212">
        <v>690</v>
      </c>
      <c r="H171" s="79" t="s">
        <v>92</v>
      </c>
      <c r="I171" s="79" t="s">
        <v>109</v>
      </c>
    </row>
    <row r="172" spans="2:9" x14ac:dyDescent="0.4">
      <c r="B172" s="213">
        <v>170</v>
      </c>
      <c r="C172" s="3" t="s">
        <v>91</v>
      </c>
      <c r="D172" s="6" t="s">
        <v>107</v>
      </c>
      <c r="G172" s="212">
        <v>701</v>
      </c>
      <c r="H172" s="82" t="s">
        <v>91</v>
      </c>
      <c r="I172" s="82" t="s">
        <v>180</v>
      </c>
    </row>
    <row r="173" spans="2:9" x14ac:dyDescent="0.4">
      <c r="B173" s="213">
        <v>171</v>
      </c>
      <c r="C173" s="3" t="s">
        <v>88</v>
      </c>
      <c r="D173" s="83" t="s">
        <v>108</v>
      </c>
      <c r="G173" s="212">
        <v>702</v>
      </c>
      <c r="H173" s="82" t="s">
        <v>97</v>
      </c>
      <c r="I173" s="82" t="s">
        <v>118</v>
      </c>
    </row>
    <row r="174" spans="2:9" x14ac:dyDescent="0.4">
      <c r="B174" s="213">
        <v>172</v>
      </c>
      <c r="C174" s="3" t="s">
        <v>88</v>
      </c>
      <c r="D174" s="83" t="s">
        <v>117</v>
      </c>
      <c r="G174" s="212">
        <v>705</v>
      </c>
      <c r="H174" s="82" t="s">
        <v>92</v>
      </c>
      <c r="I174" s="82" t="s">
        <v>109</v>
      </c>
    </row>
    <row r="175" spans="2:9" x14ac:dyDescent="0.4">
      <c r="B175" s="213">
        <v>173</v>
      </c>
      <c r="C175" s="3" t="s">
        <v>88</v>
      </c>
      <c r="D175" s="83" t="s">
        <v>108</v>
      </c>
      <c r="G175" s="212">
        <v>707</v>
      </c>
      <c r="H175" s="82" t="s">
        <v>94</v>
      </c>
      <c r="I175" s="82" t="s">
        <v>124</v>
      </c>
    </row>
    <row r="176" spans="2:9" x14ac:dyDescent="0.4">
      <c r="B176" s="213">
        <v>174</v>
      </c>
      <c r="C176" s="3" t="s">
        <v>95</v>
      </c>
      <c r="D176" s="83" t="s">
        <v>112</v>
      </c>
      <c r="G176" s="212">
        <v>708</v>
      </c>
      <c r="H176" s="2" t="s">
        <v>91</v>
      </c>
      <c r="I176" s="82" t="s">
        <v>107</v>
      </c>
    </row>
    <row r="177" spans="2:9" x14ac:dyDescent="0.4">
      <c r="B177" s="213">
        <v>175</v>
      </c>
      <c r="C177" s="3" t="s">
        <v>91</v>
      </c>
      <c r="D177" s="6" t="s">
        <v>107</v>
      </c>
      <c r="G177" s="211">
        <v>712</v>
      </c>
      <c r="H177" s="2" t="s">
        <v>95</v>
      </c>
      <c r="I177" s="2" t="s">
        <v>112</v>
      </c>
    </row>
    <row r="178" spans="2:9" x14ac:dyDescent="0.4">
      <c r="B178" s="213">
        <v>176</v>
      </c>
      <c r="C178" s="3" t="s">
        <v>88</v>
      </c>
      <c r="D178" s="83" t="s">
        <v>108</v>
      </c>
      <c r="G178" s="211">
        <v>714</v>
      </c>
      <c r="H178" s="3" t="s">
        <v>94</v>
      </c>
      <c r="I178" s="3" t="s">
        <v>111</v>
      </c>
    </row>
    <row r="179" spans="2:9" x14ac:dyDescent="0.4">
      <c r="B179" s="213">
        <v>177</v>
      </c>
      <c r="C179" s="3" t="s">
        <v>92</v>
      </c>
      <c r="D179" s="3" t="s">
        <v>109</v>
      </c>
      <c r="G179" s="218">
        <v>717</v>
      </c>
      <c r="H179" s="82" t="s">
        <v>92</v>
      </c>
      <c r="I179" s="82" t="s">
        <v>109</v>
      </c>
    </row>
    <row r="180" spans="2:9" x14ac:dyDescent="0.4">
      <c r="B180" s="213">
        <v>178</v>
      </c>
      <c r="C180" s="3" t="s">
        <v>88</v>
      </c>
      <c r="D180" s="83" t="s">
        <v>117</v>
      </c>
      <c r="G180" s="218">
        <v>718</v>
      </c>
      <c r="H180" s="82" t="s">
        <v>92</v>
      </c>
      <c r="I180" s="82" t="s">
        <v>116</v>
      </c>
    </row>
    <row r="181" spans="2:9" x14ac:dyDescent="0.4">
      <c r="B181" s="213">
        <v>179</v>
      </c>
      <c r="C181" s="83" t="s">
        <v>88</v>
      </c>
      <c r="D181" s="83" t="s">
        <v>117</v>
      </c>
      <c r="G181" s="218">
        <v>721</v>
      </c>
      <c r="H181" s="82" t="s">
        <v>94</v>
      </c>
      <c r="I181" s="82" t="s">
        <v>111</v>
      </c>
    </row>
    <row r="182" spans="2:9" x14ac:dyDescent="0.4">
      <c r="B182" s="216">
        <v>180</v>
      </c>
      <c r="C182" s="70" t="s">
        <v>163</v>
      </c>
      <c r="D182" s="70" t="s">
        <v>163</v>
      </c>
      <c r="G182" s="218">
        <v>730</v>
      </c>
      <c r="H182" s="82" t="s">
        <v>94</v>
      </c>
      <c r="I182" s="82" t="s">
        <v>111</v>
      </c>
    </row>
    <row r="183" spans="2:9" x14ac:dyDescent="0.4">
      <c r="B183" s="212">
        <v>181</v>
      </c>
      <c r="C183" s="3" t="s">
        <v>91</v>
      </c>
      <c r="D183" s="6" t="s">
        <v>107</v>
      </c>
      <c r="G183" s="218">
        <v>736</v>
      </c>
      <c r="H183" s="82" t="s">
        <v>92</v>
      </c>
      <c r="I183" s="82" t="s">
        <v>109</v>
      </c>
    </row>
    <row r="184" spans="2:9" x14ac:dyDescent="0.4">
      <c r="B184" s="212">
        <v>182</v>
      </c>
      <c r="C184" s="83" t="s">
        <v>94</v>
      </c>
      <c r="D184" s="83" t="s">
        <v>111</v>
      </c>
      <c r="G184" s="218">
        <v>739</v>
      </c>
      <c r="H184" s="82" t="s">
        <v>94</v>
      </c>
      <c r="I184" s="82" t="s">
        <v>111</v>
      </c>
    </row>
    <row r="185" spans="2:9" x14ac:dyDescent="0.4">
      <c r="B185" s="212">
        <v>183</v>
      </c>
      <c r="C185" s="65" t="s">
        <v>95</v>
      </c>
      <c r="D185" s="83" t="s">
        <v>120</v>
      </c>
      <c r="G185" s="218">
        <v>745</v>
      </c>
      <c r="H185" s="82" t="s">
        <v>95</v>
      </c>
      <c r="I185" s="82" t="s">
        <v>112</v>
      </c>
    </row>
    <row r="186" spans="2:9" x14ac:dyDescent="0.4">
      <c r="B186" s="212">
        <v>184</v>
      </c>
      <c r="C186" s="65" t="s">
        <v>92</v>
      </c>
      <c r="D186" s="3" t="s">
        <v>109</v>
      </c>
      <c r="G186" s="218">
        <v>751</v>
      </c>
      <c r="H186" s="3" t="s">
        <v>94</v>
      </c>
      <c r="I186" s="3" t="s">
        <v>111</v>
      </c>
    </row>
    <row r="187" spans="2:9" x14ac:dyDescent="0.4">
      <c r="B187" s="212">
        <v>185</v>
      </c>
      <c r="C187" s="65" t="s">
        <v>91</v>
      </c>
      <c r="D187" s="3" t="s">
        <v>180</v>
      </c>
      <c r="G187" s="218">
        <v>760</v>
      </c>
      <c r="H187" s="82" t="s">
        <v>88</v>
      </c>
      <c r="I187" s="82" t="s">
        <v>117</v>
      </c>
    </row>
    <row r="188" spans="2:9" x14ac:dyDescent="0.4">
      <c r="B188" s="212">
        <v>186</v>
      </c>
      <c r="C188" s="65" t="s">
        <v>92</v>
      </c>
      <c r="D188" s="3" t="s">
        <v>109</v>
      </c>
      <c r="G188" s="218">
        <v>762</v>
      </c>
      <c r="H188" s="82" t="s">
        <v>95</v>
      </c>
      <c r="I188" s="82" t="s">
        <v>120</v>
      </c>
    </row>
    <row r="189" spans="2:9" x14ac:dyDescent="0.4">
      <c r="B189" s="212">
        <v>187</v>
      </c>
      <c r="C189" s="6" t="s">
        <v>91</v>
      </c>
      <c r="D189" s="6" t="s">
        <v>107</v>
      </c>
      <c r="G189" s="218">
        <v>770</v>
      </c>
      <c r="H189" s="82" t="s">
        <v>94</v>
      </c>
      <c r="I189" s="82" t="s">
        <v>111</v>
      </c>
    </row>
    <row r="190" spans="2:9" x14ac:dyDescent="0.4">
      <c r="B190" s="212">
        <v>188</v>
      </c>
      <c r="C190" s="65" t="s">
        <v>95</v>
      </c>
      <c r="D190" s="83" t="s">
        <v>112</v>
      </c>
      <c r="G190" s="218">
        <v>771</v>
      </c>
      <c r="H190" s="82" t="s">
        <v>95</v>
      </c>
      <c r="I190" s="82" t="s">
        <v>120</v>
      </c>
    </row>
    <row r="191" spans="2:9" x14ac:dyDescent="0.4">
      <c r="B191" s="212">
        <v>189</v>
      </c>
      <c r="C191" s="66" t="s">
        <v>94</v>
      </c>
      <c r="D191" s="66" t="s">
        <v>111</v>
      </c>
      <c r="G191" s="218">
        <v>773</v>
      </c>
      <c r="H191" s="82" t="s">
        <v>88</v>
      </c>
      <c r="I191" s="82" t="s">
        <v>108</v>
      </c>
    </row>
    <row r="192" spans="2:9" x14ac:dyDescent="0.4">
      <c r="B192" s="212">
        <v>190</v>
      </c>
      <c r="C192" s="65" t="s">
        <v>94</v>
      </c>
      <c r="D192" s="65" t="s">
        <v>122</v>
      </c>
      <c r="G192" s="218">
        <v>779</v>
      </c>
      <c r="H192" s="2" t="s">
        <v>94</v>
      </c>
      <c r="I192" s="2" t="s">
        <v>111</v>
      </c>
    </row>
    <row r="193" spans="2:9" x14ac:dyDescent="0.4">
      <c r="B193" s="211">
        <v>191</v>
      </c>
      <c r="C193" s="83" t="s">
        <v>88</v>
      </c>
      <c r="D193" s="83" t="s">
        <v>117</v>
      </c>
      <c r="G193" s="218">
        <v>781</v>
      </c>
      <c r="H193" s="2" t="s">
        <v>94</v>
      </c>
      <c r="I193" s="2" t="s">
        <v>111</v>
      </c>
    </row>
    <row r="194" spans="2:9" x14ac:dyDescent="0.4">
      <c r="B194" s="211">
        <v>192</v>
      </c>
      <c r="C194" s="83" t="s">
        <v>88</v>
      </c>
      <c r="D194" s="83" t="s">
        <v>117</v>
      </c>
      <c r="G194" s="218">
        <v>782</v>
      </c>
      <c r="H194" s="2" t="s">
        <v>92</v>
      </c>
      <c r="I194" s="2" t="s">
        <v>109</v>
      </c>
    </row>
    <row r="195" spans="2:9" x14ac:dyDescent="0.4">
      <c r="B195" s="211">
        <v>193</v>
      </c>
      <c r="C195" s="3" t="s">
        <v>94</v>
      </c>
      <c r="D195" s="83" t="s">
        <v>111</v>
      </c>
      <c r="G195" s="218">
        <v>784</v>
      </c>
      <c r="H195" s="2" t="s">
        <v>94</v>
      </c>
      <c r="I195" s="2" t="s">
        <v>124</v>
      </c>
    </row>
    <row r="196" spans="2:9" x14ac:dyDescent="0.4">
      <c r="B196" s="211">
        <v>194</v>
      </c>
      <c r="C196" s="65" t="s">
        <v>91</v>
      </c>
      <c r="D196" s="6" t="s">
        <v>107</v>
      </c>
      <c r="G196" s="218">
        <v>785</v>
      </c>
      <c r="H196" s="2" t="s">
        <v>88</v>
      </c>
      <c r="I196" s="2" t="s">
        <v>108</v>
      </c>
    </row>
    <row r="197" spans="2:9" x14ac:dyDescent="0.4">
      <c r="B197" s="212">
        <v>195</v>
      </c>
      <c r="C197" s="66" t="s">
        <v>91</v>
      </c>
      <c r="D197" s="6" t="s">
        <v>107</v>
      </c>
      <c r="G197" s="218">
        <v>788</v>
      </c>
      <c r="H197" s="82" t="s">
        <v>88</v>
      </c>
      <c r="I197" s="82" t="s">
        <v>117</v>
      </c>
    </row>
    <row r="198" spans="2:9" x14ac:dyDescent="0.4">
      <c r="B198" s="212">
        <v>196</v>
      </c>
      <c r="C198" s="78" t="s">
        <v>95</v>
      </c>
      <c r="D198" s="83" t="s">
        <v>120</v>
      </c>
      <c r="G198" s="218">
        <v>791</v>
      </c>
      <c r="H198" s="2" t="s">
        <v>94</v>
      </c>
      <c r="I198" s="2" t="s">
        <v>111</v>
      </c>
    </row>
    <row r="199" spans="2:9" x14ac:dyDescent="0.4">
      <c r="B199" s="212">
        <v>197</v>
      </c>
      <c r="C199" s="78" t="s">
        <v>90</v>
      </c>
      <c r="D199" s="78" t="s">
        <v>106</v>
      </c>
      <c r="G199" s="218">
        <v>793</v>
      </c>
      <c r="H199" s="2" t="s">
        <v>94</v>
      </c>
      <c r="I199" s="2" t="s">
        <v>111</v>
      </c>
    </row>
    <row r="200" spans="2:9" x14ac:dyDescent="0.4">
      <c r="B200" s="212">
        <v>198</v>
      </c>
      <c r="C200" s="3" t="s">
        <v>94</v>
      </c>
      <c r="D200" s="65" t="s">
        <v>122</v>
      </c>
      <c r="G200" s="218">
        <v>794</v>
      </c>
      <c r="H200" s="2" t="s">
        <v>95</v>
      </c>
      <c r="I200" s="2" t="s">
        <v>120</v>
      </c>
    </row>
    <row r="201" spans="2:9" x14ac:dyDescent="0.4">
      <c r="B201" s="211">
        <v>199</v>
      </c>
      <c r="C201" s="3" t="s">
        <v>88</v>
      </c>
      <c r="D201" s="83" t="s">
        <v>105</v>
      </c>
      <c r="G201" s="218">
        <v>796</v>
      </c>
      <c r="H201" s="2" t="s">
        <v>95</v>
      </c>
      <c r="I201" s="2" t="s">
        <v>112</v>
      </c>
    </row>
    <row r="202" spans="2:9" x14ac:dyDescent="0.4">
      <c r="B202" s="211">
        <v>200</v>
      </c>
      <c r="C202" s="3" t="s">
        <v>94</v>
      </c>
      <c r="D202" s="65" t="s">
        <v>122</v>
      </c>
      <c r="G202" s="218">
        <v>801</v>
      </c>
      <c r="H202" s="2" t="s">
        <v>90</v>
      </c>
      <c r="I202" s="2" t="s">
        <v>106</v>
      </c>
    </row>
    <row r="203" spans="2:9" x14ac:dyDescent="0.4">
      <c r="B203" s="211">
        <v>201</v>
      </c>
      <c r="C203" s="3" t="s">
        <v>94</v>
      </c>
      <c r="D203" s="65" t="s">
        <v>122</v>
      </c>
      <c r="G203" s="218">
        <v>802</v>
      </c>
      <c r="H203" s="2" t="s">
        <v>95</v>
      </c>
      <c r="I203" s="82" t="s">
        <v>120</v>
      </c>
    </row>
    <row r="204" spans="2:9" x14ac:dyDescent="0.4">
      <c r="B204" s="211">
        <v>202</v>
      </c>
      <c r="C204" s="3" t="s">
        <v>94</v>
      </c>
      <c r="D204" s="65" t="s">
        <v>122</v>
      </c>
      <c r="G204" s="218">
        <v>803</v>
      </c>
      <c r="H204" s="82" t="s">
        <v>92</v>
      </c>
      <c r="I204" s="82" t="s">
        <v>109</v>
      </c>
    </row>
    <row r="205" spans="2:9" x14ac:dyDescent="0.4">
      <c r="B205" s="211">
        <v>203</v>
      </c>
      <c r="C205" s="78" t="s">
        <v>90</v>
      </c>
      <c r="D205" s="78" t="s">
        <v>106</v>
      </c>
      <c r="G205" s="218">
        <v>810</v>
      </c>
      <c r="H205" s="2" t="s">
        <v>94</v>
      </c>
      <c r="I205" s="82" t="s">
        <v>122</v>
      </c>
    </row>
    <row r="206" spans="2:9" x14ac:dyDescent="0.4">
      <c r="B206" s="211">
        <v>204</v>
      </c>
      <c r="C206" s="3" t="s">
        <v>88</v>
      </c>
      <c r="D206" s="83" t="s">
        <v>108</v>
      </c>
      <c r="G206" s="218">
        <v>836</v>
      </c>
      <c r="H206" s="82" t="s">
        <v>88</v>
      </c>
      <c r="I206" s="82" t="s">
        <v>108</v>
      </c>
    </row>
    <row r="207" spans="2:9" x14ac:dyDescent="0.4">
      <c r="B207" s="211">
        <v>205</v>
      </c>
      <c r="C207" s="3" t="s">
        <v>94</v>
      </c>
      <c r="D207" s="65" t="s">
        <v>122</v>
      </c>
      <c r="G207" s="218">
        <v>842</v>
      </c>
      <c r="H207" s="82" t="s">
        <v>94</v>
      </c>
      <c r="I207" s="2" t="s">
        <v>111</v>
      </c>
    </row>
    <row r="208" spans="2:9" x14ac:dyDescent="0.4">
      <c r="B208" s="211">
        <v>206</v>
      </c>
      <c r="C208" s="78" t="s">
        <v>95</v>
      </c>
      <c r="D208" s="83" t="s">
        <v>120</v>
      </c>
      <c r="G208" s="218">
        <v>878</v>
      </c>
      <c r="H208" s="2" t="s">
        <v>95</v>
      </c>
      <c r="I208" s="2" t="s">
        <v>120</v>
      </c>
    </row>
    <row r="209" spans="2:9" x14ac:dyDescent="0.4">
      <c r="B209" s="217">
        <v>207</v>
      </c>
      <c r="C209" s="3" t="s">
        <v>90</v>
      </c>
      <c r="D209" s="3" t="s">
        <v>106</v>
      </c>
      <c r="G209" s="218">
        <v>882</v>
      </c>
      <c r="H209" s="82" t="s">
        <v>94</v>
      </c>
      <c r="I209" s="2" t="s">
        <v>122</v>
      </c>
    </row>
    <row r="210" spans="2:9" x14ac:dyDescent="0.4">
      <c r="B210" s="211">
        <v>208</v>
      </c>
      <c r="C210" s="6" t="s">
        <v>91</v>
      </c>
      <c r="D210" s="6" t="s">
        <v>107</v>
      </c>
      <c r="G210" s="218">
        <v>883</v>
      </c>
      <c r="H210" s="82" t="s">
        <v>94</v>
      </c>
      <c r="I210" s="2" t="s">
        <v>122</v>
      </c>
    </row>
    <row r="211" spans="2:9" x14ac:dyDescent="0.4">
      <c r="B211" s="211">
        <v>209</v>
      </c>
      <c r="C211" s="3" t="s">
        <v>94</v>
      </c>
      <c r="D211" s="2" t="s">
        <v>122</v>
      </c>
      <c r="G211" s="218">
        <v>889</v>
      </c>
      <c r="H211" s="82" t="s">
        <v>88</v>
      </c>
      <c r="I211" s="82" t="s">
        <v>108</v>
      </c>
    </row>
    <row r="212" spans="2:9" x14ac:dyDescent="0.4">
      <c r="B212" s="211">
        <v>210</v>
      </c>
      <c r="C212" s="83" t="s">
        <v>94</v>
      </c>
      <c r="D212" s="2" t="s">
        <v>111</v>
      </c>
      <c r="G212" s="218">
        <v>892</v>
      </c>
      <c r="H212" s="82" t="s">
        <v>91</v>
      </c>
      <c r="I212" s="82" t="s">
        <v>107</v>
      </c>
    </row>
    <row r="213" spans="2:9" x14ac:dyDescent="0.4">
      <c r="B213" s="211">
        <v>211</v>
      </c>
      <c r="C213" s="3" t="s">
        <v>88</v>
      </c>
      <c r="D213" s="83" t="s">
        <v>108</v>
      </c>
      <c r="G213" s="218">
        <v>893</v>
      </c>
      <c r="H213" s="82" t="s">
        <v>94</v>
      </c>
      <c r="I213" s="82" t="s">
        <v>122</v>
      </c>
    </row>
    <row r="214" spans="2:9" x14ac:dyDescent="0.4">
      <c r="B214" s="211">
        <v>212</v>
      </c>
      <c r="C214" s="78" t="s">
        <v>95</v>
      </c>
      <c r="D214" s="2" t="s">
        <v>120</v>
      </c>
      <c r="G214" s="218">
        <v>895</v>
      </c>
      <c r="H214" s="82" t="s">
        <v>88</v>
      </c>
      <c r="I214" s="82" t="s">
        <v>108</v>
      </c>
    </row>
    <row r="215" spans="2:9" x14ac:dyDescent="0.4">
      <c r="B215" s="211">
        <v>213</v>
      </c>
      <c r="C215" s="3" t="s">
        <v>90</v>
      </c>
      <c r="D215" s="3" t="s">
        <v>106</v>
      </c>
      <c r="G215" s="218">
        <v>904</v>
      </c>
      <c r="H215" s="82" t="s">
        <v>94</v>
      </c>
      <c r="I215" s="82" t="s">
        <v>122</v>
      </c>
    </row>
    <row r="216" spans="2:9" x14ac:dyDescent="0.4">
      <c r="B216" s="211">
        <v>214</v>
      </c>
      <c r="C216" s="3" t="s">
        <v>94</v>
      </c>
      <c r="D216" s="65" t="s">
        <v>122</v>
      </c>
      <c r="G216" s="218">
        <v>912</v>
      </c>
      <c r="H216" s="82" t="s">
        <v>94</v>
      </c>
      <c r="I216" s="82" t="s">
        <v>122</v>
      </c>
    </row>
    <row r="217" spans="2:9" x14ac:dyDescent="0.4">
      <c r="B217" s="211">
        <v>215</v>
      </c>
      <c r="C217" s="3" t="s">
        <v>94</v>
      </c>
      <c r="D217" s="83" t="s">
        <v>111</v>
      </c>
      <c r="G217" s="218">
        <v>919</v>
      </c>
      <c r="H217" s="82" t="s">
        <v>94</v>
      </c>
      <c r="I217" s="82" t="s">
        <v>122</v>
      </c>
    </row>
    <row r="218" spans="2:9" x14ac:dyDescent="0.4">
      <c r="B218" s="211">
        <v>216</v>
      </c>
      <c r="C218" s="3" t="s">
        <v>94</v>
      </c>
      <c r="D218" s="2" t="s">
        <v>122</v>
      </c>
      <c r="G218" s="218">
        <v>921</v>
      </c>
      <c r="H218" s="82" t="s">
        <v>94</v>
      </c>
      <c r="I218" s="82" t="s">
        <v>122</v>
      </c>
    </row>
    <row r="219" spans="2:9" x14ac:dyDescent="0.4">
      <c r="B219" s="211">
        <v>217</v>
      </c>
      <c r="C219" s="3" t="s">
        <v>88</v>
      </c>
      <c r="D219" s="2" t="s">
        <v>108</v>
      </c>
      <c r="G219" s="218">
        <v>923</v>
      </c>
      <c r="H219" s="2" t="s">
        <v>91</v>
      </c>
      <c r="I219" s="2" t="s">
        <v>107</v>
      </c>
    </row>
    <row r="220" spans="2:9" x14ac:dyDescent="0.4">
      <c r="B220" s="211">
        <v>218</v>
      </c>
      <c r="C220" s="3" t="s">
        <v>88</v>
      </c>
      <c r="D220" s="2" t="s">
        <v>108</v>
      </c>
      <c r="G220" s="218">
        <v>924</v>
      </c>
      <c r="H220" s="2" t="s">
        <v>91</v>
      </c>
      <c r="I220" s="2" t="s">
        <v>107</v>
      </c>
    </row>
    <row r="221" spans="2:9" x14ac:dyDescent="0.4">
      <c r="B221" s="211">
        <v>219</v>
      </c>
      <c r="C221" s="3" t="s">
        <v>94</v>
      </c>
      <c r="D221" s="2" t="s">
        <v>122</v>
      </c>
      <c r="G221" s="218">
        <v>931</v>
      </c>
      <c r="H221" s="2" t="s">
        <v>95</v>
      </c>
      <c r="I221" s="2" t="s">
        <v>112</v>
      </c>
    </row>
    <row r="222" spans="2:9" x14ac:dyDescent="0.4">
      <c r="B222" s="211">
        <v>220</v>
      </c>
      <c r="C222" s="6" t="s">
        <v>91</v>
      </c>
      <c r="D222" s="6" t="s">
        <v>107</v>
      </c>
      <c r="G222" s="218">
        <v>933</v>
      </c>
      <c r="H222" s="2" t="s">
        <v>95</v>
      </c>
      <c r="I222" s="2" t="s">
        <v>112</v>
      </c>
    </row>
    <row r="223" spans="2:9" x14ac:dyDescent="0.4">
      <c r="B223" s="211">
        <v>221</v>
      </c>
      <c r="C223" s="2" t="s">
        <v>95</v>
      </c>
      <c r="D223" s="2" t="s">
        <v>120</v>
      </c>
      <c r="G223" s="218">
        <v>934</v>
      </c>
      <c r="H223" s="82" t="s">
        <v>92</v>
      </c>
      <c r="I223" s="82" t="s">
        <v>109</v>
      </c>
    </row>
    <row r="224" spans="2:9" x14ac:dyDescent="0.4">
      <c r="B224" s="211">
        <v>222</v>
      </c>
      <c r="C224" s="3" t="s">
        <v>94</v>
      </c>
      <c r="D224" s="2" t="s">
        <v>122</v>
      </c>
      <c r="G224" s="218">
        <v>944</v>
      </c>
      <c r="H224" s="2" t="s">
        <v>90</v>
      </c>
      <c r="I224" s="2" t="s">
        <v>106</v>
      </c>
    </row>
    <row r="225" spans="2:9" x14ac:dyDescent="0.4">
      <c r="B225" s="211">
        <v>223</v>
      </c>
      <c r="C225" s="3" t="s">
        <v>91</v>
      </c>
      <c r="D225" s="2" t="s">
        <v>107</v>
      </c>
      <c r="G225" s="218">
        <v>949</v>
      </c>
      <c r="H225" s="2" t="s">
        <v>95</v>
      </c>
      <c r="I225" s="2" t="s">
        <v>112</v>
      </c>
    </row>
    <row r="226" spans="2:9" x14ac:dyDescent="0.4">
      <c r="B226" s="211">
        <v>224</v>
      </c>
      <c r="C226" s="2" t="s">
        <v>91</v>
      </c>
      <c r="D226" s="6" t="s">
        <v>107</v>
      </c>
      <c r="G226" s="218">
        <v>963</v>
      </c>
      <c r="H226" s="2" t="s">
        <v>88</v>
      </c>
      <c r="I226" s="2" t="s">
        <v>105</v>
      </c>
    </row>
    <row r="227" spans="2:9" x14ac:dyDescent="0.4">
      <c r="B227" s="214">
        <v>225</v>
      </c>
      <c r="C227" s="70" t="s">
        <v>163</v>
      </c>
      <c r="D227" s="70" t="s">
        <v>163</v>
      </c>
      <c r="G227" s="218">
        <v>983</v>
      </c>
      <c r="H227" s="82" t="s">
        <v>88</v>
      </c>
      <c r="I227" s="82" t="s">
        <v>108</v>
      </c>
    </row>
    <row r="228" spans="2:9" x14ac:dyDescent="0.4">
      <c r="B228" s="214">
        <v>226</v>
      </c>
      <c r="C228" s="70" t="s">
        <v>163</v>
      </c>
      <c r="D228" s="70" t="s">
        <v>163</v>
      </c>
      <c r="G228" s="218">
        <v>984</v>
      </c>
      <c r="H228" s="82" t="s">
        <v>92</v>
      </c>
      <c r="I228" s="82" t="s">
        <v>109</v>
      </c>
    </row>
    <row r="229" spans="2:9" x14ac:dyDescent="0.4">
      <c r="B229" s="214">
        <v>227</v>
      </c>
      <c r="C229" s="70" t="s">
        <v>163</v>
      </c>
      <c r="D229" s="70" t="s">
        <v>163</v>
      </c>
      <c r="G229" s="218">
        <v>993</v>
      </c>
      <c r="H229" s="82" t="s">
        <v>94</v>
      </c>
      <c r="I229" s="82" t="s">
        <v>122</v>
      </c>
    </row>
    <row r="230" spans="2:9" x14ac:dyDescent="0.4">
      <c r="B230" s="213">
        <v>228</v>
      </c>
      <c r="C230" s="11" t="s">
        <v>92</v>
      </c>
      <c r="D230" s="11" t="s">
        <v>109</v>
      </c>
      <c r="G230" s="218">
        <v>1002</v>
      </c>
      <c r="H230" s="82" t="s">
        <v>92</v>
      </c>
      <c r="I230" s="82" t="s">
        <v>109</v>
      </c>
    </row>
    <row r="231" spans="2:9" x14ac:dyDescent="0.4">
      <c r="B231" s="211">
        <v>229</v>
      </c>
      <c r="C231" s="2" t="s">
        <v>93</v>
      </c>
      <c r="D231" s="82" t="s">
        <v>110</v>
      </c>
      <c r="G231" s="218">
        <v>1005</v>
      </c>
      <c r="H231" s="82" t="s">
        <v>88</v>
      </c>
      <c r="I231" s="82" t="s">
        <v>108</v>
      </c>
    </row>
    <row r="232" spans="2:9" x14ac:dyDescent="0.4">
      <c r="B232" s="211">
        <v>230</v>
      </c>
      <c r="C232" s="65" t="s">
        <v>95</v>
      </c>
      <c r="D232" s="65" t="s">
        <v>120</v>
      </c>
      <c r="G232" s="218">
        <v>1006</v>
      </c>
      <c r="H232" s="82" t="s">
        <v>94</v>
      </c>
      <c r="I232" s="82" t="s">
        <v>122</v>
      </c>
    </row>
    <row r="233" spans="2:9" x14ac:dyDescent="0.4">
      <c r="B233" s="211">
        <v>231</v>
      </c>
      <c r="C233" s="3" t="s">
        <v>88</v>
      </c>
      <c r="D233" s="3" t="s">
        <v>108</v>
      </c>
      <c r="G233" s="218">
        <v>1007</v>
      </c>
      <c r="H233" s="82" t="s">
        <v>88</v>
      </c>
      <c r="I233" s="82" t="s">
        <v>108</v>
      </c>
    </row>
    <row r="234" spans="2:9" x14ac:dyDescent="0.4">
      <c r="B234" s="213">
        <v>232</v>
      </c>
      <c r="C234" s="2" t="s">
        <v>113</v>
      </c>
      <c r="D234" s="3" t="s">
        <v>111</v>
      </c>
      <c r="G234" s="218">
        <v>1009</v>
      </c>
      <c r="H234" s="82" t="s">
        <v>88</v>
      </c>
      <c r="I234" s="82" t="s">
        <v>105</v>
      </c>
    </row>
    <row r="235" spans="2:9" x14ac:dyDescent="0.4">
      <c r="B235" s="218">
        <v>233</v>
      </c>
      <c r="C235" s="3" t="s">
        <v>95</v>
      </c>
      <c r="D235" s="83" t="s">
        <v>112</v>
      </c>
      <c r="G235" s="218">
        <v>1011</v>
      </c>
      <c r="H235" s="82" t="s">
        <v>94</v>
      </c>
      <c r="I235" s="82" t="s">
        <v>122</v>
      </c>
    </row>
    <row r="236" spans="2:9" x14ac:dyDescent="0.4">
      <c r="B236" s="219">
        <v>234</v>
      </c>
      <c r="C236" s="70" t="s">
        <v>163</v>
      </c>
      <c r="D236" s="70" t="s">
        <v>163</v>
      </c>
      <c r="G236" s="212">
        <v>1012</v>
      </c>
      <c r="H236" s="82" t="s">
        <v>90</v>
      </c>
      <c r="I236" s="82" t="s">
        <v>106</v>
      </c>
    </row>
    <row r="237" spans="2:9" x14ac:dyDescent="0.4">
      <c r="B237" s="219">
        <v>235</v>
      </c>
      <c r="C237" s="70" t="s">
        <v>163</v>
      </c>
      <c r="D237" s="70" t="s">
        <v>163</v>
      </c>
      <c r="G237" s="212">
        <v>1017</v>
      </c>
      <c r="H237" s="2" t="s">
        <v>90</v>
      </c>
      <c r="I237" s="2" t="s">
        <v>106</v>
      </c>
    </row>
    <row r="238" spans="2:9" x14ac:dyDescent="0.4">
      <c r="B238" s="212">
        <v>236</v>
      </c>
      <c r="C238" s="82" t="s">
        <v>94</v>
      </c>
      <c r="D238" s="82" t="s">
        <v>111</v>
      </c>
      <c r="G238" s="218">
        <v>1021</v>
      </c>
      <c r="H238" s="2" t="s">
        <v>88</v>
      </c>
      <c r="I238" s="2" t="s">
        <v>108</v>
      </c>
    </row>
    <row r="239" spans="2:9" x14ac:dyDescent="0.4">
      <c r="B239" s="219">
        <v>237</v>
      </c>
      <c r="C239" s="70" t="s">
        <v>163</v>
      </c>
      <c r="D239" s="70" t="s">
        <v>163</v>
      </c>
      <c r="G239" s="218">
        <v>1028</v>
      </c>
      <c r="H239" s="261" t="s">
        <v>97</v>
      </c>
      <c r="I239" s="261" t="s">
        <v>118</v>
      </c>
    </row>
    <row r="240" spans="2:9" x14ac:dyDescent="0.4">
      <c r="B240" s="212">
        <v>238</v>
      </c>
      <c r="C240" s="2" t="s">
        <v>91</v>
      </c>
      <c r="D240" s="3" t="s">
        <v>180</v>
      </c>
      <c r="G240" s="218">
        <v>1043</v>
      </c>
      <c r="H240" s="2" t="s">
        <v>88</v>
      </c>
      <c r="I240" s="2" t="s">
        <v>105</v>
      </c>
    </row>
    <row r="241" spans="2:9" x14ac:dyDescent="0.4">
      <c r="B241" s="212">
        <v>239</v>
      </c>
      <c r="C241" s="65" t="s">
        <v>94</v>
      </c>
      <c r="D241" s="6" t="s">
        <v>111</v>
      </c>
      <c r="G241" s="218">
        <v>1071</v>
      </c>
      <c r="H241" s="82" t="s">
        <v>92</v>
      </c>
      <c r="I241" s="82" t="s">
        <v>109</v>
      </c>
    </row>
    <row r="242" spans="2:9" x14ac:dyDescent="0.4">
      <c r="B242" s="212">
        <v>240</v>
      </c>
      <c r="C242" s="3" t="s">
        <v>94</v>
      </c>
      <c r="D242" s="2" t="s">
        <v>122</v>
      </c>
      <c r="G242" s="350"/>
      <c r="H242" s="264"/>
      <c r="I242" s="264"/>
    </row>
    <row r="243" spans="2:9" x14ac:dyDescent="0.4">
      <c r="B243" s="212">
        <v>241</v>
      </c>
      <c r="C243" s="82" t="s">
        <v>94</v>
      </c>
      <c r="D243" s="82" t="s">
        <v>122</v>
      </c>
      <c r="G243" s="350"/>
      <c r="H243" s="264"/>
      <c r="I243" s="264"/>
    </row>
    <row r="244" spans="2:9" x14ac:dyDescent="0.4">
      <c r="B244" s="212">
        <v>242</v>
      </c>
      <c r="C244" s="65" t="s">
        <v>94</v>
      </c>
      <c r="D244" s="6" t="s">
        <v>111</v>
      </c>
      <c r="G244" s="350"/>
      <c r="H244" s="264"/>
      <c r="I244" s="264"/>
    </row>
    <row r="245" spans="2:9" x14ac:dyDescent="0.4">
      <c r="B245" s="212">
        <v>243</v>
      </c>
      <c r="C245" s="3" t="s">
        <v>94</v>
      </c>
      <c r="D245" s="65" t="s">
        <v>122</v>
      </c>
      <c r="G245" s="350"/>
      <c r="H245" s="337"/>
      <c r="I245" s="337"/>
    </row>
    <row r="246" spans="2:9" x14ac:dyDescent="0.4">
      <c r="B246" s="212">
        <v>244</v>
      </c>
      <c r="C246" s="83" t="s">
        <v>92</v>
      </c>
      <c r="D246" s="83" t="s">
        <v>109</v>
      </c>
      <c r="G246" s="350"/>
      <c r="H246" s="349"/>
      <c r="I246" s="349"/>
    </row>
    <row r="247" spans="2:9" x14ac:dyDescent="0.4">
      <c r="B247" s="212">
        <v>245</v>
      </c>
      <c r="C247" s="83" t="s">
        <v>92</v>
      </c>
      <c r="D247" s="83" t="s">
        <v>109</v>
      </c>
      <c r="G247" s="350"/>
      <c r="H247" s="337"/>
      <c r="I247" s="337"/>
    </row>
    <row r="248" spans="2:9" x14ac:dyDescent="0.4">
      <c r="B248" s="212">
        <v>246</v>
      </c>
      <c r="C248" s="6" t="s">
        <v>91</v>
      </c>
      <c r="D248" s="6" t="s">
        <v>107</v>
      </c>
      <c r="G248" s="350"/>
      <c r="H248" s="264"/>
      <c r="I248" s="264"/>
    </row>
    <row r="249" spans="2:9" x14ac:dyDescent="0.4">
      <c r="B249" s="212">
        <v>247</v>
      </c>
      <c r="C249" s="82" t="s">
        <v>95</v>
      </c>
      <c r="D249" s="82" t="s">
        <v>112</v>
      </c>
      <c r="G249" s="350"/>
      <c r="H249" s="264"/>
      <c r="I249" s="264"/>
    </row>
    <row r="250" spans="2:9" x14ac:dyDescent="0.4">
      <c r="B250" s="212">
        <v>248</v>
      </c>
      <c r="C250" s="2" t="s">
        <v>94</v>
      </c>
      <c r="D250" s="6" t="s">
        <v>111</v>
      </c>
      <c r="G250" s="350"/>
      <c r="H250" s="264"/>
      <c r="I250" s="264"/>
    </row>
    <row r="251" spans="2:9" x14ac:dyDescent="0.4">
      <c r="B251" s="212">
        <v>249</v>
      </c>
      <c r="C251" s="3" t="s">
        <v>88</v>
      </c>
      <c r="D251" s="3" t="s">
        <v>108</v>
      </c>
      <c r="G251" s="350"/>
      <c r="H251" s="264"/>
      <c r="I251" s="264"/>
    </row>
    <row r="252" spans="2:9" x14ac:dyDescent="0.4">
      <c r="B252" s="212">
        <v>250</v>
      </c>
      <c r="C252" s="2" t="s">
        <v>91</v>
      </c>
      <c r="D252" s="82" t="s">
        <v>107</v>
      </c>
      <c r="G252" s="350"/>
      <c r="H252" s="264"/>
      <c r="I252" s="264"/>
    </row>
    <row r="253" spans="2:9" x14ac:dyDescent="0.4">
      <c r="B253" s="212">
        <v>251</v>
      </c>
      <c r="C253" s="3" t="s">
        <v>90</v>
      </c>
      <c r="D253" s="3" t="s">
        <v>106</v>
      </c>
      <c r="G253" s="350"/>
      <c r="H253" s="264"/>
      <c r="I253" s="264"/>
    </row>
    <row r="254" spans="2:9" x14ac:dyDescent="0.4">
      <c r="B254" s="212">
        <v>252</v>
      </c>
      <c r="C254" s="82" t="s">
        <v>95</v>
      </c>
      <c r="D254" s="82" t="s">
        <v>112</v>
      </c>
      <c r="G254" s="350"/>
      <c r="H254" s="264"/>
      <c r="I254" s="264"/>
    </row>
    <row r="255" spans="2:9" x14ac:dyDescent="0.4">
      <c r="B255" s="216">
        <v>253</v>
      </c>
      <c r="C255" s="70" t="s">
        <v>163</v>
      </c>
      <c r="D255" s="70" t="s">
        <v>163</v>
      </c>
      <c r="G255" s="350"/>
      <c r="H255" s="264"/>
      <c r="I255" s="264"/>
    </row>
    <row r="256" spans="2:9" x14ac:dyDescent="0.4">
      <c r="B256" s="212">
        <v>254</v>
      </c>
      <c r="C256" s="82" t="s">
        <v>92</v>
      </c>
      <c r="D256" s="82" t="s">
        <v>109</v>
      </c>
      <c r="G256" s="350"/>
      <c r="H256" s="337"/>
      <c r="I256" s="337"/>
    </row>
    <row r="257" spans="2:9" x14ac:dyDescent="0.4">
      <c r="B257" s="212">
        <v>255</v>
      </c>
      <c r="C257" s="82" t="s">
        <v>92</v>
      </c>
      <c r="D257" s="82" t="s">
        <v>116</v>
      </c>
      <c r="G257" s="350"/>
      <c r="H257" s="337"/>
      <c r="I257" s="337"/>
    </row>
    <row r="258" spans="2:9" x14ac:dyDescent="0.4">
      <c r="B258" s="212">
        <v>256</v>
      </c>
      <c r="C258" s="82" t="s">
        <v>94</v>
      </c>
      <c r="D258" s="82" t="s">
        <v>111</v>
      </c>
      <c r="G258" s="350"/>
      <c r="H258" s="337"/>
      <c r="I258" s="337"/>
    </row>
    <row r="259" spans="2:9" x14ac:dyDescent="0.4">
      <c r="B259" s="212">
        <v>257</v>
      </c>
      <c r="C259" s="3" t="s">
        <v>94</v>
      </c>
      <c r="D259" s="83" t="s">
        <v>111</v>
      </c>
      <c r="G259" s="350"/>
      <c r="H259" s="337"/>
      <c r="I259" s="337"/>
    </row>
    <row r="260" spans="2:9" x14ac:dyDescent="0.4">
      <c r="B260" s="216">
        <v>258</v>
      </c>
      <c r="C260" s="70" t="s">
        <v>163</v>
      </c>
      <c r="D260" s="70" t="s">
        <v>163</v>
      </c>
      <c r="G260" s="350"/>
      <c r="H260" s="337"/>
      <c r="I260" s="337"/>
    </row>
    <row r="261" spans="2:9" x14ac:dyDescent="0.4">
      <c r="B261" s="218">
        <v>259</v>
      </c>
      <c r="C261" s="65" t="s">
        <v>94</v>
      </c>
      <c r="D261" s="6" t="s">
        <v>111</v>
      </c>
      <c r="G261" s="350"/>
      <c r="H261" s="337"/>
      <c r="I261" s="337"/>
    </row>
    <row r="262" spans="2:9" x14ac:dyDescent="0.4">
      <c r="B262" s="212">
        <v>260</v>
      </c>
      <c r="C262" s="11" t="s">
        <v>129</v>
      </c>
      <c r="D262" s="11" t="s">
        <v>129</v>
      </c>
      <c r="G262" s="350"/>
      <c r="H262" s="337"/>
      <c r="I262" s="337"/>
    </row>
    <row r="263" spans="2:9" x14ac:dyDescent="0.4">
      <c r="B263" s="212">
        <v>261</v>
      </c>
      <c r="C263" s="79" t="s">
        <v>95</v>
      </c>
      <c r="D263" s="79" t="s">
        <v>112</v>
      </c>
      <c r="G263" s="350"/>
      <c r="H263" s="337"/>
      <c r="I263" s="337"/>
    </row>
    <row r="264" spans="2:9" x14ac:dyDescent="0.4">
      <c r="B264" s="212">
        <v>262</v>
      </c>
      <c r="C264" s="82" t="s">
        <v>94</v>
      </c>
      <c r="D264" s="82" t="s">
        <v>122</v>
      </c>
      <c r="G264" s="350"/>
      <c r="H264" s="337"/>
      <c r="I264" s="337"/>
    </row>
    <row r="265" spans="2:9" x14ac:dyDescent="0.4">
      <c r="B265" s="218">
        <v>263</v>
      </c>
      <c r="C265" s="82" t="s">
        <v>92</v>
      </c>
      <c r="D265" s="82" t="s">
        <v>109</v>
      </c>
      <c r="G265" s="350"/>
      <c r="H265" s="337"/>
      <c r="I265" s="337"/>
    </row>
    <row r="266" spans="2:9" x14ac:dyDescent="0.4">
      <c r="B266" s="212">
        <v>264</v>
      </c>
      <c r="C266" s="3" t="s">
        <v>91</v>
      </c>
      <c r="D266" s="82" t="s">
        <v>107</v>
      </c>
      <c r="G266" s="350"/>
      <c r="H266" s="337"/>
      <c r="I266" s="337"/>
    </row>
    <row r="267" spans="2:9" x14ac:dyDescent="0.4">
      <c r="B267" s="219">
        <v>265</v>
      </c>
      <c r="C267" s="70" t="s">
        <v>163</v>
      </c>
      <c r="D267" s="70" t="s">
        <v>163</v>
      </c>
      <c r="G267" s="350"/>
      <c r="H267" s="264"/>
      <c r="I267" s="264"/>
    </row>
    <row r="268" spans="2:9" x14ac:dyDescent="0.4">
      <c r="B268" s="216">
        <v>266</v>
      </c>
      <c r="C268" s="70" t="s">
        <v>163</v>
      </c>
      <c r="D268" s="70" t="s">
        <v>163</v>
      </c>
      <c r="G268" s="350"/>
      <c r="H268" s="337"/>
      <c r="I268" s="337"/>
    </row>
    <row r="269" spans="2:9" x14ac:dyDescent="0.4">
      <c r="B269" s="216">
        <v>267</v>
      </c>
      <c r="C269" s="70" t="s">
        <v>163</v>
      </c>
      <c r="D269" s="70" t="s">
        <v>163</v>
      </c>
      <c r="G269" s="350"/>
      <c r="H269" s="337"/>
      <c r="I269" s="337"/>
    </row>
    <row r="270" spans="2:9" x14ac:dyDescent="0.4">
      <c r="B270" s="218">
        <v>268</v>
      </c>
      <c r="C270" s="65" t="s">
        <v>94</v>
      </c>
      <c r="D270" s="6" t="s">
        <v>111</v>
      </c>
      <c r="G270" s="350"/>
      <c r="H270" s="337"/>
      <c r="I270" s="337"/>
    </row>
    <row r="271" spans="2:9" x14ac:dyDescent="0.4">
      <c r="B271" s="212">
        <v>269</v>
      </c>
      <c r="C271" s="2" t="s">
        <v>91</v>
      </c>
      <c r="D271" s="2" t="s">
        <v>107</v>
      </c>
      <c r="G271" s="350"/>
      <c r="H271" s="337"/>
      <c r="I271" s="337"/>
    </row>
    <row r="272" spans="2:9" x14ac:dyDescent="0.4">
      <c r="B272" s="212">
        <v>270</v>
      </c>
      <c r="C272" s="2" t="s">
        <v>95</v>
      </c>
      <c r="D272" s="2" t="s">
        <v>120</v>
      </c>
      <c r="G272" s="350"/>
      <c r="H272" s="337"/>
      <c r="I272" s="337"/>
    </row>
    <row r="273" spans="2:9" x14ac:dyDescent="0.4">
      <c r="B273" s="212">
        <v>271</v>
      </c>
      <c r="C273" s="2" t="s">
        <v>94</v>
      </c>
      <c r="D273" s="2" t="s">
        <v>111</v>
      </c>
      <c r="G273" s="350"/>
      <c r="H273" s="337"/>
      <c r="I273" s="337"/>
    </row>
    <row r="274" spans="2:9" x14ac:dyDescent="0.4">
      <c r="B274" s="212">
        <v>272</v>
      </c>
      <c r="C274" s="2" t="s">
        <v>95</v>
      </c>
      <c r="D274" s="2" t="s">
        <v>120</v>
      </c>
      <c r="G274" s="350"/>
      <c r="H274" s="337"/>
      <c r="I274" s="337"/>
    </row>
    <row r="275" spans="2:9" x14ac:dyDescent="0.4">
      <c r="B275" s="212">
        <v>273</v>
      </c>
      <c r="C275" s="82" t="s">
        <v>94</v>
      </c>
      <c r="D275" s="2" t="s">
        <v>122</v>
      </c>
      <c r="G275" s="350"/>
      <c r="H275" s="337"/>
      <c r="I275" s="337"/>
    </row>
    <row r="276" spans="2:9" x14ac:dyDescent="0.4">
      <c r="B276" s="216">
        <v>274</v>
      </c>
      <c r="C276" s="70" t="s">
        <v>163</v>
      </c>
      <c r="D276" s="70" t="s">
        <v>163</v>
      </c>
      <c r="G276" s="350"/>
      <c r="H276" s="337"/>
      <c r="I276" s="337"/>
    </row>
    <row r="277" spans="2:9" x14ac:dyDescent="0.4">
      <c r="B277" s="212">
        <v>275</v>
      </c>
      <c r="C277" s="82" t="s">
        <v>94</v>
      </c>
      <c r="D277" s="2" t="s">
        <v>122</v>
      </c>
      <c r="G277" s="350"/>
      <c r="H277" s="337"/>
      <c r="I277" s="337"/>
    </row>
    <row r="278" spans="2:9" x14ac:dyDescent="0.4">
      <c r="B278" s="212">
        <v>276</v>
      </c>
      <c r="C278" s="82" t="s">
        <v>92</v>
      </c>
      <c r="D278" s="82" t="s">
        <v>109</v>
      </c>
      <c r="G278" s="350"/>
      <c r="H278" s="337"/>
      <c r="I278" s="337"/>
    </row>
    <row r="279" spans="2:9" x14ac:dyDescent="0.4">
      <c r="B279" s="212">
        <v>277</v>
      </c>
      <c r="C279" s="79" t="s">
        <v>94</v>
      </c>
      <c r="D279" s="83" t="s">
        <v>111</v>
      </c>
      <c r="G279" s="350"/>
      <c r="H279" s="337"/>
      <c r="I279" s="337"/>
    </row>
    <row r="280" spans="2:9" ht="21.6" x14ac:dyDescent="0.4">
      <c r="B280" s="212">
        <v>278</v>
      </c>
      <c r="C280" s="2" t="s">
        <v>94</v>
      </c>
      <c r="D280" s="79" t="s">
        <v>165</v>
      </c>
      <c r="G280" s="350"/>
      <c r="H280" s="337"/>
      <c r="I280" s="264"/>
    </row>
    <row r="281" spans="2:9" x14ac:dyDescent="0.4">
      <c r="B281" s="212">
        <v>279</v>
      </c>
      <c r="C281" s="82" t="s">
        <v>94</v>
      </c>
      <c r="D281" s="82" t="s">
        <v>122</v>
      </c>
      <c r="G281" s="350"/>
      <c r="H281" s="264"/>
      <c r="I281" s="264"/>
    </row>
    <row r="282" spans="2:9" x14ac:dyDescent="0.4">
      <c r="B282" s="212">
        <v>280</v>
      </c>
      <c r="C282" s="82" t="s">
        <v>88</v>
      </c>
      <c r="D282" s="82" t="s">
        <v>105</v>
      </c>
      <c r="G282" s="350"/>
      <c r="H282" s="264"/>
      <c r="I282" s="264"/>
    </row>
    <row r="283" spans="2:9" x14ac:dyDescent="0.4">
      <c r="B283" s="212">
        <v>281</v>
      </c>
      <c r="C283" s="82" t="s">
        <v>94</v>
      </c>
      <c r="D283" s="82" t="s">
        <v>122</v>
      </c>
      <c r="G283" s="350"/>
      <c r="H283" s="264"/>
      <c r="I283" s="264"/>
    </row>
    <row r="284" spans="2:9" x14ac:dyDescent="0.4">
      <c r="B284" s="212">
        <v>282</v>
      </c>
      <c r="C284" s="3" t="s">
        <v>95</v>
      </c>
      <c r="D284" s="82" t="s">
        <v>112</v>
      </c>
      <c r="G284" s="350"/>
      <c r="H284" s="337"/>
      <c r="I284" s="264"/>
    </row>
    <row r="285" spans="2:9" x14ac:dyDescent="0.4">
      <c r="B285" s="212">
        <v>283</v>
      </c>
      <c r="C285" s="2" t="s">
        <v>95</v>
      </c>
      <c r="D285" s="82" t="s">
        <v>120</v>
      </c>
      <c r="G285" s="350"/>
      <c r="H285" s="264"/>
      <c r="I285" s="264"/>
    </row>
    <row r="286" spans="2:9" ht="21.6" x14ac:dyDescent="0.4">
      <c r="B286" s="218">
        <v>284</v>
      </c>
      <c r="C286" s="79" t="s">
        <v>123</v>
      </c>
      <c r="D286" s="79" t="s">
        <v>181</v>
      </c>
      <c r="G286" s="350"/>
      <c r="H286" s="337"/>
      <c r="I286" s="264"/>
    </row>
    <row r="287" spans="2:9" x14ac:dyDescent="0.4">
      <c r="B287" s="218">
        <v>285</v>
      </c>
      <c r="C287" s="2" t="s">
        <v>94</v>
      </c>
      <c r="D287" s="82" t="s">
        <v>111</v>
      </c>
      <c r="G287" s="350"/>
      <c r="H287" s="337"/>
      <c r="I287" s="264"/>
    </row>
    <row r="288" spans="2:9" x14ac:dyDescent="0.4">
      <c r="B288" s="218">
        <v>286</v>
      </c>
      <c r="C288" s="82" t="s">
        <v>88</v>
      </c>
      <c r="D288" s="82" t="s">
        <v>117</v>
      </c>
      <c r="G288" s="350"/>
      <c r="H288" s="264"/>
      <c r="I288" s="264"/>
    </row>
    <row r="289" spans="2:9" x14ac:dyDescent="0.4">
      <c r="B289" s="218">
        <v>287</v>
      </c>
      <c r="C289" s="82" t="s">
        <v>92</v>
      </c>
      <c r="D289" s="82" t="s">
        <v>108</v>
      </c>
      <c r="G289" s="350"/>
      <c r="H289" s="337"/>
      <c r="I289" s="337"/>
    </row>
    <row r="290" spans="2:9" x14ac:dyDescent="0.4">
      <c r="B290" s="218">
        <v>288</v>
      </c>
      <c r="C290" s="82" t="s">
        <v>93</v>
      </c>
      <c r="D290" s="82" t="s">
        <v>110</v>
      </c>
      <c r="G290" s="350"/>
      <c r="H290" s="337"/>
      <c r="I290" s="337"/>
    </row>
    <row r="291" spans="2:9" x14ac:dyDescent="0.4">
      <c r="B291" s="219">
        <v>289</v>
      </c>
      <c r="C291" s="70" t="s">
        <v>163</v>
      </c>
      <c r="D291" s="70" t="s">
        <v>163</v>
      </c>
      <c r="G291" s="350"/>
      <c r="H291" s="337"/>
      <c r="I291" s="337"/>
    </row>
    <row r="292" spans="2:9" x14ac:dyDescent="0.4">
      <c r="B292" s="218">
        <v>290</v>
      </c>
      <c r="C292" s="82" t="s">
        <v>88</v>
      </c>
      <c r="D292" s="82" t="s">
        <v>105</v>
      </c>
      <c r="G292" s="350"/>
      <c r="H292" s="264"/>
      <c r="I292" s="264"/>
    </row>
    <row r="293" spans="2:9" x14ac:dyDescent="0.4">
      <c r="B293" s="218">
        <v>291</v>
      </c>
      <c r="C293" s="82" t="s">
        <v>92</v>
      </c>
      <c r="D293" s="82" t="s">
        <v>109</v>
      </c>
      <c r="G293" s="350"/>
      <c r="H293" s="264"/>
      <c r="I293" s="264"/>
    </row>
    <row r="294" spans="2:9" x14ac:dyDescent="0.4">
      <c r="B294" s="219">
        <v>292</v>
      </c>
      <c r="C294" s="70" t="s">
        <v>163</v>
      </c>
      <c r="D294" s="70" t="s">
        <v>163</v>
      </c>
      <c r="G294" s="350"/>
      <c r="H294" s="264"/>
      <c r="I294" s="264"/>
    </row>
    <row r="295" spans="2:9" x14ac:dyDescent="0.4">
      <c r="B295" s="218">
        <v>293</v>
      </c>
      <c r="C295" s="2" t="s">
        <v>90</v>
      </c>
      <c r="D295" s="2" t="s">
        <v>106</v>
      </c>
      <c r="G295" s="350"/>
      <c r="H295" s="264"/>
      <c r="I295" s="264"/>
    </row>
    <row r="296" spans="2:9" x14ac:dyDescent="0.4">
      <c r="B296" s="218">
        <v>294</v>
      </c>
      <c r="C296" s="82" t="s">
        <v>94</v>
      </c>
      <c r="D296" s="2" t="s">
        <v>111</v>
      </c>
      <c r="G296" s="350"/>
      <c r="H296" s="264"/>
      <c r="I296" s="264"/>
    </row>
    <row r="297" spans="2:9" x14ac:dyDescent="0.4">
      <c r="B297" s="218">
        <v>295</v>
      </c>
      <c r="C297" s="65" t="s">
        <v>92</v>
      </c>
      <c r="D297" s="2" t="s">
        <v>109</v>
      </c>
      <c r="G297" s="350"/>
      <c r="H297" s="264"/>
      <c r="I297" s="264"/>
    </row>
    <row r="298" spans="2:9" x14ac:dyDescent="0.4">
      <c r="B298" s="218">
        <v>296</v>
      </c>
      <c r="C298" s="2" t="s">
        <v>94</v>
      </c>
      <c r="D298" s="3" t="s">
        <v>111</v>
      </c>
      <c r="G298" s="350"/>
      <c r="H298" s="264"/>
      <c r="I298" s="264"/>
    </row>
    <row r="299" spans="2:9" x14ac:dyDescent="0.4">
      <c r="B299" s="218">
        <v>297</v>
      </c>
      <c r="C299" s="2" t="s">
        <v>91</v>
      </c>
      <c r="D299" s="3" t="s">
        <v>107</v>
      </c>
      <c r="G299" s="350"/>
      <c r="H299" s="264"/>
      <c r="I299" s="264"/>
    </row>
    <row r="300" spans="2:9" x14ac:dyDescent="0.4">
      <c r="B300" s="218">
        <v>298</v>
      </c>
      <c r="C300" s="65" t="s">
        <v>92</v>
      </c>
      <c r="D300" s="2" t="s">
        <v>109</v>
      </c>
      <c r="G300" s="350"/>
      <c r="H300" s="264"/>
      <c r="I300" s="264"/>
    </row>
    <row r="301" spans="2:9" x14ac:dyDescent="0.4">
      <c r="B301" s="219">
        <v>299</v>
      </c>
      <c r="C301" s="70" t="s">
        <v>163</v>
      </c>
      <c r="D301" s="70" t="s">
        <v>163</v>
      </c>
      <c r="G301" s="350"/>
      <c r="H301" s="264"/>
      <c r="I301" s="264"/>
    </row>
    <row r="302" spans="2:9" x14ac:dyDescent="0.4">
      <c r="B302" s="218">
        <v>300</v>
      </c>
      <c r="C302" s="82" t="s">
        <v>94</v>
      </c>
      <c r="D302" s="82" t="s">
        <v>122</v>
      </c>
      <c r="G302" s="350"/>
      <c r="H302" s="264"/>
      <c r="I302" s="337"/>
    </row>
    <row r="303" spans="2:9" x14ac:dyDescent="0.4">
      <c r="B303" s="218">
        <v>301</v>
      </c>
      <c r="C303" s="2" t="s">
        <v>91</v>
      </c>
      <c r="D303" s="2" t="s">
        <v>107</v>
      </c>
      <c r="G303" s="350"/>
      <c r="H303" s="337"/>
      <c r="I303" s="337"/>
    </row>
    <row r="304" spans="2:9" x14ac:dyDescent="0.4">
      <c r="B304" s="218">
        <v>302</v>
      </c>
      <c r="C304" s="2" t="s">
        <v>95</v>
      </c>
      <c r="D304" s="2" t="s">
        <v>112</v>
      </c>
      <c r="G304" s="350"/>
      <c r="H304" s="264"/>
      <c r="I304" s="337"/>
    </row>
    <row r="305" spans="2:9" x14ac:dyDescent="0.4">
      <c r="B305" s="218">
        <v>303</v>
      </c>
      <c r="C305" s="2" t="s">
        <v>91</v>
      </c>
      <c r="D305" s="2" t="s">
        <v>107</v>
      </c>
      <c r="G305" s="350"/>
      <c r="H305" s="264"/>
      <c r="I305" s="337"/>
    </row>
    <row r="306" spans="2:9" x14ac:dyDescent="0.4">
      <c r="B306" s="218">
        <v>304</v>
      </c>
      <c r="C306" s="2" t="s">
        <v>92</v>
      </c>
      <c r="D306" s="2" t="s">
        <v>109</v>
      </c>
      <c r="G306" s="350"/>
      <c r="H306" s="264"/>
      <c r="I306" s="337"/>
    </row>
    <row r="307" spans="2:9" x14ac:dyDescent="0.4">
      <c r="B307" s="218">
        <v>305</v>
      </c>
      <c r="C307" s="2" t="s">
        <v>88</v>
      </c>
      <c r="D307" s="2" t="s">
        <v>108</v>
      </c>
      <c r="G307" s="350"/>
      <c r="H307" s="264"/>
      <c r="I307" s="264"/>
    </row>
    <row r="308" spans="2:9" x14ac:dyDescent="0.4">
      <c r="B308" s="218">
        <v>306</v>
      </c>
      <c r="C308" s="2" t="s">
        <v>95</v>
      </c>
      <c r="D308" s="2" t="s">
        <v>112</v>
      </c>
      <c r="G308" s="350"/>
      <c r="H308" s="337"/>
      <c r="I308" s="264"/>
    </row>
    <row r="309" spans="2:9" x14ac:dyDescent="0.4">
      <c r="B309" s="219">
        <v>307</v>
      </c>
      <c r="C309" s="70" t="s">
        <v>163</v>
      </c>
      <c r="D309" s="70" t="s">
        <v>163</v>
      </c>
      <c r="G309" s="350"/>
      <c r="H309" s="337"/>
      <c r="I309" s="264"/>
    </row>
    <row r="310" spans="2:9" x14ac:dyDescent="0.4">
      <c r="B310" s="218">
        <v>308</v>
      </c>
      <c r="C310" s="2" t="s">
        <v>88</v>
      </c>
      <c r="D310" s="2" t="s">
        <v>105</v>
      </c>
      <c r="G310" s="350"/>
      <c r="H310" s="264"/>
      <c r="I310" s="264"/>
    </row>
    <row r="311" spans="2:9" x14ac:dyDescent="0.4">
      <c r="B311" s="219">
        <v>309</v>
      </c>
      <c r="C311" s="70" t="s">
        <v>163</v>
      </c>
      <c r="D311" s="70" t="s">
        <v>163</v>
      </c>
      <c r="G311" s="350"/>
      <c r="H311" s="264"/>
      <c r="I311" s="264"/>
    </row>
    <row r="312" spans="2:9" x14ac:dyDescent="0.4">
      <c r="B312" s="218">
        <v>310</v>
      </c>
      <c r="C312" s="2" t="s">
        <v>94</v>
      </c>
      <c r="D312" s="2" t="s">
        <v>111</v>
      </c>
      <c r="G312" s="350"/>
      <c r="H312" s="264"/>
      <c r="I312" s="264"/>
    </row>
    <row r="313" spans="2:9" x14ac:dyDescent="0.4">
      <c r="B313" s="218">
        <v>311</v>
      </c>
      <c r="C313" s="2" t="s">
        <v>93</v>
      </c>
      <c r="D313" s="82" t="s">
        <v>226</v>
      </c>
      <c r="G313" s="350"/>
      <c r="H313" s="264"/>
      <c r="I313" s="264"/>
    </row>
    <row r="314" spans="2:9" x14ac:dyDescent="0.4">
      <c r="B314" s="218">
        <v>312</v>
      </c>
      <c r="C314" s="6" t="s">
        <v>88</v>
      </c>
      <c r="D314" s="82" t="s">
        <v>108</v>
      </c>
      <c r="G314" s="350"/>
      <c r="H314" s="264"/>
      <c r="I314" s="264"/>
    </row>
    <row r="315" spans="2:9" x14ac:dyDescent="0.4">
      <c r="B315" s="218">
        <v>313</v>
      </c>
      <c r="C315" s="82" t="s">
        <v>94</v>
      </c>
      <c r="D315" s="82" t="s">
        <v>122</v>
      </c>
      <c r="G315" s="350"/>
      <c r="H315" s="264"/>
      <c r="I315" s="264"/>
    </row>
    <row r="316" spans="2:9" x14ac:dyDescent="0.4">
      <c r="B316" s="218">
        <v>314</v>
      </c>
      <c r="C316" s="82" t="s">
        <v>94</v>
      </c>
      <c r="D316" s="82" t="s">
        <v>111</v>
      </c>
      <c r="G316" s="351"/>
      <c r="H316" s="337"/>
      <c r="I316" s="337"/>
    </row>
    <row r="317" spans="2:9" x14ac:dyDescent="0.4">
      <c r="B317" s="219">
        <v>315</v>
      </c>
      <c r="C317" s="70" t="s">
        <v>163</v>
      </c>
      <c r="D317" s="70" t="s">
        <v>163</v>
      </c>
      <c r="G317" s="351"/>
      <c r="H317" s="264"/>
      <c r="I317" s="264"/>
    </row>
    <row r="318" spans="2:9" ht="21.6" x14ac:dyDescent="0.4">
      <c r="B318" s="218">
        <v>316</v>
      </c>
      <c r="C318" s="82" t="s">
        <v>94</v>
      </c>
      <c r="D318" s="79" t="s">
        <v>165</v>
      </c>
      <c r="G318" s="351"/>
      <c r="H318" s="337"/>
      <c r="I318" s="337"/>
    </row>
    <row r="319" spans="2:9" x14ac:dyDescent="0.4">
      <c r="B319" s="218">
        <v>317</v>
      </c>
      <c r="C319" s="82" t="s">
        <v>94</v>
      </c>
      <c r="D319" s="82" t="s">
        <v>122</v>
      </c>
      <c r="G319" s="351"/>
      <c r="H319" s="264"/>
      <c r="I319" s="337"/>
    </row>
    <row r="320" spans="2:9" x14ac:dyDescent="0.4">
      <c r="B320" s="218">
        <v>318</v>
      </c>
      <c r="C320" s="82" t="s">
        <v>94</v>
      </c>
      <c r="D320" s="82" t="s">
        <v>111</v>
      </c>
      <c r="G320" s="351"/>
      <c r="H320" s="337"/>
      <c r="I320" s="337"/>
    </row>
    <row r="321" spans="2:9" x14ac:dyDescent="0.4">
      <c r="B321" s="218">
        <v>319</v>
      </c>
      <c r="C321" s="82" t="s">
        <v>91</v>
      </c>
      <c r="D321" s="82" t="s">
        <v>107</v>
      </c>
      <c r="G321" s="351"/>
      <c r="H321" s="337"/>
      <c r="I321" s="337"/>
    </row>
    <row r="322" spans="2:9" x14ac:dyDescent="0.4">
      <c r="B322" s="219">
        <v>320</v>
      </c>
      <c r="C322" s="70" t="s">
        <v>163</v>
      </c>
      <c r="D322" s="70" t="s">
        <v>163</v>
      </c>
      <c r="G322" s="351"/>
      <c r="H322" s="264"/>
      <c r="I322" s="337"/>
    </row>
    <row r="323" spans="2:9" x14ac:dyDescent="0.4">
      <c r="B323" s="218">
        <v>321</v>
      </c>
      <c r="C323" s="6" t="s">
        <v>92</v>
      </c>
      <c r="D323" s="82" t="s">
        <v>109</v>
      </c>
      <c r="G323" s="351"/>
      <c r="H323" s="337"/>
      <c r="I323" s="337"/>
    </row>
    <row r="324" spans="2:9" x14ac:dyDescent="0.4">
      <c r="B324" s="218">
        <v>322</v>
      </c>
      <c r="C324" s="6" t="s">
        <v>94</v>
      </c>
      <c r="D324" s="82" t="s">
        <v>111</v>
      </c>
      <c r="G324" s="350"/>
      <c r="H324" s="264"/>
      <c r="I324" s="264"/>
    </row>
    <row r="325" spans="2:9" x14ac:dyDescent="0.4">
      <c r="B325" s="218">
        <v>323</v>
      </c>
      <c r="C325" s="6" t="s">
        <v>88</v>
      </c>
      <c r="D325" s="82" t="s">
        <v>108</v>
      </c>
      <c r="G325" s="350"/>
      <c r="H325" s="264"/>
      <c r="I325" s="264"/>
    </row>
    <row r="326" spans="2:9" x14ac:dyDescent="0.4">
      <c r="B326" s="218">
        <v>324</v>
      </c>
      <c r="C326" s="82" t="s">
        <v>91</v>
      </c>
      <c r="D326" s="82" t="s">
        <v>107</v>
      </c>
      <c r="G326" s="350"/>
      <c r="H326" s="264"/>
      <c r="I326" s="264"/>
    </row>
    <row r="327" spans="2:9" x14ac:dyDescent="0.4">
      <c r="B327" s="218">
        <v>325</v>
      </c>
      <c r="C327" s="2" t="s">
        <v>91</v>
      </c>
      <c r="D327" s="2" t="s">
        <v>107</v>
      </c>
      <c r="G327" s="350"/>
      <c r="H327" s="264"/>
      <c r="I327" s="264"/>
    </row>
    <row r="328" spans="2:9" x14ac:dyDescent="0.4">
      <c r="B328" s="219">
        <v>326</v>
      </c>
      <c r="C328" s="70" t="s">
        <v>163</v>
      </c>
      <c r="D328" s="70" t="s">
        <v>163</v>
      </c>
      <c r="G328" s="350"/>
      <c r="H328" s="264"/>
      <c r="I328" s="264"/>
    </row>
    <row r="329" spans="2:9" x14ac:dyDescent="0.4">
      <c r="B329" s="218">
        <v>327</v>
      </c>
      <c r="C329" s="6" t="s">
        <v>91</v>
      </c>
      <c r="D329" s="2" t="s">
        <v>180</v>
      </c>
      <c r="G329" s="350"/>
      <c r="H329" s="264"/>
      <c r="I329" s="264"/>
    </row>
    <row r="330" spans="2:9" x14ac:dyDescent="0.4">
      <c r="B330" s="219">
        <v>328</v>
      </c>
      <c r="C330" s="70" t="s">
        <v>163</v>
      </c>
      <c r="D330" s="70" t="s">
        <v>163</v>
      </c>
      <c r="G330" s="350"/>
      <c r="H330" s="264"/>
      <c r="I330" s="264"/>
    </row>
    <row r="331" spans="2:9" x14ac:dyDescent="0.4">
      <c r="B331" s="212">
        <v>329</v>
      </c>
      <c r="C331" s="82" t="s">
        <v>88</v>
      </c>
      <c r="D331" s="82" t="s">
        <v>105</v>
      </c>
      <c r="G331" s="350"/>
      <c r="H331" s="264"/>
      <c r="I331" s="264"/>
    </row>
    <row r="332" spans="2:9" x14ac:dyDescent="0.4">
      <c r="B332" s="218">
        <v>330</v>
      </c>
      <c r="C332" s="82" t="s">
        <v>97</v>
      </c>
      <c r="D332" s="82" t="s">
        <v>118</v>
      </c>
      <c r="G332" s="350"/>
      <c r="H332" s="264"/>
      <c r="I332" s="264"/>
    </row>
    <row r="333" spans="2:9" x14ac:dyDescent="0.4">
      <c r="B333" s="219">
        <v>331</v>
      </c>
      <c r="C333" s="70" t="s">
        <v>163</v>
      </c>
      <c r="D333" s="70" t="s">
        <v>163</v>
      </c>
      <c r="G333" s="350"/>
      <c r="H333" s="264"/>
      <c r="I333" s="264"/>
    </row>
    <row r="334" spans="2:9" x14ac:dyDescent="0.4">
      <c r="B334" s="219">
        <v>332</v>
      </c>
      <c r="C334" s="70" t="s">
        <v>163</v>
      </c>
      <c r="D334" s="70" t="s">
        <v>163</v>
      </c>
      <c r="G334" s="350"/>
      <c r="H334" s="264"/>
      <c r="I334" s="264"/>
    </row>
    <row r="335" spans="2:9" x14ac:dyDescent="0.4">
      <c r="B335" s="212">
        <v>333</v>
      </c>
      <c r="C335" s="82" t="s">
        <v>94</v>
      </c>
      <c r="D335" s="82" t="s">
        <v>122</v>
      </c>
      <c r="G335" s="350"/>
      <c r="H335" s="264"/>
      <c r="I335" s="264"/>
    </row>
    <row r="336" spans="2:9" x14ac:dyDescent="0.4">
      <c r="B336" s="218">
        <v>334</v>
      </c>
      <c r="C336" s="82" t="s">
        <v>91</v>
      </c>
      <c r="D336" s="82" t="s">
        <v>180</v>
      </c>
      <c r="G336" s="350"/>
      <c r="H336" s="264"/>
      <c r="I336" s="264"/>
    </row>
    <row r="337" spans="2:9" x14ac:dyDescent="0.4">
      <c r="B337" s="218">
        <v>335</v>
      </c>
      <c r="C337" s="82" t="s">
        <v>92</v>
      </c>
      <c r="D337" s="82" t="s">
        <v>109</v>
      </c>
      <c r="G337" s="350"/>
      <c r="H337" s="337"/>
      <c r="I337" s="337"/>
    </row>
    <row r="338" spans="2:9" x14ac:dyDescent="0.4">
      <c r="B338" s="218">
        <v>336</v>
      </c>
      <c r="C338" s="82" t="s">
        <v>95</v>
      </c>
      <c r="D338" s="82" t="s">
        <v>120</v>
      </c>
      <c r="G338" s="350"/>
      <c r="H338" s="337"/>
      <c r="I338" s="337"/>
    </row>
    <row r="339" spans="2:9" x14ac:dyDescent="0.4">
      <c r="B339" s="212">
        <v>337</v>
      </c>
      <c r="C339" s="82" t="s">
        <v>91</v>
      </c>
      <c r="D339" s="82" t="s">
        <v>107</v>
      </c>
      <c r="G339" s="350"/>
      <c r="H339" s="337"/>
      <c r="I339" s="337"/>
    </row>
    <row r="340" spans="2:9" x14ac:dyDescent="0.4">
      <c r="B340" s="218">
        <v>338</v>
      </c>
      <c r="C340" s="82" t="s">
        <v>94</v>
      </c>
      <c r="D340" s="82" t="s">
        <v>111</v>
      </c>
      <c r="G340" s="350"/>
      <c r="H340" s="264"/>
      <c r="I340" s="337"/>
    </row>
    <row r="341" spans="2:9" x14ac:dyDescent="0.4">
      <c r="B341" s="218">
        <v>339</v>
      </c>
      <c r="C341" s="82" t="s">
        <v>94</v>
      </c>
      <c r="D341" s="82" t="s">
        <v>122</v>
      </c>
      <c r="G341" s="350"/>
      <c r="H341" s="264"/>
      <c r="I341" s="337"/>
    </row>
    <row r="342" spans="2:9" ht="21.6" x14ac:dyDescent="0.4">
      <c r="B342" s="218">
        <v>340</v>
      </c>
      <c r="C342" s="79" t="s">
        <v>228</v>
      </c>
      <c r="D342" s="79" t="s">
        <v>229</v>
      </c>
      <c r="G342" s="350"/>
      <c r="H342" s="264"/>
      <c r="I342" s="337"/>
    </row>
    <row r="343" spans="2:9" x14ac:dyDescent="0.4">
      <c r="B343" s="218">
        <v>341</v>
      </c>
      <c r="C343" s="79" t="s">
        <v>91</v>
      </c>
      <c r="D343" s="79" t="s">
        <v>107</v>
      </c>
      <c r="G343" s="350"/>
      <c r="H343" s="337"/>
      <c r="I343" s="337"/>
    </row>
    <row r="344" spans="2:9" x14ac:dyDescent="0.4">
      <c r="B344" s="218">
        <v>342</v>
      </c>
      <c r="C344" s="82" t="s">
        <v>94</v>
      </c>
      <c r="D344" s="82" t="s">
        <v>111</v>
      </c>
      <c r="G344" s="350"/>
      <c r="H344" s="337"/>
      <c r="I344" s="337"/>
    </row>
    <row r="345" spans="2:9" x14ac:dyDescent="0.4">
      <c r="B345" s="218">
        <v>343</v>
      </c>
      <c r="C345" s="82" t="s">
        <v>94</v>
      </c>
      <c r="D345" s="82" t="s">
        <v>122</v>
      </c>
      <c r="G345" s="350"/>
      <c r="H345" s="264"/>
      <c r="I345" s="337"/>
    </row>
    <row r="346" spans="2:9" x14ac:dyDescent="0.4">
      <c r="B346" s="219">
        <v>344</v>
      </c>
      <c r="C346" s="70" t="s">
        <v>163</v>
      </c>
      <c r="D346" s="70" t="s">
        <v>163</v>
      </c>
      <c r="G346" s="350"/>
      <c r="H346" s="337"/>
      <c r="I346" s="337"/>
    </row>
    <row r="347" spans="2:9" x14ac:dyDescent="0.4">
      <c r="B347" s="218">
        <v>345</v>
      </c>
      <c r="C347" s="2" t="s">
        <v>92</v>
      </c>
      <c r="D347" s="2" t="s">
        <v>109</v>
      </c>
      <c r="G347" s="350"/>
      <c r="H347" s="337"/>
      <c r="I347" s="337"/>
    </row>
    <row r="348" spans="2:9" x14ac:dyDescent="0.4">
      <c r="B348" s="218">
        <v>346</v>
      </c>
      <c r="C348" s="82" t="s">
        <v>88</v>
      </c>
      <c r="D348" s="82" t="s">
        <v>108</v>
      </c>
      <c r="G348" s="350"/>
      <c r="H348" s="264"/>
      <c r="I348" s="264"/>
    </row>
    <row r="349" spans="2:9" x14ac:dyDescent="0.4">
      <c r="B349" s="218">
        <v>347</v>
      </c>
      <c r="C349" s="82" t="s">
        <v>92</v>
      </c>
      <c r="D349" s="82" t="s">
        <v>109</v>
      </c>
      <c r="G349" s="350"/>
      <c r="H349" s="264"/>
      <c r="I349" s="264"/>
    </row>
    <row r="350" spans="2:9" x14ac:dyDescent="0.4">
      <c r="B350" s="218">
        <v>348</v>
      </c>
      <c r="C350" s="82" t="s">
        <v>91</v>
      </c>
      <c r="D350" s="82" t="s">
        <v>107</v>
      </c>
      <c r="G350" s="350"/>
      <c r="H350" s="264"/>
      <c r="I350" s="264"/>
    </row>
    <row r="351" spans="2:9" ht="21.6" x14ac:dyDescent="0.4">
      <c r="B351" s="218">
        <v>349</v>
      </c>
      <c r="C351" s="79" t="s">
        <v>228</v>
      </c>
      <c r="D351" s="79" t="s">
        <v>229</v>
      </c>
      <c r="G351" s="350"/>
      <c r="H351" s="264"/>
      <c r="I351" s="264"/>
    </row>
    <row r="352" spans="2:9" x14ac:dyDescent="0.4">
      <c r="B352" s="219">
        <v>350</v>
      </c>
      <c r="C352" s="70" t="s">
        <v>163</v>
      </c>
      <c r="D352" s="70" t="s">
        <v>163</v>
      </c>
      <c r="G352" s="350"/>
      <c r="H352" s="264"/>
      <c r="I352" s="264"/>
    </row>
    <row r="353" spans="2:9" ht="21.6" x14ac:dyDescent="0.4">
      <c r="B353" s="218">
        <v>351</v>
      </c>
      <c r="C353" s="79" t="s">
        <v>228</v>
      </c>
      <c r="D353" s="79" t="s">
        <v>229</v>
      </c>
      <c r="G353" s="350"/>
      <c r="H353" s="264"/>
      <c r="I353" s="264"/>
    </row>
    <row r="354" spans="2:9" x14ac:dyDescent="0.4">
      <c r="B354" s="218">
        <v>352</v>
      </c>
      <c r="C354" s="82" t="s">
        <v>94</v>
      </c>
      <c r="D354" s="82" t="s">
        <v>111</v>
      </c>
      <c r="G354" s="350"/>
      <c r="H354" s="264"/>
      <c r="I354" s="264"/>
    </row>
    <row r="355" spans="2:9" x14ac:dyDescent="0.4">
      <c r="B355" s="218">
        <v>353</v>
      </c>
      <c r="C355" s="2" t="s">
        <v>91</v>
      </c>
      <c r="D355" s="2" t="s">
        <v>107</v>
      </c>
      <c r="G355" s="350"/>
      <c r="H355" s="264"/>
      <c r="I355" s="264"/>
    </row>
    <row r="356" spans="2:9" x14ac:dyDescent="0.4">
      <c r="B356" s="218">
        <v>354</v>
      </c>
      <c r="C356" s="82" t="s">
        <v>95</v>
      </c>
      <c r="D356" s="82" t="s">
        <v>112</v>
      </c>
      <c r="G356" s="350"/>
      <c r="H356" s="337"/>
      <c r="I356" s="264"/>
    </row>
    <row r="357" spans="2:9" x14ac:dyDescent="0.4">
      <c r="B357" s="218">
        <v>355</v>
      </c>
      <c r="C357" s="82" t="s">
        <v>94</v>
      </c>
      <c r="D357" s="82" t="s">
        <v>111</v>
      </c>
      <c r="G357" s="350"/>
      <c r="H357" s="264"/>
      <c r="I357" s="264"/>
    </row>
    <row r="358" spans="2:9" x14ac:dyDescent="0.4">
      <c r="B358" s="218">
        <v>356</v>
      </c>
      <c r="C358" s="82" t="s">
        <v>95</v>
      </c>
      <c r="D358" s="82" t="s">
        <v>112</v>
      </c>
      <c r="G358" s="350"/>
      <c r="H358" s="264"/>
      <c r="I358" s="264"/>
    </row>
    <row r="359" spans="2:9" x14ac:dyDescent="0.4">
      <c r="B359" s="218">
        <v>357</v>
      </c>
      <c r="C359" s="79" t="s">
        <v>94</v>
      </c>
      <c r="D359" s="79" t="s">
        <v>124</v>
      </c>
      <c r="G359" s="350"/>
      <c r="H359" s="264"/>
      <c r="I359" s="264"/>
    </row>
    <row r="360" spans="2:9" x14ac:dyDescent="0.4">
      <c r="B360" s="218">
        <v>358</v>
      </c>
      <c r="C360" s="82" t="s">
        <v>94</v>
      </c>
      <c r="D360" s="82" t="s">
        <v>122</v>
      </c>
      <c r="G360" s="350"/>
      <c r="H360" s="264"/>
      <c r="I360" s="264"/>
    </row>
    <row r="361" spans="2:9" x14ac:dyDescent="0.4">
      <c r="B361" s="218">
        <v>359</v>
      </c>
      <c r="C361" s="82" t="s">
        <v>90</v>
      </c>
      <c r="D361" s="82" t="s">
        <v>106</v>
      </c>
      <c r="G361" s="350"/>
      <c r="H361" s="337"/>
      <c r="I361" s="264"/>
    </row>
    <row r="362" spans="2:9" x14ac:dyDescent="0.4">
      <c r="B362" s="218">
        <v>360</v>
      </c>
      <c r="C362" s="82" t="s">
        <v>94</v>
      </c>
      <c r="D362" s="82" t="s">
        <v>122</v>
      </c>
      <c r="G362" s="350"/>
      <c r="H362" s="264"/>
      <c r="I362" s="264"/>
    </row>
    <row r="363" spans="2:9" x14ac:dyDescent="0.4">
      <c r="B363" s="218">
        <v>361</v>
      </c>
      <c r="C363" s="82" t="s">
        <v>94</v>
      </c>
      <c r="D363" s="82" t="s">
        <v>122</v>
      </c>
      <c r="G363" s="350"/>
      <c r="H363" s="264"/>
      <c r="I363" s="264"/>
    </row>
    <row r="364" spans="2:9" x14ac:dyDescent="0.4">
      <c r="B364" s="218">
        <v>362</v>
      </c>
      <c r="C364" s="82" t="s">
        <v>95</v>
      </c>
      <c r="D364" s="82" t="s">
        <v>120</v>
      </c>
      <c r="G364" s="350"/>
      <c r="H364" s="264"/>
      <c r="I364" s="264"/>
    </row>
    <row r="365" spans="2:9" x14ac:dyDescent="0.4">
      <c r="B365" s="218">
        <v>363</v>
      </c>
      <c r="C365" s="82" t="s">
        <v>91</v>
      </c>
      <c r="D365" s="79" t="s">
        <v>107</v>
      </c>
      <c r="G365" s="350"/>
      <c r="H365" s="337"/>
      <c r="I365" s="264"/>
    </row>
    <row r="366" spans="2:9" x14ac:dyDescent="0.4">
      <c r="B366" s="218">
        <v>364</v>
      </c>
      <c r="C366" s="82" t="s">
        <v>88</v>
      </c>
      <c r="D366" s="82" t="s">
        <v>108</v>
      </c>
      <c r="G366" s="350"/>
      <c r="H366" s="337"/>
      <c r="I366" s="264"/>
    </row>
    <row r="367" spans="2:9" x14ac:dyDescent="0.4">
      <c r="B367" s="218">
        <v>365</v>
      </c>
      <c r="C367" s="82" t="s">
        <v>94</v>
      </c>
      <c r="D367" s="82" t="s">
        <v>122</v>
      </c>
      <c r="G367" s="350"/>
      <c r="H367" s="337"/>
      <c r="I367" s="264"/>
    </row>
    <row r="368" spans="2:9" x14ac:dyDescent="0.4">
      <c r="B368" s="219">
        <v>366</v>
      </c>
      <c r="C368" s="70" t="s">
        <v>163</v>
      </c>
      <c r="D368" s="70" t="s">
        <v>163</v>
      </c>
      <c r="G368" s="350"/>
      <c r="H368" s="352"/>
      <c r="I368" s="352"/>
    </row>
    <row r="369" spans="2:9" x14ac:dyDescent="0.4">
      <c r="B369" s="219">
        <v>367</v>
      </c>
      <c r="C369" s="70" t="s">
        <v>163</v>
      </c>
      <c r="D369" s="70" t="s">
        <v>163</v>
      </c>
      <c r="G369" s="350"/>
      <c r="H369" s="352"/>
      <c r="I369" s="352"/>
    </row>
    <row r="370" spans="2:9" x14ac:dyDescent="0.4">
      <c r="B370" s="218">
        <v>368</v>
      </c>
      <c r="C370" s="82" t="s">
        <v>95</v>
      </c>
      <c r="D370" s="82" t="s">
        <v>120</v>
      </c>
      <c r="G370" s="350"/>
      <c r="H370" s="352"/>
      <c r="I370" s="352"/>
    </row>
    <row r="371" spans="2:9" x14ac:dyDescent="0.4">
      <c r="B371" s="218">
        <v>369</v>
      </c>
      <c r="C371" s="82" t="s">
        <v>91</v>
      </c>
      <c r="D371" s="82" t="s">
        <v>180</v>
      </c>
      <c r="G371" s="350"/>
      <c r="H371" s="352"/>
      <c r="I371" s="352"/>
    </row>
    <row r="372" spans="2:9" x14ac:dyDescent="0.4">
      <c r="B372" s="218">
        <v>370</v>
      </c>
      <c r="C372" s="82" t="s">
        <v>95</v>
      </c>
      <c r="D372" s="82" t="s">
        <v>120</v>
      </c>
      <c r="G372" s="350"/>
      <c r="H372" s="352"/>
      <c r="I372" s="352"/>
    </row>
    <row r="373" spans="2:9" x14ac:dyDescent="0.4">
      <c r="B373" s="218">
        <v>371</v>
      </c>
      <c r="C373" s="82" t="s">
        <v>94</v>
      </c>
      <c r="D373" s="82" t="s">
        <v>111</v>
      </c>
      <c r="G373" s="350"/>
      <c r="H373" s="352"/>
      <c r="I373" s="352"/>
    </row>
    <row r="374" spans="2:9" x14ac:dyDescent="0.4">
      <c r="B374" s="218">
        <v>372</v>
      </c>
      <c r="C374" s="82" t="s">
        <v>92</v>
      </c>
      <c r="D374" s="82" t="s">
        <v>109</v>
      </c>
    </row>
    <row r="375" spans="2:9" x14ac:dyDescent="0.4">
      <c r="B375" s="218">
        <v>373</v>
      </c>
      <c r="C375" s="82" t="s">
        <v>94</v>
      </c>
      <c r="D375" s="82" t="s">
        <v>111</v>
      </c>
    </row>
    <row r="376" spans="2:9" x14ac:dyDescent="0.4">
      <c r="B376" s="218">
        <v>374</v>
      </c>
      <c r="C376" s="82" t="s">
        <v>92</v>
      </c>
      <c r="D376" s="82" t="s">
        <v>109</v>
      </c>
    </row>
    <row r="377" spans="2:9" x14ac:dyDescent="0.4">
      <c r="B377" s="218">
        <v>375</v>
      </c>
      <c r="C377" s="82" t="s">
        <v>94</v>
      </c>
      <c r="D377" s="82" t="s">
        <v>111</v>
      </c>
    </row>
    <row r="378" spans="2:9" x14ac:dyDescent="0.4">
      <c r="B378" s="219">
        <v>376</v>
      </c>
      <c r="C378" s="70" t="s">
        <v>163</v>
      </c>
      <c r="D378" s="70" t="s">
        <v>163</v>
      </c>
    </row>
    <row r="379" spans="2:9" x14ac:dyDescent="0.4">
      <c r="B379" s="218">
        <v>377</v>
      </c>
      <c r="C379" s="82" t="s">
        <v>95</v>
      </c>
      <c r="D379" s="82" t="s">
        <v>112</v>
      </c>
    </row>
    <row r="380" spans="2:9" x14ac:dyDescent="0.4">
      <c r="B380" s="218">
        <v>378</v>
      </c>
      <c r="C380" s="82" t="s">
        <v>94</v>
      </c>
      <c r="D380" s="82" t="s">
        <v>111</v>
      </c>
    </row>
    <row r="381" spans="2:9" x14ac:dyDescent="0.4">
      <c r="B381" s="218">
        <v>379</v>
      </c>
      <c r="C381" s="82" t="s">
        <v>94</v>
      </c>
      <c r="D381" s="82" t="s">
        <v>122</v>
      </c>
    </row>
    <row r="382" spans="2:9" x14ac:dyDescent="0.4">
      <c r="B382" s="218">
        <v>380</v>
      </c>
      <c r="C382" s="82" t="s">
        <v>95</v>
      </c>
      <c r="D382" s="82" t="s">
        <v>112</v>
      </c>
    </row>
    <row r="383" spans="2:9" x14ac:dyDescent="0.4">
      <c r="B383" s="218">
        <v>381</v>
      </c>
      <c r="C383" s="82" t="s">
        <v>94</v>
      </c>
      <c r="D383" s="82" t="s">
        <v>111</v>
      </c>
    </row>
    <row r="384" spans="2:9" x14ac:dyDescent="0.4">
      <c r="B384" s="218">
        <v>382</v>
      </c>
      <c r="C384" s="82" t="s">
        <v>92</v>
      </c>
      <c r="D384" s="82" t="s">
        <v>109</v>
      </c>
    </row>
    <row r="385" spans="2:4" x14ac:dyDescent="0.4">
      <c r="B385" s="218">
        <v>383</v>
      </c>
      <c r="C385" s="82" t="s">
        <v>95</v>
      </c>
      <c r="D385" s="82" t="s">
        <v>112</v>
      </c>
    </row>
    <row r="386" spans="2:4" x14ac:dyDescent="0.4">
      <c r="B386" s="218">
        <v>384</v>
      </c>
      <c r="C386" s="82" t="s">
        <v>94</v>
      </c>
      <c r="D386" s="82" t="s">
        <v>124</v>
      </c>
    </row>
    <row r="387" spans="2:4" x14ac:dyDescent="0.4">
      <c r="B387" s="218">
        <v>385</v>
      </c>
      <c r="C387" s="82" t="s">
        <v>92</v>
      </c>
      <c r="D387" s="82" t="s">
        <v>109</v>
      </c>
    </row>
    <row r="388" spans="2:4" x14ac:dyDescent="0.4">
      <c r="B388" s="218">
        <v>386</v>
      </c>
      <c r="C388" s="82" t="s">
        <v>95</v>
      </c>
      <c r="D388" s="82" t="s">
        <v>112</v>
      </c>
    </row>
    <row r="389" spans="2:4" ht="21.6" x14ac:dyDescent="0.4">
      <c r="B389" s="218">
        <v>387</v>
      </c>
      <c r="C389" s="79" t="s">
        <v>228</v>
      </c>
      <c r="D389" s="79" t="s">
        <v>229</v>
      </c>
    </row>
    <row r="390" spans="2:4" x14ac:dyDescent="0.4">
      <c r="B390" s="218">
        <v>388</v>
      </c>
      <c r="C390" s="82" t="s">
        <v>91</v>
      </c>
      <c r="D390" s="82" t="s">
        <v>180</v>
      </c>
    </row>
    <row r="391" spans="2:4" x14ac:dyDescent="0.4">
      <c r="B391" s="236">
        <v>389</v>
      </c>
      <c r="C391" s="82" t="s">
        <v>91</v>
      </c>
      <c r="D391" s="82" t="s">
        <v>107</v>
      </c>
    </row>
    <row r="392" spans="2:4" x14ac:dyDescent="0.4">
      <c r="B392" s="218">
        <v>390</v>
      </c>
      <c r="C392" s="82" t="s">
        <v>88</v>
      </c>
      <c r="D392" s="82" t="s">
        <v>105</v>
      </c>
    </row>
    <row r="393" spans="2:4" x14ac:dyDescent="0.4">
      <c r="B393" s="218">
        <v>391</v>
      </c>
      <c r="C393" s="82" t="s">
        <v>95</v>
      </c>
      <c r="D393" s="82" t="s">
        <v>120</v>
      </c>
    </row>
    <row r="394" spans="2:4" x14ac:dyDescent="0.4">
      <c r="B394" s="218">
        <v>392</v>
      </c>
      <c r="C394" s="82" t="s">
        <v>91</v>
      </c>
      <c r="D394" s="82" t="s">
        <v>107</v>
      </c>
    </row>
    <row r="395" spans="2:4" x14ac:dyDescent="0.4">
      <c r="B395" s="218">
        <v>393</v>
      </c>
      <c r="C395" s="82" t="s">
        <v>94</v>
      </c>
      <c r="D395" s="82" t="s">
        <v>122</v>
      </c>
    </row>
    <row r="396" spans="2:4" x14ac:dyDescent="0.4">
      <c r="B396" s="218">
        <v>394</v>
      </c>
      <c r="C396" s="82" t="s">
        <v>94</v>
      </c>
      <c r="D396" s="82" t="s">
        <v>122</v>
      </c>
    </row>
    <row r="397" spans="2:4" x14ac:dyDescent="0.4">
      <c r="B397" s="218">
        <v>395</v>
      </c>
      <c r="C397" s="82" t="s">
        <v>95</v>
      </c>
      <c r="D397" s="82" t="s">
        <v>112</v>
      </c>
    </row>
    <row r="398" spans="2:4" x14ac:dyDescent="0.4">
      <c r="B398" s="218">
        <v>396</v>
      </c>
      <c r="C398" s="82" t="s">
        <v>95</v>
      </c>
      <c r="D398" s="82" t="s">
        <v>120</v>
      </c>
    </row>
    <row r="399" spans="2:4" x14ac:dyDescent="0.4">
      <c r="B399" s="218">
        <v>397</v>
      </c>
      <c r="C399" s="82" t="s">
        <v>94</v>
      </c>
      <c r="D399" s="82" t="s">
        <v>122</v>
      </c>
    </row>
    <row r="400" spans="2:4" x14ac:dyDescent="0.4">
      <c r="B400" s="218">
        <v>398</v>
      </c>
      <c r="C400" s="82" t="s">
        <v>91</v>
      </c>
      <c r="D400" s="82" t="s">
        <v>107</v>
      </c>
    </row>
    <row r="401" spans="2:4" x14ac:dyDescent="0.4">
      <c r="B401" s="218">
        <v>399</v>
      </c>
      <c r="C401" s="82" t="s">
        <v>91</v>
      </c>
      <c r="D401" s="82" t="s">
        <v>114</v>
      </c>
    </row>
    <row r="402" spans="2:4" x14ac:dyDescent="0.4">
      <c r="B402" s="218">
        <v>400</v>
      </c>
      <c r="C402" s="82" t="s">
        <v>97</v>
      </c>
      <c r="D402" s="82" t="s">
        <v>118</v>
      </c>
    </row>
    <row r="403" spans="2:4" x14ac:dyDescent="0.4">
      <c r="B403" s="218">
        <v>401</v>
      </c>
      <c r="C403" s="82" t="s">
        <v>94</v>
      </c>
      <c r="D403" s="82" t="s">
        <v>122</v>
      </c>
    </row>
    <row r="404" spans="2:4" x14ac:dyDescent="0.4">
      <c r="B404" s="218">
        <v>402</v>
      </c>
      <c r="C404" s="82" t="s">
        <v>91</v>
      </c>
      <c r="D404" s="82" t="s">
        <v>107</v>
      </c>
    </row>
    <row r="405" spans="2:4" x14ac:dyDescent="0.4">
      <c r="B405" s="218">
        <v>403</v>
      </c>
      <c r="C405" s="82" t="s">
        <v>95</v>
      </c>
      <c r="D405" s="82" t="s">
        <v>112</v>
      </c>
    </row>
    <row r="406" spans="2:4" x14ac:dyDescent="0.4">
      <c r="B406" s="218">
        <v>404</v>
      </c>
      <c r="C406" s="82" t="s">
        <v>95</v>
      </c>
      <c r="D406" s="82" t="s">
        <v>112</v>
      </c>
    </row>
    <row r="407" spans="2:4" x14ac:dyDescent="0.4">
      <c r="B407" s="218">
        <v>405</v>
      </c>
      <c r="C407" s="82" t="s">
        <v>92</v>
      </c>
      <c r="D407" s="82" t="s">
        <v>109</v>
      </c>
    </row>
    <row r="408" spans="2:4" x14ac:dyDescent="0.4">
      <c r="B408" s="218">
        <v>406</v>
      </c>
      <c r="C408" s="82" t="s">
        <v>91</v>
      </c>
      <c r="D408" s="82" t="s">
        <v>107</v>
      </c>
    </row>
    <row r="409" spans="2:4" x14ac:dyDescent="0.4">
      <c r="B409" s="218">
        <v>407</v>
      </c>
      <c r="C409" s="82" t="s">
        <v>95</v>
      </c>
      <c r="D409" s="82" t="s">
        <v>120</v>
      </c>
    </row>
    <row r="410" spans="2:4" x14ac:dyDescent="0.4">
      <c r="B410" s="218">
        <v>408</v>
      </c>
      <c r="C410" s="82" t="s">
        <v>95</v>
      </c>
      <c r="D410" s="82" t="s">
        <v>120</v>
      </c>
    </row>
    <row r="411" spans="2:4" x14ac:dyDescent="0.4">
      <c r="B411" s="218">
        <v>409</v>
      </c>
      <c r="C411" s="82" t="s">
        <v>94</v>
      </c>
      <c r="D411" s="82" t="s">
        <v>122</v>
      </c>
    </row>
    <row r="412" spans="2:4" x14ac:dyDescent="0.4">
      <c r="B412" s="218">
        <v>410</v>
      </c>
      <c r="C412" s="82" t="s">
        <v>91</v>
      </c>
      <c r="D412" s="82" t="s">
        <v>107</v>
      </c>
    </row>
    <row r="413" spans="2:4" x14ac:dyDescent="0.4">
      <c r="B413" s="218">
        <v>411</v>
      </c>
      <c r="C413" s="82" t="s">
        <v>92</v>
      </c>
      <c r="D413" s="82" t="s">
        <v>109</v>
      </c>
    </row>
    <row r="414" spans="2:4" x14ac:dyDescent="0.4">
      <c r="B414" s="218">
        <v>412</v>
      </c>
      <c r="C414" s="82" t="s">
        <v>91</v>
      </c>
      <c r="D414" s="82" t="s">
        <v>107</v>
      </c>
    </row>
    <row r="415" spans="2:4" x14ac:dyDescent="0.4">
      <c r="B415" s="218">
        <v>413</v>
      </c>
      <c r="C415" s="2" t="s">
        <v>88</v>
      </c>
      <c r="D415" s="2" t="s">
        <v>117</v>
      </c>
    </row>
    <row r="416" spans="2:4" x14ac:dyDescent="0.4">
      <c r="B416" s="218">
        <v>414</v>
      </c>
      <c r="C416" s="82" t="s">
        <v>94</v>
      </c>
      <c r="D416" s="82" t="s">
        <v>122</v>
      </c>
    </row>
    <row r="417" spans="2:4" x14ac:dyDescent="0.4">
      <c r="B417" s="218">
        <v>415</v>
      </c>
      <c r="C417" s="2" t="s">
        <v>92</v>
      </c>
      <c r="D417" s="82" t="s">
        <v>116</v>
      </c>
    </row>
    <row r="418" spans="2:4" x14ac:dyDescent="0.4">
      <c r="B418" s="218">
        <v>416</v>
      </c>
      <c r="C418" s="82" t="s">
        <v>88</v>
      </c>
      <c r="D418" s="82" t="s">
        <v>105</v>
      </c>
    </row>
    <row r="419" spans="2:4" x14ac:dyDescent="0.4">
      <c r="B419" s="218">
        <v>417</v>
      </c>
      <c r="C419" s="82" t="s">
        <v>94</v>
      </c>
      <c r="D419" s="82" t="s">
        <v>122</v>
      </c>
    </row>
    <row r="420" spans="2:4" x14ac:dyDescent="0.4">
      <c r="B420" s="218">
        <v>418</v>
      </c>
      <c r="C420" s="82" t="s">
        <v>91</v>
      </c>
      <c r="D420" s="82" t="s">
        <v>107</v>
      </c>
    </row>
    <row r="421" spans="2:4" x14ac:dyDescent="0.4">
      <c r="B421" s="218">
        <v>419</v>
      </c>
      <c r="C421" s="82" t="s">
        <v>94</v>
      </c>
      <c r="D421" s="82" t="s">
        <v>122</v>
      </c>
    </row>
    <row r="422" spans="2:4" ht="21.6" x14ac:dyDescent="0.4">
      <c r="B422" s="218">
        <v>420</v>
      </c>
      <c r="C422" s="79" t="s">
        <v>228</v>
      </c>
      <c r="D422" s="79" t="s">
        <v>229</v>
      </c>
    </row>
    <row r="423" spans="2:4" x14ac:dyDescent="0.4">
      <c r="B423" s="218">
        <v>421</v>
      </c>
      <c r="C423" s="82" t="s">
        <v>95</v>
      </c>
      <c r="D423" s="82" t="s">
        <v>120</v>
      </c>
    </row>
    <row r="424" spans="2:4" x14ac:dyDescent="0.4">
      <c r="B424" s="218">
        <v>422</v>
      </c>
      <c r="C424" s="82" t="s">
        <v>94</v>
      </c>
      <c r="D424" s="82" t="s">
        <v>111</v>
      </c>
    </row>
    <row r="425" spans="2:4" ht="21.6" x14ac:dyDescent="0.4">
      <c r="B425" s="218">
        <v>423</v>
      </c>
      <c r="C425" s="79" t="s">
        <v>228</v>
      </c>
      <c r="D425" s="79" t="s">
        <v>229</v>
      </c>
    </row>
    <row r="426" spans="2:4" x14ac:dyDescent="0.4">
      <c r="B426" s="218">
        <v>424</v>
      </c>
      <c r="C426" s="82" t="s">
        <v>94</v>
      </c>
      <c r="D426" s="82" t="s">
        <v>122</v>
      </c>
    </row>
    <row r="427" spans="2:4" x14ac:dyDescent="0.4">
      <c r="B427" s="218">
        <v>425</v>
      </c>
      <c r="C427" s="82" t="s">
        <v>95</v>
      </c>
      <c r="D427" s="82" t="s">
        <v>120</v>
      </c>
    </row>
    <row r="428" spans="2:4" x14ac:dyDescent="0.4">
      <c r="B428" s="218">
        <v>426</v>
      </c>
      <c r="C428" s="2" t="s">
        <v>92</v>
      </c>
      <c r="D428" s="82" t="s">
        <v>116</v>
      </c>
    </row>
    <row r="429" spans="2:4" x14ac:dyDescent="0.4">
      <c r="B429" s="218">
        <v>427</v>
      </c>
      <c r="C429" s="82" t="s">
        <v>95</v>
      </c>
      <c r="D429" s="82" t="s">
        <v>112</v>
      </c>
    </row>
    <row r="430" spans="2:4" x14ac:dyDescent="0.4">
      <c r="B430" s="218">
        <v>428</v>
      </c>
      <c r="C430" s="82" t="s">
        <v>95</v>
      </c>
      <c r="D430" s="82" t="s">
        <v>120</v>
      </c>
    </row>
    <row r="431" spans="2:4" x14ac:dyDescent="0.4">
      <c r="B431" s="218">
        <v>429</v>
      </c>
      <c r="C431" s="82" t="s">
        <v>94</v>
      </c>
      <c r="D431" s="82" t="s">
        <v>122</v>
      </c>
    </row>
    <row r="432" spans="2:4" x14ac:dyDescent="0.4">
      <c r="B432" s="218">
        <v>430</v>
      </c>
      <c r="C432" s="2" t="s">
        <v>92</v>
      </c>
      <c r="D432" s="2" t="s">
        <v>116</v>
      </c>
    </row>
    <row r="433" spans="2:4" x14ac:dyDescent="0.4">
      <c r="B433" s="218">
        <v>431</v>
      </c>
      <c r="C433" s="82" t="s">
        <v>91</v>
      </c>
      <c r="D433" s="82" t="s">
        <v>114</v>
      </c>
    </row>
    <row r="434" spans="2:4" x14ac:dyDescent="0.4">
      <c r="B434" s="213">
        <v>432</v>
      </c>
      <c r="C434" s="82" t="s">
        <v>88</v>
      </c>
      <c r="D434" s="2" t="s">
        <v>108</v>
      </c>
    </row>
    <row r="435" spans="2:4" x14ac:dyDescent="0.4">
      <c r="B435" s="213">
        <v>433</v>
      </c>
      <c r="C435" s="2" t="s">
        <v>92</v>
      </c>
      <c r="D435" s="2" t="s">
        <v>116</v>
      </c>
    </row>
    <row r="436" spans="2:4" x14ac:dyDescent="0.4">
      <c r="B436" s="213">
        <v>434</v>
      </c>
      <c r="C436" s="2" t="s">
        <v>94</v>
      </c>
      <c r="D436" s="2" t="s">
        <v>111</v>
      </c>
    </row>
    <row r="437" spans="2:4" x14ac:dyDescent="0.4">
      <c r="B437" s="213">
        <v>435</v>
      </c>
      <c r="C437" s="82" t="s">
        <v>88</v>
      </c>
      <c r="D437" s="2" t="s">
        <v>117</v>
      </c>
    </row>
    <row r="438" spans="2:4" x14ac:dyDescent="0.4">
      <c r="B438" s="213">
        <v>436</v>
      </c>
      <c r="C438" s="2" t="s">
        <v>92</v>
      </c>
      <c r="D438" s="2" t="s">
        <v>116</v>
      </c>
    </row>
    <row r="439" spans="2:4" x14ac:dyDescent="0.4">
      <c r="B439" s="213">
        <v>437</v>
      </c>
      <c r="C439" s="2" t="s">
        <v>94</v>
      </c>
      <c r="D439" s="2" t="s">
        <v>111</v>
      </c>
    </row>
    <row r="440" spans="2:4" x14ac:dyDescent="0.4">
      <c r="B440" s="213">
        <v>438</v>
      </c>
      <c r="C440" s="2" t="s">
        <v>88</v>
      </c>
      <c r="D440" s="3" t="s">
        <v>108</v>
      </c>
    </row>
    <row r="441" spans="2:4" x14ac:dyDescent="0.4">
      <c r="B441" s="215">
        <v>439</v>
      </c>
      <c r="C441" s="70" t="s">
        <v>163</v>
      </c>
      <c r="D441" s="70" t="s">
        <v>163</v>
      </c>
    </row>
    <row r="442" spans="2:4" x14ac:dyDescent="0.4">
      <c r="B442" s="218">
        <v>440</v>
      </c>
      <c r="C442" s="82" t="s">
        <v>88</v>
      </c>
      <c r="D442" s="82" t="s">
        <v>108</v>
      </c>
    </row>
    <row r="443" spans="2:4" x14ac:dyDescent="0.4">
      <c r="B443" s="218">
        <v>441</v>
      </c>
      <c r="C443" s="2" t="s">
        <v>88</v>
      </c>
      <c r="D443" s="2" t="s">
        <v>117</v>
      </c>
    </row>
    <row r="444" spans="2:4" x14ac:dyDescent="0.4">
      <c r="B444" s="218">
        <v>442</v>
      </c>
      <c r="C444" s="2" t="s">
        <v>94</v>
      </c>
      <c r="D444" s="2" t="s">
        <v>122</v>
      </c>
    </row>
    <row r="445" spans="2:4" x14ac:dyDescent="0.4">
      <c r="B445" s="218">
        <v>443</v>
      </c>
      <c r="C445" s="2" t="s">
        <v>94</v>
      </c>
      <c r="D445" s="2" t="s">
        <v>111</v>
      </c>
    </row>
    <row r="446" spans="2:4" x14ac:dyDescent="0.4">
      <c r="B446" s="218">
        <v>444</v>
      </c>
      <c r="C446" s="2" t="s">
        <v>92</v>
      </c>
      <c r="D446" s="82" t="s">
        <v>116</v>
      </c>
    </row>
    <row r="447" spans="2:4" x14ac:dyDescent="0.4">
      <c r="B447" s="218">
        <v>445</v>
      </c>
      <c r="C447" s="82" t="s">
        <v>88</v>
      </c>
      <c r="D447" s="82" t="s">
        <v>108</v>
      </c>
    </row>
    <row r="448" spans="2:4" x14ac:dyDescent="0.4">
      <c r="B448" s="219">
        <v>446</v>
      </c>
      <c r="C448" s="70" t="s">
        <v>163</v>
      </c>
      <c r="D448" s="70" t="s">
        <v>163</v>
      </c>
    </row>
    <row r="449" spans="2:4" x14ac:dyDescent="0.4">
      <c r="B449" s="219">
        <v>447</v>
      </c>
      <c r="C449" s="70" t="s">
        <v>163</v>
      </c>
      <c r="D449" s="70" t="s">
        <v>163</v>
      </c>
    </row>
    <row r="450" spans="2:4" x14ac:dyDescent="0.4">
      <c r="B450" s="218">
        <v>448</v>
      </c>
      <c r="C450" s="82" t="s">
        <v>94</v>
      </c>
      <c r="D450" s="82" t="s">
        <v>124</v>
      </c>
    </row>
    <row r="451" spans="2:4" x14ac:dyDescent="0.4">
      <c r="B451" s="218">
        <v>449</v>
      </c>
      <c r="C451" s="82" t="s">
        <v>91</v>
      </c>
      <c r="D451" s="82" t="s">
        <v>114</v>
      </c>
    </row>
    <row r="452" spans="2:4" x14ac:dyDescent="0.4">
      <c r="B452" s="218">
        <v>450</v>
      </c>
      <c r="C452" s="82" t="s">
        <v>94</v>
      </c>
      <c r="D452" s="82" t="s">
        <v>111</v>
      </c>
    </row>
    <row r="453" spans="2:4" x14ac:dyDescent="0.4">
      <c r="B453" s="218">
        <v>451</v>
      </c>
      <c r="C453" s="82" t="s">
        <v>88</v>
      </c>
      <c r="D453" s="82" t="s">
        <v>108</v>
      </c>
    </row>
    <row r="454" spans="2:4" x14ac:dyDescent="0.4">
      <c r="B454" s="218">
        <v>452</v>
      </c>
      <c r="C454" s="82" t="s">
        <v>95</v>
      </c>
      <c r="D454" s="82" t="s">
        <v>112</v>
      </c>
    </row>
    <row r="455" spans="2:4" x14ac:dyDescent="0.4">
      <c r="B455" s="218">
        <v>453</v>
      </c>
      <c r="C455" s="82" t="s">
        <v>94</v>
      </c>
      <c r="D455" s="83" t="s">
        <v>111</v>
      </c>
    </row>
    <row r="456" spans="2:4" x14ac:dyDescent="0.4">
      <c r="B456" s="218">
        <v>454</v>
      </c>
      <c r="C456" s="82" t="s">
        <v>94</v>
      </c>
      <c r="D456" s="82" t="s">
        <v>122</v>
      </c>
    </row>
    <row r="457" spans="2:4" x14ac:dyDescent="0.4">
      <c r="B457" s="218">
        <v>455</v>
      </c>
      <c r="C457" s="2" t="s">
        <v>94</v>
      </c>
      <c r="D457" s="2" t="s">
        <v>111</v>
      </c>
    </row>
    <row r="458" spans="2:4" x14ac:dyDescent="0.4">
      <c r="B458" s="218">
        <v>456</v>
      </c>
      <c r="C458" s="82" t="s">
        <v>94</v>
      </c>
      <c r="D458" s="82" t="s">
        <v>111</v>
      </c>
    </row>
    <row r="459" spans="2:4" x14ac:dyDescent="0.4">
      <c r="B459" s="218">
        <v>457</v>
      </c>
      <c r="C459" s="82" t="s">
        <v>94</v>
      </c>
      <c r="D459" s="82" t="s">
        <v>122</v>
      </c>
    </row>
    <row r="460" spans="2:4" x14ac:dyDescent="0.4">
      <c r="B460" s="219">
        <v>458</v>
      </c>
      <c r="C460" s="70" t="s">
        <v>163</v>
      </c>
      <c r="D460" s="70" t="s">
        <v>163</v>
      </c>
    </row>
    <row r="461" spans="2:4" x14ac:dyDescent="0.4">
      <c r="B461" s="218">
        <v>459</v>
      </c>
      <c r="C461" s="3" t="s">
        <v>88</v>
      </c>
      <c r="D461" s="83" t="s">
        <v>117</v>
      </c>
    </row>
    <row r="462" spans="2:4" x14ac:dyDescent="0.4">
      <c r="B462" s="218">
        <v>460</v>
      </c>
      <c r="C462" s="82" t="s">
        <v>88</v>
      </c>
      <c r="D462" s="82" t="s">
        <v>108</v>
      </c>
    </row>
    <row r="463" spans="2:4" x14ac:dyDescent="0.4">
      <c r="B463" s="218">
        <v>461</v>
      </c>
      <c r="C463" s="2" t="s">
        <v>95</v>
      </c>
      <c r="D463" s="3" t="s">
        <v>112</v>
      </c>
    </row>
    <row r="464" spans="2:4" x14ac:dyDescent="0.4">
      <c r="B464" s="218">
        <v>462</v>
      </c>
      <c r="C464" s="82" t="s">
        <v>88</v>
      </c>
      <c r="D464" s="82" t="s">
        <v>108</v>
      </c>
    </row>
    <row r="465" spans="2:4" x14ac:dyDescent="0.4">
      <c r="B465" s="218">
        <v>463</v>
      </c>
      <c r="C465" s="82" t="s">
        <v>91</v>
      </c>
      <c r="D465" s="82" t="s">
        <v>180</v>
      </c>
    </row>
    <row r="466" spans="2:4" x14ac:dyDescent="0.4">
      <c r="B466" s="218">
        <v>464</v>
      </c>
      <c r="C466" s="82" t="s">
        <v>95</v>
      </c>
      <c r="D466" s="82" t="s">
        <v>120</v>
      </c>
    </row>
    <row r="467" spans="2:4" x14ac:dyDescent="0.4">
      <c r="B467" s="219">
        <v>465</v>
      </c>
      <c r="C467" s="70" t="s">
        <v>163</v>
      </c>
      <c r="D467" s="70" t="s">
        <v>163</v>
      </c>
    </row>
    <row r="468" spans="2:4" x14ac:dyDescent="0.4">
      <c r="B468" s="218">
        <v>466</v>
      </c>
      <c r="C468" s="2" t="s">
        <v>95</v>
      </c>
      <c r="D468" s="3" t="s">
        <v>112</v>
      </c>
    </row>
    <row r="469" spans="2:4" x14ac:dyDescent="0.4">
      <c r="B469" s="218">
        <v>467</v>
      </c>
      <c r="C469" s="82" t="s">
        <v>91</v>
      </c>
      <c r="D469" s="82" t="s">
        <v>107</v>
      </c>
    </row>
    <row r="470" spans="2:4" x14ac:dyDescent="0.4">
      <c r="B470" s="219">
        <v>468</v>
      </c>
      <c r="C470" s="70" t="s">
        <v>163</v>
      </c>
      <c r="D470" s="70" t="s">
        <v>163</v>
      </c>
    </row>
    <row r="471" spans="2:4" x14ac:dyDescent="0.4">
      <c r="B471" s="219">
        <v>469</v>
      </c>
      <c r="C471" s="70" t="s">
        <v>163</v>
      </c>
      <c r="D471" s="70" t="s">
        <v>163</v>
      </c>
    </row>
    <row r="472" spans="2:4" x14ac:dyDescent="0.4">
      <c r="B472" s="218">
        <v>470</v>
      </c>
      <c r="C472" s="82" t="s">
        <v>95</v>
      </c>
      <c r="D472" s="82" t="s">
        <v>120</v>
      </c>
    </row>
    <row r="473" spans="2:4" x14ac:dyDescent="0.4">
      <c r="B473" s="213">
        <v>471</v>
      </c>
      <c r="C473" s="82" t="s">
        <v>91</v>
      </c>
      <c r="D473" s="82" t="s">
        <v>107</v>
      </c>
    </row>
    <row r="474" spans="2:4" x14ac:dyDescent="0.4">
      <c r="B474" s="213">
        <v>472</v>
      </c>
      <c r="C474" s="82" t="s">
        <v>91</v>
      </c>
      <c r="D474" s="82" t="s">
        <v>107</v>
      </c>
    </row>
    <row r="475" spans="2:4" x14ac:dyDescent="0.4">
      <c r="B475" s="213">
        <v>473</v>
      </c>
      <c r="C475" s="2" t="s">
        <v>94</v>
      </c>
      <c r="D475" s="3" t="s">
        <v>111</v>
      </c>
    </row>
    <row r="476" spans="2:4" ht="21.6" x14ac:dyDescent="0.4">
      <c r="B476" s="218">
        <v>474</v>
      </c>
      <c r="C476" s="79" t="s">
        <v>228</v>
      </c>
      <c r="D476" s="79" t="s">
        <v>229</v>
      </c>
    </row>
    <row r="477" spans="2:4" x14ac:dyDescent="0.4">
      <c r="B477" s="218">
        <v>475</v>
      </c>
      <c r="C477" s="82" t="s">
        <v>95</v>
      </c>
      <c r="D477" s="82" t="s">
        <v>120</v>
      </c>
    </row>
    <row r="478" spans="2:4" x14ac:dyDescent="0.4">
      <c r="B478" s="218">
        <v>476</v>
      </c>
      <c r="C478" s="82" t="s">
        <v>91</v>
      </c>
      <c r="D478" s="82" t="s">
        <v>107</v>
      </c>
    </row>
    <row r="479" spans="2:4" x14ac:dyDescent="0.4">
      <c r="B479" s="215">
        <v>477</v>
      </c>
      <c r="C479" s="70" t="s">
        <v>163</v>
      </c>
      <c r="D479" s="70" t="s">
        <v>163</v>
      </c>
    </row>
    <row r="480" spans="2:4" x14ac:dyDescent="0.4">
      <c r="B480" s="213">
        <v>478</v>
      </c>
      <c r="C480" s="2" t="s">
        <v>91</v>
      </c>
      <c r="D480" s="2" t="s">
        <v>107</v>
      </c>
    </row>
    <row r="481" spans="2:4" x14ac:dyDescent="0.4">
      <c r="B481" s="213">
        <v>479</v>
      </c>
      <c r="C481" s="2" t="s">
        <v>94</v>
      </c>
      <c r="D481" s="2" t="s">
        <v>122</v>
      </c>
    </row>
    <row r="482" spans="2:4" x14ac:dyDescent="0.4">
      <c r="B482" s="213">
        <v>480</v>
      </c>
      <c r="C482" s="3" t="s">
        <v>95</v>
      </c>
      <c r="D482" s="3" t="s">
        <v>112</v>
      </c>
    </row>
    <row r="483" spans="2:4" x14ac:dyDescent="0.4">
      <c r="B483" s="213">
        <v>481</v>
      </c>
      <c r="C483" s="2" t="s">
        <v>90</v>
      </c>
      <c r="D483" s="2" t="s">
        <v>106</v>
      </c>
    </row>
    <row r="484" spans="2:4" x14ac:dyDescent="0.4">
      <c r="B484" s="213">
        <v>482</v>
      </c>
      <c r="C484" s="2" t="s">
        <v>94</v>
      </c>
      <c r="D484" s="2" t="s">
        <v>111</v>
      </c>
    </row>
    <row r="485" spans="2:4" x14ac:dyDescent="0.4">
      <c r="B485" s="213">
        <v>483</v>
      </c>
      <c r="C485" s="2" t="s">
        <v>95</v>
      </c>
      <c r="D485" s="2" t="s">
        <v>120</v>
      </c>
    </row>
    <row r="486" spans="2:4" x14ac:dyDescent="0.4">
      <c r="B486" s="213">
        <v>484</v>
      </c>
      <c r="C486" s="2" t="s">
        <v>91</v>
      </c>
      <c r="D486" s="2" t="s">
        <v>180</v>
      </c>
    </row>
    <row r="487" spans="2:4" x14ac:dyDescent="0.4">
      <c r="B487" s="213">
        <v>485</v>
      </c>
      <c r="C487" s="2" t="s">
        <v>94</v>
      </c>
      <c r="D487" s="3" t="s">
        <v>111</v>
      </c>
    </row>
    <row r="488" spans="2:4" ht="21.6" x14ac:dyDescent="0.4">
      <c r="B488" s="218">
        <v>486</v>
      </c>
      <c r="C488" s="82" t="s">
        <v>91</v>
      </c>
      <c r="D488" s="79" t="s">
        <v>454</v>
      </c>
    </row>
    <row r="489" spans="2:4" x14ac:dyDescent="0.4">
      <c r="B489" s="218">
        <v>487</v>
      </c>
      <c r="C489" s="82" t="s">
        <v>91</v>
      </c>
      <c r="D489" s="2" t="s">
        <v>107</v>
      </c>
    </row>
    <row r="490" spans="2:4" x14ac:dyDescent="0.4">
      <c r="B490" s="218">
        <v>488</v>
      </c>
      <c r="C490" s="82" t="s">
        <v>94</v>
      </c>
      <c r="D490" s="82" t="s">
        <v>124</v>
      </c>
    </row>
    <row r="491" spans="2:4" x14ac:dyDescent="0.4">
      <c r="B491" s="218">
        <v>489</v>
      </c>
      <c r="C491" s="82" t="s">
        <v>91</v>
      </c>
      <c r="D491" s="82" t="s">
        <v>107</v>
      </c>
    </row>
    <row r="492" spans="2:4" x14ac:dyDescent="0.4">
      <c r="B492" s="219">
        <v>490</v>
      </c>
      <c r="C492" s="70" t="s">
        <v>163</v>
      </c>
      <c r="D492" s="70" t="s">
        <v>163</v>
      </c>
    </row>
    <row r="493" spans="2:4" x14ac:dyDescent="0.4">
      <c r="B493" s="219">
        <v>491</v>
      </c>
      <c r="C493" s="70" t="s">
        <v>163</v>
      </c>
      <c r="D493" s="70" t="s">
        <v>163</v>
      </c>
    </row>
    <row r="494" spans="2:4" x14ac:dyDescent="0.4">
      <c r="B494" s="218">
        <v>492</v>
      </c>
      <c r="C494" s="82" t="s">
        <v>92</v>
      </c>
      <c r="D494" s="82" t="s">
        <v>116</v>
      </c>
    </row>
    <row r="495" spans="2:4" x14ac:dyDescent="0.4">
      <c r="B495" s="218">
        <v>493</v>
      </c>
      <c r="C495" s="82" t="s">
        <v>94</v>
      </c>
      <c r="D495" s="82" t="s">
        <v>122</v>
      </c>
    </row>
    <row r="496" spans="2:4" x14ac:dyDescent="0.4">
      <c r="B496" s="218">
        <v>494</v>
      </c>
      <c r="C496" s="82" t="s">
        <v>92</v>
      </c>
      <c r="D496" s="82" t="s">
        <v>116</v>
      </c>
    </row>
    <row r="497" spans="2:4" x14ac:dyDescent="0.4">
      <c r="B497" s="218">
        <v>495</v>
      </c>
      <c r="C497" s="82" t="s">
        <v>92</v>
      </c>
      <c r="D497" s="82" t="s">
        <v>109</v>
      </c>
    </row>
    <row r="498" spans="2:4" x14ac:dyDescent="0.4">
      <c r="B498" s="218">
        <v>496</v>
      </c>
      <c r="C498" s="82" t="s">
        <v>91</v>
      </c>
      <c r="D498" s="82" t="s">
        <v>107</v>
      </c>
    </row>
    <row r="499" spans="2:4" x14ac:dyDescent="0.4">
      <c r="B499" s="218">
        <v>497</v>
      </c>
      <c r="C499" s="82" t="s">
        <v>94</v>
      </c>
      <c r="D499" s="82" t="s">
        <v>122</v>
      </c>
    </row>
    <row r="500" spans="2:4" x14ac:dyDescent="0.4">
      <c r="B500" s="218">
        <v>498</v>
      </c>
      <c r="C500" s="82" t="s">
        <v>94</v>
      </c>
      <c r="D500" s="79" t="s">
        <v>122</v>
      </c>
    </row>
    <row r="501" spans="2:4" x14ac:dyDescent="0.4">
      <c r="B501" s="218">
        <v>499</v>
      </c>
      <c r="C501" s="82" t="s">
        <v>91</v>
      </c>
      <c r="D501" s="82" t="s">
        <v>107</v>
      </c>
    </row>
    <row r="502" spans="2:4" x14ac:dyDescent="0.4">
      <c r="B502" s="218">
        <v>500</v>
      </c>
      <c r="C502" s="82" t="s">
        <v>92</v>
      </c>
      <c r="D502" s="82" t="s">
        <v>116</v>
      </c>
    </row>
    <row r="503" spans="2:4" x14ac:dyDescent="0.4">
      <c r="B503" s="218">
        <v>501</v>
      </c>
      <c r="C503" s="82" t="s">
        <v>91</v>
      </c>
      <c r="D503" s="2" t="s">
        <v>107</v>
      </c>
    </row>
    <row r="504" spans="2:4" x14ac:dyDescent="0.4">
      <c r="B504" s="218">
        <v>502</v>
      </c>
      <c r="C504" s="82" t="s">
        <v>95</v>
      </c>
      <c r="D504" s="82" t="s">
        <v>120</v>
      </c>
    </row>
    <row r="505" spans="2:4" x14ac:dyDescent="0.4">
      <c r="B505" s="218">
        <v>503</v>
      </c>
      <c r="C505" s="82" t="s">
        <v>88</v>
      </c>
      <c r="D505" s="82" t="s">
        <v>117</v>
      </c>
    </row>
    <row r="506" spans="2:4" x14ac:dyDescent="0.4">
      <c r="B506" s="219">
        <v>504</v>
      </c>
      <c r="C506" s="70" t="s">
        <v>163</v>
      </c>
      <c r="D506" s="70" t="s">
        <v>163</v>
      </c>
    </row>
    <row r="507" spans="2:4" x14ac:dyDescent="0.4">
      <c r="B507" s="218">
        <v>505</v>
      </c>
      <c r="C507" s="82" t="s">
        <v>95</v>
      </c>
      <c r="D507" s="82" t="s">
        <v>120</v>
      </c>
    </row>
    <row r="508" spans="2:4" x14ac:dyDescent="0.4">
      <c r="B508" s="213">
        <v>506</v>
      </c>
      <c r="C508" s="2" t="s">
        <v>92</v>
      </c>
      <c r="D508" s="2" t="s">
        <v>116</v>
      </c>
    </row>
    <row r="509" spans="2:4" x14ac:dyDescent="0.4">
      <c r="B509" s="213">
        <v>507</v>
      </c>
      <c r="C509" s="2" t="s">
        <v>92</v>
      </c>
      <c r="D509" s="2" t="s">
        <v>109</v>
      </c>
    </row>
    <row r="510" spans="2:4" x14ac:dyDescent="0.4">
      <c r="B510" s="215">
        <v>508</v>
      </c>
      <c r="C510" s="70" t="s">
        <v>163</v>
      </c>
      <c r="D510" s="70" t="s">
        <v>163</v>
      </c>
    </row>
    <row r="511" spans="2:4" x14ac:dyDescent="0.4">
      <c r="B511" s="213">
        <v>509</v>
      </c>
      <c r="C511" s="2" t="s">
        <v>92</v>
      </c>
      <c r="D511" s="2" t="s">
        <v>109</v>
      </c>
    </row>
    <row r="512" spans="2:4" x14ac:dyDescent="0.4">
      <c r="B512" s="213">
        <v>510</v>
      </c>
      <c r="C512" s="2" t="s">
        <v>88</v>
      </c>
      <c r="D512" s="2" t="s">
        <v>108</v>
      </c>
    </row>
    <row r="513" spans="2:4" x14ac:dyDescent="0.4">
      <c r="B513" s="213">
        <v>511</v>
      </c>
      <c r="C513" s="2" t="s">
        <v>92</v>
      </c>
      <c r="D513" s="2" t="s">
        <v>109</v>
      </c>
    </row>
    <row r="514" spans="2:4" x14ac:dyDescent="0.4">
      <c r="B514" s="213">
        <v>512</v>
      </c>
      <c r="C514" s="2" t="s">
        <v>91</v>
      </c>
      <c r="D514" s="2" t="s">
        <v>107</v>
      </c>
    </row>
    <row r="515" spans="2:4" x14ac:dyDescent="0.4">
      <c r="B515" s="213">
        <v>513</v>
      </c>
      <c r="C515" s="2" t="s">
        <v>95</v>
      </c>
      <c r="D515" s="2" t="s">
        <v>112</v>
      </c>
    </row>
    <row r="516" spans="2:4" x14ac:dyDescent="0.4">
      <c r="B516" s="215">
        <v>514</v>
      </c>
      <c r="C516" s="70" t="s">
        <v>163</v>
      </c>
      <c r="D516" s="70" t="s">
        <v>163</v>
      </c>
    </row>
    <row r="517" spans="2:4" x14ac:dyDescent="0.4">
      <c r="B517" s="213">
        <v>515</v>
      </c>
      <c r="C517" s="2" t="s">
        <v>92</v>
      </c>
      <c r="D517" s="2" t="s">
        <v>109</v>
      </c>
    </row>
    <row r="518" spans="2:4" x14ac:dyDescent="0.4">
      <c r="B518" s="213">
        <v>516</v>
      </c>
      <c r="C518" s="2" t="s">
        <v>91</v>
      </c>
      <c r="D518" s="2" t="s">
        <v>180</v>
      </c>
    </row>
    <row r="519" spans="2:4" x14ac:dyDescent="0.4">
      <c r="B519" s="213">
        <v>517</v>
      </c>
      <c r="C519" s="2" t="s">
        <v>91</v>
      </c>
      <c r="D519" s="2" t="s">
        <v>180</v>
      </c>
    </row>
    <row r="520" spans="2:4" x14ac:dyDescent="0.4">
      <c r="B520" s="213">
        <v>518</v>
      </c>
      <c r="C520" s="2" t="s">
        <v>90</v>
      </c>
      <c r="D520" s="3" t="s">
        <v>106</v>
      </c>
    </row>
    <row r="521" spans="2:4" x14ac:dyDescent="0.4">
      <c r="B521" s="213">
        <v>519</v>
      </c>
      <c r="C521" s="2" t="s">
        <v>92</v>
      </c>
      <c r="D521" s="2" t="s">
        <v>109</v>
      </c>
    </row>
    <row r="522" spans="2:4" x14ac:dyDescent="0.4">
      <c r="B522" s="213">
        <v>520</v>
      </c>
      <c r="C522" s="2" t="s">
        <v>91</v>
      </c>
      <c r="D522" s="2" t="s">
        <v>107</v>
      </c>
    </row>
    <row r="523" spans="2:4" x14ac:dyDescent="0.4">
      <c r="B523" s="213">
        <v>521</v>
      </c>
      <c r="C523" s="2" t="s">
        <v>94</v>
      </c>
      <c r="D523" s="2" t="s">
        <v>122</v>
      </c>
    </row>
    <row r="524" spans="2:4" x14ac:dyDescent="0.4">
      <c r="B524" s="213">
        <v>522</v>
      </c>
      <c r="C524" s="2" t="s">
        <v>88</v>
      </c>
      <c r="D524" s="2" t="s">
        <v>108</v>
      </c>
    </row>
    <row r="525" spans="2:4" x14ac:dyDescent="0.4">
      <c r="B525" s="218">
        <v>523</v>
      </c>
      <c r="C525" s="82" t="s">
        <v>95</v>
      </c>
      <c r="D525" s="82" t="s">
        <v>120</v>
      </c>
    </row>
    <row r="526" spans="2:4" x14ac:dyDescent="0.4">
      <c r="B526" s="218">
        <v>524</v>
      </c>
      <c r="C526" s="82" t="s">
        <v>95</v>
      </c>
      <c r="D526" s="82" t="s">
        <v>112</v>
      </c>
    </row>
    <row r="527" spans="2:4" x14ac:dyDescent="0.4">
      <c r="B527" s="218">
        <v>525</v>
      </c>
      <c r="C527" s="82" t="s">
        <v>91</v>
      </c>
      <c r="D527" s="82" t="s">
        <v>180</v>
      </c>
    </row>
    <row r="528" spans="2:4" x14ac:dyDescent="0.4">
      <c r="B528" s="219">
        <v>526</v>
      </c>
      <c r="C528" s="70" t="s">
        <v>163</v>
      </c>
      <c r="D528" s="70" t="s">
        <v>163</v>
      </c>
    </row>
    <row r="529" spans="2:4" x14ac:dyDescent="0.4">
      <c r="B529" s="218">
        <v>527</v>
      </c>
      <c r="C529" s="79" t="s">
        <v>92</v>
      </c>
      <c r="D529" s="79" t="s">
        <v>116</v>
      </c>
    </row>
    <row r="530" spans="2:4" x14ac:dyDescent="0.4">
      <c r="B530" s="218">
        <v>528</v>
      </c>
      <c r="C530" s="82" t="s">
        <v>91</v>
      </c>
      <c r="D530" s="82" t="s">
        <v>180</v>
      </c>
    </row>
    <row r="531" spans="2:4" x14ac:dyDescent="0.4">
      <c r="B531" s="218">
        <v>529</v>
      </c>
      <c r="C531" s="82" t="s">
        <v>94</v>
      </c>
      <c r="D531" s="82" t="s">
        <v>122</v>
      </c>
    </row>
    <row r="532" spans="2:4" x14ac:dyDescent="0.4">
      <c r="B532" s="218">
        <v>530</v>
      </c>
      <c r="C532" s="82" t="s">
        <v>97</v>
      </c>
      <c r="D532" s="82" t="s">
        <v>118</v>
      </c>
    </row>
    <row r="533" spans="2:4" x14ac:dyDescent="0.4">
      <c r="B533" s="218">
        <v>531</v>
      </c>
      <c r="C533" s="82" t="s">
        <v>88</v>
      </c>
      <c r="D533" s="82" t="s">
        <v>108</v>
      </c>
    </row>
    <row r="534" spans="2:4" x14ac:dyDescent="0.4">
      <c r="B534" s="218">
        <v>532</v>
      </c>
      <c r="C534" s="82" t="s">
        <v>88</v>
      </c>
      <c r="D534" s="82" t="s">
        <v>117</v>
      </c>
    </row>
    <row r="535" spans="2:4" x14ac:dyDescent="0.4">
      <c r="B535" s="218">
        <v>533</v>
      </c>
      <c r="C535" s="82" t="s">
        <v>88</v>
      </c>
      <c r="D535" s="82" t="s">
        <v>108</v>
      </c>
    </row>
    <row r="536" spans="2:4" x14ac:dyDescent="0.4">
      <c r="B536" s="218">
        <v>534</v>
      </c>
      <c r="C536" s="82" t="s">
        <v>91</v>
      </c>
      <c r="D536" s="82" t="s">
        <v>107</v>
      </c>
    </row>
    <row r="537" spans="2:4" x14ac:dyDescent="0.4">
      <c r="B537" s="246">
        <v>535</v>
      </c>
      <c r="C537" s="94" t="s">
        <v>95</v>
      </c>
      <c r="D537" s="94" t="s">
        <v>112</v>
      </c>
    </row>
    <row r="538" spans="2:4" x14ac:dyDescent="0.4">
      <c r="B538" s="219">
        <v>536</v>
      </c>
      <c r="C538" s="70" t="s">
        <v>163</v>
      </c>
      <c r="D538" s="70" t="s">
        <v>163</v>
      </c>
    </row>
    <row r="539" spans="2:4" x14ac:dyDescent="0.4">
      <c r="B539" s="246">
        <v>537</v>
      </c>
      <c r="C539" s="82" t="s">
        <v>91</v>
      </c>
      <c r="D539" s="82" t="s">
        <v>107</v>
      </c>
    </row>
    <row r="540" spans="2:4" x14ac:dyDescent="0.4">
      <c r="B540" s="218">
        <v>538</v>
      </c>
      <c r="C540" s="82" t="s">
        <v>91</v>
      </c>
      <c r="D540" s="82" t="s">
        <v>107</v>
      </c>
    </row>
    <row r="541" spans="2:4" x14ac:dyDescent="0.4">
      <c r="B541" s="218">
        <v>539</v>
      </c>
      <c r="C541" s="82" t="s">
        <v>91</v>
      </c>
      <c r="D541" s="82" t="s">
        <v>107</v>
      </c>
    </row>
    <row r="542" spans="2:4" x14ac:dyDescent="0.4">
      <c r="B542" s="218">
        <v>540</v>
      </c>
      <c r="C542" s="82" t="s">
        <v>91</v>
      </c>
      <c r="D542" s="82" t="s">
        <v>108</v>
      </c>
    </row>
    <row r="543" spans="2:4" ht="21.6" x14ac:dyDescent="0.4">
      <c r="B543" s="218">
        <v>541</v>
      </c>
      <c r="C543" s="79" t="s">
        <v>228</v>
      </c>
      <c r="D543" s="79" t="s">
        <v>229</v>
      </c>
    </row>
    <row r="544" spans="2:4" x14ac:dyDescent="0.4">
      <c r="B544" s="218">
        <v>542</v>
      </c>
      <c r="C544" s="82" t="s">
        <v>94</v>
      </c>
      <c r="D544" s="82" t="s">
        <v>111</v>
      </c>
    </row>
    <row r="545" spans="2:4" x14ac:dyDescent="0.4">
      <c r="B545" s="218">
        <v>543</v>
      </c>
      <c r="C545" s="82" t="s">
        <v>88</v>
      </c>
      <c r="D545" s="82" t="s">
        <v>108</v>
      </c>
    </row>
    <row r="546" spans="2:4" x14ac:dyDescent="0.4">
      <c r="B546" s="218">
        <v>544</v>
      </c>
      <c r="C546" s="82" t="s">
        <v>94</v>
      </c>
      <c r="D546" s="82" t="s">
        <v>111</v>
      </c>
    </row>
    <row r="547" spans="2:4" x14ac:dyDescent="0.4">
      <c r="B547" s="219">
        <v>545</v>
      </c>
      <c r="C547" s="70" t="s">
        <v>163</v>
      </c>
      <c r="D547" s="70" t="s">
        <v>163</v>
      </c>
    </row>
    <row r="548" spans="2:4" x14ac:dyDescent="0.4">
      <c r="B548" s="218">
        <v>546</v>
      </c>
      <c r="C548" s="82" t="s">
        <v>94</v>
      </c>
      <c r="D548" s="82" t="s">
        <v>122</v>
      </c>
    </row>
    <row r="549" spans="2:4" x14ac:dyDescent="0.4">
      <c r="B549" s="218">
        <v>547</v>
      </c>
      <c r="C549" s="82" t="s">
        <v>94</v>
      </c>
      <c r="D549" s="82" t="s">
        <v>122</v>
      </c>
    </row>
    <row r="550" spans="2:4" x14ac:dyDescent="0.4">
      <c r="B550" s="218">
        <v>548</v>
      </c>
      <c r="C550" s="94" t="s">
        <v>95</v>
      </c>
      <c r="D550" s="82" t="s">
        <v>120</v>
      </c>
    </row>
    <row r="551" spans="2:4" x14ac:dyDescent="0.4">
      <c r="B551" s="218">
        <v>549</v>
      </c>
      <c r="C551" s="82" t="s">
        <v>91</v>
      </c>
      <c r="D551" s="82" t="s">
        <v>107</v>
      </c>
    </row>
    <row r="552" spans="2:4" x14ac:dyDescent="0.4">
      <c r="B552" s="213">
        <v>550</v>
      </c>
      <c r="C552" s="2" t="s">
        <v>92</v>
      </c>
      <c r="D552" s="2" t="s">
        <v>109</v>
      </c>
    </row>
    <row r="553" spans="2:4" x14ac:dyDescent="0.4">
      <c r="B553" s="213">
        <v>551</v>
      </c>
      <c r="C553" s="82" t="s">
        <v>94</v>
      </c>
      <c r="D553" s="82" t="s">
        <v>111</v>
      </c>
    </row>
    <row r="554" spans="2:4" x14ac:dyDescent="0.4">
      <c r="B554" s="213">
        <v>552</v>
      </c>
      <c r="C554" s="2" t="s">
        <v>97</v>
      </c>
      <c r="D554" s="3" t="s">
        <v>118</v>
      </c>
    </row>
    <row r="555" spans="2:4" x14ac:dyDescent="0.4">
      <c r="B555" s="213">
        <v>553</v>
      </c>
      <c r="C555" s="82" t="s">
        <v>88</v>
      </c>
      <c r="D555" s="2" t="s">
        <v>108</v>
      </c>
    </row>
    <row r="556" spans="2:4" x14ac:dyDescent="0.4">
      <c r="B556" s="213">
        <v>554</v>
      </c>
      <c r="C556" s="2" t="s">
        <v>92</v>
      </c>
      <c r="D556" s="2" t="s">
        <v>109</v>
      </c>
    </row>
    <row r="557" spans="2:4" x14ac:dyDescent="0.4">
      <c r="B557" s="213">
        <v>555</v>
      </c>
      <c r="C557" s="82" t="s">
        <v>95</v>
      </c>
      <c r="D557" s="3" t="s">
        <v>120</v>
      </c>
    </row>
    <row r="558" spans="2:4" x14ac:dyDescent="0.4">
      <c r="B558" s="213">
        <v>556</v>
      </c>
      <c r="C558" s="82" t="s">
        <v>95</v>
      </c>
      <c r="D558" s="2" t="s">
        <v>120</v>
      </c>
    </row>
    <row r="559" spans="2:4" x14ac:dyDescent="0.4">
      <c r="B559" s="218">
        <v>557</v>
      </c>
      <c r="C559" s="82" t="s">
        <v>94</v>
      </c>
      <c r="D559" s="82" t="s">
        <v>122</v>
      </c>
    </row>
    <row r="560" spans="2:4" x14ac:dyDescent="0.4">
      <c r="B560" s="218">
        <v>558</v>
      </c>
      <c r="C560" s="82" t="s">
        <v>94</v>
      </c>
      <c r="D560" s="79" t="s">
        <v>124</v>
      </c>
    </row>
    <row r="561" spans="2:4" x14ac:dyDescent="0.4">
      <c r="B561" s="218">
        <v>559</v>
      </c>
      <c r="C561" s="82" t="s">
        <v>94</v>
      </c>
      <c r="D561" s="82" t="s">
        <v>122</v>
      </c>
    </row>
    <row r="562" spans="2:4" x14ac:dyDescent="0.4">
      <c r="B562" s="218">
        <v>560</v>
      </c>
      <c r="C562" s="82" t="s">
        <v>94</v>
      </c>
      <c r="D562" s="82" t="s">
        <v>122</v>
      </c>
    </row>
    <row r="563" spans="2:4" x14ac:dyDescent="0.4">
      <c r="B563" s="218">
        <v>561</v>
      </c>
      <c r="C563" s="82" t="s">
        <v>94</v>
      </c>
      <c r="D563" s="82" t="s">
        <v>124</v>
      </c>
    </row>
    <row r="564" spans="2:4" x14ac:dyDescent="0.4">
      <c r="B564" s="218">
        <v>562</v>
      </c>
      <c r="C564" s="82" t="s">
        <v>95</v>
      </c>
      <c r="D564" s="82" t="s">
        <v>112</v>
      </c>
    </row>
    <row r="565" spans="2:4" x14ac:dyDescent="0.4">
      <c r="B565" s="218">
        <v>563</v>
      </c>
      <c r="C565" s="82" t="s">
        <v>93</v>
      </c>
      <c r="D565" s="82" t="s">
        <v>110</v>
      </c>
    </row>
    <row r="566" spans="2:4" x14ac:dyDescent="0.4">
      <c r="B566" s="218">
        <v>564</v>
      </c>
      <c r="C566" s="82" t="s">
        <v>88</v>
      </c>
      <c r="D566" s="82" t="s">
        <v>117</v>
      </c>
    </row>
    <row r="567" spans="2:4" x14ac:dyDescent="0.4">
      <c r="B567" s="218">
        <v>565</v>
      </c>
      <c r="C567" s="82" t="s">
        <v>94</v>
      </c>
      <c r="D567" s="82" t="s">
        <v>122</v>
      </c>
    </row>
    <row r="568" spans="2:4" x14ac:dyDescent="0.4">
      <c r="B568" s="218">
        <v>566</v>
      </c>
      <c r="C568" s="82" t="s">
        <v>91</v>
      </c>
      <c r="D568" s="82" t="s">
        <v>107</v>
      </c>
    </row>
    <row r="569" spans="2:4" x14ac:dyDescent="0.4">
      <c r="B569" s="218">
        <v>567</v>
      </c>
      <c r="C569" s="82" t="s">
        <v>92</v>
      </c>
      <c r="D569" s="82" t="s">
        <v>109</v>
      </c>
    </row>
    <row r="570" spans="2:4" x14ac:dyDescent="0.4">
      <c r="B570" s="219">
        <v>568</v>
      </c>
      <c r="C570" s="70" t="s">
        <v>163</v>
      </c>
      <c r="D570" s="70" t="s">
        <v>163</v>
      </c>
    </row>
    <row r="571" spans="2:4" x14ac:dyDescent="0.4">
      <c r="B571" s="218">
        <v>569</v>
      </c>
      <c r="C571" s="82" t="s">
        <v>94</v>
      </c>
      <c r="D571" s="82" t="s">
        <v>111</v>
      </c>
    </row>
    <row r="572" spans="2:4" x14ac:dyDescent="0.4">
      <c r="B572" s="218">
        <v>570</v>
      </c>
      <c r="C572" s="82" t="s">
        <v>88</v>
      </c>
      <c r="D572" s="82" t="s">
        <v>117</v>
      </c>
    </row>
    <row r="573" spans="2:4" x14ac:dyDescent="0.4">
      <c r="B573" s="213">
        <v>571</v>
      </c>
      <c r="C573" s="2" t="s">
        <v>88</v>
      </c>
      <c r="D573" s="2" t="s">
        <v>108</v>
      </c>
    </row>
    <row r="574" spans="2:4" x14ac:dyDescent="0.4">
      <c r="B574" s="213">
        <v>572</v>
      </c>
      <c r="C574" s="2" t="s">
        <v>94</v>
      </c>
      <c r="D574" s="2" t="s">
        <v>111</v>
      </c>
    </row>
    <row r="575" spans="2:4" x14ac:dyDescent="0.4">
      <c r="B575" s="213">
        <v>573</v>
      </c>
      <c r="C575" s="2" t="s">
        <v>94</v>
      </c>
      <c r="D575" s="2" t="s">
        <v>111</v>
      </c>
    </row>
    <row r="576" spans="2:4" x14ac:dyDescent="0.4">
      <c r="B576" s="213">
        <v>574</v>
      </c>
      <c r="C576" s="2" t="s">
        <v>97</v>
      </c>
      <c r="D576" s="2" t="s">
        <v>118</v>
      </c>
    </row>
    <row r="577" spans="2:4" x14ac:dyDescent="0.4">
      <c r="B577" s="213">
        <v>575</v>
      </c>
      <c r="C577" s="2" t="s">
        <v>91</v>
      </c>
      <c r="D577" s="2" t="s">
        <v>107</v>
      </c>
    </row>
    <row r="578" spans="2:4" x14ac:dyDescent="0.4">
      <c r="B578" s="213">
        <v>576</v>
      </c>
      <c r="C578" s="2" t="s">
        <v>94</v>
      </c>
      <c r="D578" s="2" t="s">
        <v>111</v>
      </c>
    </row>
    <row r="579" spans="2:4" x14ac:dyDescent="0.4">
      <c r="B579" s="213">
        <v>577</v>
      </c>
      <c r="C579" s="2" t="s">
        <v>94</v>
      </c>
      <c r="D579" s="2" t="s">
        <v>122</v>
      </c>
    </row>
    <row r="580" spans="2:4" x14ac:dyDescent="0.4">
      <c r="B580" s="213">
        <v>578</v>
      </c>
      <c r="C580" s="2" t="s">
        <v>94</v>
      </c>
      <c r="D580" s="3" t="s">
        <v>122</v>
      </c>
    </row>
    <row r="581" spans="2:4" x14ac:dyDescent="0.4">
      <c r="B581" s="213">
        <v>579</v>
      </c>
      <c r="C581" s="2" t="s">
        <v>90</v>
      </c>
      <c r="D581" s="3" t="s">
        <v>106</v>
      </c>
    </row>
    <row r="582" spans="2:4" x14ac:dyDescent="0.4">
      <c r="B582" s="213">
        <v>580</v>
      </c>
      <c r="C582" s="2" t="s">
        <v>94</v>
      </c>
      <c r="D582" s="2" t="s">
        <v>111</v>
      </c>
    </row>
    <row r="583" spans="2:4" x14ac:dyDescent="0.4">
      <c r="B583" s="215">
        <v>581</v>
      </c>
      <c r="C583" s="70" t="s">
        <v>163</v>
      </c>
      <c r="D583" s="70" t="s">
        <v>163</v>
      </c>
    </row>
    <row r="584" spans="2:4" x14ac:dyDescent="0.4">
      <c r="B584" s="215">
        <v>582</v>
      </c>
      <c r="C584" s="70" t="s">
        <v>163</v>
      </c>
      <c r="D584" s="70" t="s">
        <v>163</v>
      </c>
    </row>
    <row r="585" spans="2:4" x14ac:dyDescent="0.4">
      <c r="B585" s="213">
        <v>583</v>
      </c>
      <c r="C585" s="2" t="s">
        <v>88</v>
      </c>
      <c r="D585" s="2" t="s">
        <v>117</v>
      </c>
    </row>
    <row r="586" spans="2:4" x14ac:dyDescent="0.4">
      <c r="B586" s="213">
        <v>584</v>
      </c>
      <c r="C586" s="2" t="s">
        <v>94</v>
      </c>
      <c r="D586" s="2" t="s">
        <v>122</v>
      </c>
    </row>
    <row r="587" spans="2:4" x14ac:dyDescent="0.4">
      <c r="B587" s="213">
        <v>585</v>
      </c>
      <c r="C587" s="2" t="s">
        <v>91</v>
      </c>
      <c r="D587" s="2" t="s">
        <v>107</v>
      </c>
    </row>
    <row r="588" spans="2:4" x14ac:dyDescent="0.4">
      <c r="B588" s="215">
        <v>586</v>
      </c>
      <c r="C588" s="70" t="s">
        <v>163</v>
      </c>
      <c r="D588" s="70" t="s">
        <v>163</v>
      </c>
    </row>
    <row r="589" spans="2:4" x14ac:dyDescent="0.4">
      <c r="B589" s="213">
        <v>587</v>
      </c>
      <c r="C589" s="2" t="s">
        <v>94</v>
      </c>
      <c r="D589" s="3" t="s">
        <v>111</v>
      </c>
    </row>
    <row r="590" spans="2:4" x14ac:dyDescent="0.4">
      <c r="B590" s="213">
        <v>588</v>
      </c>
      <c r="C590" s="2" t="s">
        <v>95</v>
      </c>
      <c r="D590" s="3" t="s">
        <v>112</v>
      </c>
    </row>
    <row r="591" spans="2:4" x14ac:dyDescent="0.4">
      <c r="B591" s="213">
        <v>589</v>
      </c>
      <c r="C591" s="2" t="s">
        <v>94</v>
      </c>
      <c r="D591" s="2" t="s">
        <v>122</v>
      </c>
    </row>
    <row r="592" spans="2:4" x14ac:dyDescent="0.4">
      <c r="B592" s="213">
        <v>590</v>
      </c>
      <c r="C592" s="2" t="s">
        <v>94</v>
      </c>
      <c r="D592" s="2" t="s">
        <v>111</v>
      </c>
    </row>
    <row r="593" spans="2:4" x14ac:dyDescent="0.4">
      <c r="B593" s="215">
        <v>591</v>
      </c>
      <c r="C593" s="70" t="s">
        <v>163</v>
      </c>
      <c r="D593" s="70" t="s">
        <v>163</v>
      </c>
    </row>
    <row r="594" spans="2:4" x14ac:dyDescent="0.4">
      <c r="B594" s="213">
        <v>592</v>
      </c>
      <c r="C594" s="2" t="s">
        <v>94</v>
      </c>
      <c r="D594" s="2" t="s">
        <v>124</v>
      </c>
    </row>
    <row r="595" spans="2:4" x14ac:dyDescent="0.4">
      <c r="B595" s="213">
        <v>593</v>
      </c>
      <c r="C595" s="2" t="s">
        <v>95</v>
      </c>
      <c r="D595" s="2" t="s">
        <v>112</v>
      </c>
    </row>
    <row r="596" spans="2:4" x14ac:dyDescent="0.4">
      <c r="B596" s="218">
        <v>594</v>
      </c>
      <c r="C596" s="82" t="s">
        <v>88</v>
      </c>
      <c r="D596" s="79" t="s">
        <v>108</v>
      </c>
    </row>
    <row r="597" spans="2:4" x14ac:dyDescent="0.4">
      <c r="B597" s="218">
        <v>595</v>
      </c>
      <c r="C597" s="82" t="s">
        <v>95</v>
      </c>
      <c r="D597" s="82" t="s">
        <v>112</v>
      </c>
    </row>
    <row r="598" spans="2:4" x14ac:dyDescent="0.4">
      <c r="B598" s="218">
        <v>596</v>
      </c>
      <c r="C598" s="82" t="s">
        <v>94</v>
      </c>
      <c r="D598" s="82" t="s">
        <v>122</v>
      </c>
    </row>
    <row r="599" spans="2:4" x14ac:dyDescent="0.4">
      <c r="B599" s="218">
        <v>597</v>
      </c>
      <c r="C599" s="82" t="s">
        <v>88</v>
      </c>
      <c r="D599" s="82" t="s">
        <v>108</v>
      </c>
    </row>
    <row r="600" spans="2:4" x14ac:dyDescent="0.4">
      <c r="B600" s="218">
        <v>598</v>
      </c>
      <c r="C600" s="82" t="s">
        <v>92</v>
      </c>
      <c r="D600" s="82" t="s">
        <v>116</v>
      </c>
    </row>
    <row r="601" spans="2:4" x14ac:dyDescent="0.4">
      <c r="B601" s="218">
        <v>599</v>
      </c>
      <c r="C601" s="82" t="s">
        <v>94</v>
      </c>
      <c r="D601" s="82" t="s">
        <v>122</v>
      </c>
    </row>
    <row r="602" spans="2:4" x14ac:dyDescent="0.4">
      <c r="B602" s="218">
        <v>600</v>
      </c>
      <c r="C602" s="82" t="s">
        <v>88</v>
      </c>
      <c r="D602" s="82" t="s">
        <v>117</v>
      </c>
    </row>
    <row r="603" spans="2:4" x14ac:dyDescent="0.4">
      <c r="B603" s="219">
        <v>601</v>
      </c>
      <c r="C603" s="70" t="s">
        <v>163</v>
      </c>
      <c r="D603" s="70" t="s">
        <v>163</v>
      </c>
    </row>
    <row r="604" spans="2:4" x14ac:dyDescent="0.4">
      <c r="B604" s="218">
        <v>602</v>
      </c>
      <c r="C604" s="82" t="s">
        <v>91</v>
      </c>
      <c r="D604" s="82" t="s">
        <v>107</v>
      </c>
    </row>
    <row r="605" spans="2:4" x14ac:dyDescent="0.4">
      <c r="B605" s="218">
        <v>603</v>
      </c>
      <c r="C605" s="82" t="s">
        <v>95</v>
      </c>
      <c r="D605" s="82" t="s">
        <v>120</v>
      </c>
    </row>
    <row r="606" spans="2:4" x14ac:dyDescent="0.4">
      <c r="B606" s="219">
        <v>604</v>
      </c>
      <c r="C606" s="70" t="s">
        <v>163</v>
      </c>
      <c r="D606" s="70" t="s">
        <v>163</v>
      </c>
    </row>
    <row r="607" spans="2:4" x14ac:dyDescent="0.4">
      <c r="B607" s="218">
        <v>605</v>
      </c>
      <c r="C607" s="2" t="s">
        <v>95</v>
      </c>
      <c r="D607" s="2" t="s">
        <v>112</v>
      </c>
    </row>
    <row r="608" spans="2:4" x14ac:dyDescent="0.4">
      <c r="B608" s="218">
        <v>606</v>
      </c>
      <c r="C608" s="2" t="s">
        <v>95</v>
      </c>
      <c r="D608" s="2" t="s">
        <v>112</v>
      </c>
    </row>
    <row r="609" spans="2:4" x14ac:dyDescent="0.4">
      <c r="B609" s="218">
        <v>607</v>
      </c>
      <c r="C609" s="2" t="s">
        <v>88</v>
      </c>
      <c r="D609" s="2" t="s">
        <v>105</v>
      </c>
    </row>
    <row r="610" spans="2:4" x14ac:dyDescent="0.4">
      <c r="B610" s="218">
        <v>608</v>
      </c>
      <c r="C610" s="2" t="s">
        <v>95</v>
      </c>
      <c r="D610" s="2" t="s">
        <v>120</v>
      </c>
    </row>
    <row r="611" spans="2:4" x14ac:dyDescent="0.4">
      <c r="B611" s="219">
        <v>609</v>
      </c>
      <c r="C611" s="70" t="s">
        <v>163</v>
      </c>
      <c r="D611" s="70" t="s">
        <v>163</v>
      </c>
    </row>
    <row r="612" spans="2:4" x14ac:dyDescent="0.4">
      <c r="B612" s="219">
        <v>610</v>
      </c>
      <c r="C612" s="70" t="s">
        <v>163</v>
      </c>
      <c r="D612" s="70" t="s">
        <v>163</v>
      </c>
    </row>
    <row r="613" spans="2:4" x14ac:dyDescent="0.4">
      <c r="B613" s="218">
        <v>611</v>
      </c>
      <c r="C613" s="2" t="s">
        <v>94</v>
      </c>
      <c r="D613" s="2" t="s">
        <v>122</v>
      </c>
    </row>
    <row r="614" spans="2:4" x14ac:dyDescent="0.4">
      <c r="B614" s="218">
        <v>612</v>
      </c>
      <c r="C614" s="2" t="s">
        <v>91</v>
      </c>
      <c r="D614" s="2" t="s">
        <v>107</v>
      </c>
    </row>
    <row r="615" spans="2:4" x14ac:dyDescent="0.4">
      <c r="B615" s="218">
        <v>613</v>
      </c>
      <c r="C615" s="2" t="s">
        <v>94</v>
      </c>
      <c r="D615" s="2" t="s">
        <v>111</v>
      </c>
    </row>
    <row r="616" spans="2:4" x14ac:dyDescent="0.4">
      <c r="B616" s="218">
        <v>614</v>
      </c>
      <c r="C616" s="2" t="s">
        <v>90</v>
      </c>
      <c r="D616" s="2" t="s">
        <v>106</v>
      </c>
    </row>
    <row r="617" spans="2:4" x14ac:dyDescent="0.4">
      <c r="B617" s="218">
        <v>615</v>
      </c>
      <c r="C617" s="2" t="s">
        <v>88</v>
      </c>
      <c r="D617" s="2" t="s">
        <v>117</v>
      </c>
    </row>
    <row r="618" spans="2:4" x14ac:dyDescent="0.4">
      <c r="B618" s="218">
        <v>616</v>
      </c>
      <c r="C618" s="2" t="s">
        <v>95</v>
      </c>
      <c r="D618" s="2" t="s">
        <v>112</v>
      </c>
    </row>
    <row r="619" spans="2:4" x14ac:dyDescent="0.4">
      <c r="B619" s="218">
        <v>617</v>
      </c>
      <c r="C619" s="2" t="s">
        <v>95</v>
      </c>
      <c r="D619" s="2" t="s">
        <v>112</v>
      </c>
    </row>
    <row r="620" spans="2:4" x14ac:dyDescent="0.4">
      <c r="B620" s="218">
        <v>618</v>
      </c>
      <c r="C620" s="2" t="s">
        <v>88</v>
      </c>
      <c r="D620" s="2" t="s">
        <v>108</v>
      </c>
    </row>
    <row r="621" spans="2:4" x14ac:dyDescent="0.4">
      <c r="B621" s="218">
        <v>619</v>
      </c>
      <c r="C621" s="82" t="s">
        <v>91</v>
      </c>
      <c r="D621" s="82" t="s">
        <v>107</v>
      </c>
    </row>
    <row r="622" spans="2:4" x14ac:dyDescent="0.4">
      <c r="B622" s="219">
        <v>620</v>
      </c>
      <c r="C622" s="70" t="s">
        <v>163</v>
      </c>
      <c r="D622" s="70" t="s">
        <v>163</v>
      </c>
    </row>
    <row r="623" spans="2:4" x14ac:dyDescent="0.4">
      <c r="B623" s="218">
        <v>621</v>
      </c>
      <c r="C623" s="82" t="s">
        <v>94</v>
      </c>
      <c r="D623" s="82" t="s">
        <v>122</v>
      </c>
    </row>
    <row r="624" spans="2:4" x14ac:dyDescent="0.4">
      <c r="B624" s="218">
        <v>622</v>
      </c>
      <c r="C624" s="82" t="s">
        <v>95</v>
      </c>
      <c r="D624" s="82" t="s">
        <v>112</v>
      </c>
    </row>
    <row r="625" spans="2:4" x14ac:dyDescent="0.4">
      <c r="B625" s="218">
        <v>623</v>
      </c>
      <c r="C625" s="82" t="s">
        <v>95</v>
      </c>
      <c r="D625" s="82" t="s">
        <v>112</v>
      </c>
    </row>
    <row r="626" spans="2:4" ht="21.6" x14ac:dyDescent="0.4">
      <c r="B626" s="218">
        <v>624</v>
      </c>
      <c r="C626" s="79" t="s">
        <v>123</v>
      </c>
      <c r="D626" s="79" t="s">
        <v>522</v>
      </c>
    </row>
    <row r="627" spans="2:4" x14ac:dyDescent="0.4">
      <c r="B627" s="218">
        <v>625</v>
      </c>
      <c r="C627" s="82" t="s">
        <v>88</v>
      </c>
      <c r="D627" s="82" t="s">
        <v>108</v>
      </c>
    </row>
    <row r="628" spans="2:4" x14ac:dyDescent="0.4">
      <c r="B628" s="218">
        <v>626</v>
      </c>
      <c r="C628" s="82" t="s">
        <v>91</v>
      </c>
      <c r="D628" s="82" t="s">
        <v>180</v>
      </c>
    </row>
    <row r="629" spans="2:4" x14ac:dyDescent="0.4">
      <c r="B629" s="218">
        <v>627</v>
      </c>
      <c r="C629" s="82" t="s">
        <v>94</v>
      </c>
      <c r="D629" s="82" t="s">
        <v>122</v>
      </c>
    </row>
    <row r="630" spans="2:4" x14ac:dyDescent="0.4">
      <c r="B630" s="218">
        <v>628</v>
      </c>
      <c r="C630" s="82" t="s">
        <v>91</v>
      </c>
      <c r="D630" s="82" t="s">
        <v>107</v>
      </c>
    </row>
    <row r="631" spans="2:4" x14ac:dyDescent="0.4">
      <c r="B631" s="218">
        <v>629</v>
      </c>
      <c r="C631" s="82" t="s">
        <v>92</v>
      </c>
      <c r="D631" s="82" t="s">
        <v>109</v>
      </c>
    </row>
    <row r="632" spans="2:4" x14ac:dyDescent="0.4">
      <c r="B632" s="218">
        <v>630</v>
      </c>
      <c r="C632" s="82" t="s">
        <v>88</v>
      </c>
      <c r="D632" s="82" t="s">
        <v>108</v>
      </c>
    </row>
    <row r="633" spans="2:4" x14ac:dyDescent="0.4">
      <c r="B633" s="218">
        <v>631</v>
      </c>
      <c r="C633" s="82" t="s">
        <v>92</v>
      </c>
      <c r="D633" s="82" t="s">
        <v>109</v>
      </c>
    </row>
    <row r="634" spans="2:4" x14ac:dyDescent="0.4">
      <c r="B634" s="219">
        <v>632</v>
      </c>
      <c r="C634" s="70" t="s">
        <v>163</v>
      </c>
      <c r="D634" s="70" t="s">
        <v>163</v>
      </c>
    </row>
    <row r="635" spans="2:4" x14ac:dyDescent="0.4">
      <c r="B635" s="218">
        <v>633</v>
      </c>
      <c r="C635" s="82" t="s">
        <v>95</v>
      </c>
      <c r="D635" s="82" t="s">
        <v>120</v>
      </c>
    </row>
    <row r="636" spans="2:4" x14ac:dyDescent="0.4">
      <c r="B636" s="218">
        <v>634</v>
      </c>
      <c r="C636" s="82" t="s">
        <v>92</v>
      </c>
      <c r="D636" s="79" t="s">
        <v>116</v>
      </c>
    </row>
    <row r="637" spans="2:4" x14ac:dyDescent="0.4">
      <c r="B637" s="218">
        <v>635</v>
      </c>
      <c r="C637" s="82" t="s">
        <v>91</v>
      </c>
      <c r="D637" s="82" t="s">
        <v>180</v>
      </c>
    </row>
    <row r="638" spans="2:4" x14ac:dyDescent="0.4">
      <c r="B638" s="218">
        <v>636</v>
      </c>
      <c r="C638" s="82" t="s">
        <v>94</v>
      </c>
      <c r="D638" s="79" t="s">
        <v>122</v>
      </c>
    </row>
    <row r="639" spans="2:4" x14ac:dyDescent="0.4">
      <c r="B639" s="213">
        <v>637</v>
      </c>
      <c r="C639" s="2" t="s">
        <v>88</v>
      </c>
      <c r="D639" s="2" t="s">
        <v>117</v>
      </c>
    </row>
    <row r="640" spans="2:4" x14ac:dyDescent="0.4">
      <c r="B640" s="215">
        <v>638</v>
      </c>
      <c r="C640" s="70" t="s">
        <v>163</v>
      </c>
      <c r="D640" s="70" t="s">
        <v>163</v>
      </c>
    </row>
    <row r="641" spans="2:4" x14ac:dyDescent="0.4">
      <c r="B641" s="213">
        <v>639</v>
      </c>
      <c r="C641" s="2" t="s">
        <v>92</v>
      </c>
      <c r="D641" s="2" t="s">
        <v>116</v>
      </c>
    </row>
    <row r="642" spans="2:4" x14ac:dyDescent="0.4">
      <c r="B642" s="215">
        <v>640</v>
      </c>
      <c r="C642" s="70" t="s">
        <v>163</v>
      </c>
      <c r="D642" s="70" t="s">
        <v>163</v>
      </c>
    </row>
    <row r="643" spans="2:4" x14ac:dyDescent="0.4">
      <c r="B643" s="218">
        <v>641</v>
      </c>
      <c r="C643" s="82" t="s">
        <v>94</v>
      </c>
      <c r="D643" s="82" t="s">
        <v>122</v>
      </c>
    </row>
    <row r="644" spans="2:4" x14ac:dyDescent="0.4">
      <c r="B644" s="218">
        <v>642</v>
      </c>
      <c r="C644" s="82" t="s">
        <v>95</v>
      </c>
      <c r="D644" s="82" t="s">
        <v>120</v>
      </c>
    </row>
    <row r="645" spans="2:4" x14ac:dyDescent="0.4">
      <c r="B645" s="213">
        <v>643</v>
      </c>
      <c r="C645" s="2" t="s">
        <v>92</v>
      </c>
      <c r="D645" s="2" t="s">
        <v>109</v>
      </c>
    </row>
    <row r="646" spans="2:4" x14ac:dyDescent="0.4">
      <c r="B646" s="213">
        <v>644</v>
      </c>
      <c r="C646" s="2" t="s">
        <v>91</v>
      </c>
      <c r="D646" s="3" t="s">
        <v>107</v>
      </c>
    </row>
    <row r="647" spans="2:4" x14ac:dyDescent="0.4">
      <c r="B647" s="218">
        <v>645</v>
      </c>
      <c r="C647" s="2" t="s">
        <v>92</v>
      </c>
      <c r="D647" s="2" t="s">
        <v>116</v>
      </c>
    </row>
    <row r="648" spans="2:4" x14ac:dyDescent="0.4">
      <c r="B648" s="218">
        <v>646</v>
      </c>
      <c r="C648" s="2" t="s">
        <v>95</v>
      </c>
      <c r="D648" s="2" t="s">
        <v>120</v>
      </c>
    </row>
    <row r="649" spans="2:4" x14ac:dyDescent="0.4">
      <c r="B649" s="218">
        <v>647</v>
      </c>
      <c r="C649" s="82" t="s">
        <v>94</v>
      </c>
      <c r="D649" s="82" t="s">
        <v>122</v>
      </c>
    </row>
    <row r="650" spans="2:4" x14ac:dyDescent="0.4">
      <c r="B650" s="218">
        <v>648</v>
      </c>
      <c r="C650" s="82" t="s">
        <v>95</v>
      </c>
      <c r="D650" s="82" t="s">
        <v>120</v>
      </c>
    </row>
    <row r="651" spans="2:4" x14ac:dyDescent="0.4">
      <c r="B651" s="218">
        <v>649</v>
      </c>
      <c r="C651" s="82" t="s">
        <v>94</v>
      </c>
      <c r="D651" s="82" t="s">
        <v>122</v>
      </c>
    </row>
    <row r="652" spans="2:4" ht="32.4" x14ac:dyDescent="0.4">
      <c r="B652" s="218">
        <v>650</v>
      </c>
      <c r="C652" s="3" t="s">
        <v>471</v>
      </c>
      <c r="D652" s="79" t="s">
        <v>472</v>
      </c>
    </row>
    <row r="653" spans="2:4" x14ac:dyDescent="0.4">
      <c r="B653" s="213">
        <v>651</v>
      </c>
      <c r="C653" s="2" t="s">
        <v>92</v>
      </c>
      <c r="D653" s="2" t="s">
        <v>116</v>
      </c>
    </row>
    <row r="654" spans="2:4" x14ac:dyDescent="0.4">
      <c r="B654" s="215">
        <v>652</v>
      </c>
      <c r="C654" s="70" t="s">
        <v>163</v>
      </c>
      <c r="D654" s="70" t="s">
        <v>163</v>
      </c>
    </row>
    <row r="655" spans="2:4" x14ac:dyDescent="0.4">
      <c r="B655" s="213">
        <v>653</v>
      </c>
      <c r="C655" s="2" t="s">
        <v>91</v>
      </c>
      <c r="D655" s="2" t="s">
        <v>107</v>
      </c>
    </row>
    <row r="656" spans="2:4" x14ac:dyDescent="0.4">
      <c r="B656" s="213">
        <v>654</v>
      </c>
      <c r="C656" s="2" t="s">
        <v>92</v>
      </c>
      <c r="D656" s="2" t="s">
        <v>109</v>
      </c>
    </row>
    <row r="657" spans="2:4" x14ac:dyDescent="0.4">
      <c r="B657" s="215">
        <v>655</v>
      </c>
      <c r="C657" s="70" t="s">
        <v>163</v>
      </c>
      <c r="D657" s="70" t="s">
        <v>163</v>
      </c>
    </row>
    <row r="658" spans="2:4" x14ac:dyDescent="0.4">
      <c r="B658" s="215">
        <v>656</v>
      </c>
      <c r="C658" s="70" t="s">
        <v>163</v>
      </c>
      <c r="D658" s="70" t="s">
        <v>163</v>
      </c>
    </row>
    <row r="659" spans="2:4" x14ac:dyDescent="0.4">
      <c r="B659" s="213">
        <v>657</v>
      </c>
      <c r="C659" s="2" t="s">
        <v>94</v>
      </c>
      <c r="D659" s="2" t="s">
        <v>122</v>
      </c>
    </row>
    <row r="660" spans="2:4" x14ac:dyDescent="0.4">
      <c r="B660" s="213">
        <v>658</v>
      </c>
      <c r="C660" s="2" t="s">
        <v>92</v>
      </c>
      <c r="D660" s="2" t="s">
        <v>109</v>
      </c>
    </row>
    <row r="661" spans="2:4" x14ac:dyDescent="0.4">
      <c r="B661" s="213">
        <v>659</v>
      </c>
      <c r="C661" s="2" t="s">
        <v>88</v>
      </c>
      <c r="D661" s="2" t="s">
        <v>108</v>
      </c>
    </row>
    <row r="662" spans="2:4" x14ac:dyDescent="0.4">
      <c r="B662" s="213">
        <v>660</v>
      </c>
      <c r="C662" s="2" t="s">
        <v>94</v>
      </c>
      <c r="D662" s="2" t="s">
        <v>122</v>
      </c>
    </row>
    <row r="663" spans="2:4" x14ac:dyDescent="0.4">
      <c r="B663" s="213">
        <v>661</v>
      </c>
      <c r="C663" s="82" t="s">
        <v>92</v>
      </c>
      <c r="D663" s="82" t="s">
        <v>116</v>
      </c>
    </row>
    <row r="664" spans="2:4" x14ac:dyDescent="0.4">
      <c r="B664" s="213">
        <v>662</v>
      </c>
      <c r="C664" s="2" t="s">
        <v>94</v>
      </c>
      <c r="D664" s="2" t="s">
        <v>124</v>
      </c>
    </row>
    <row r="665" spans="2:4" x14ac:dyDescent="0.4">
      <c r="B665" s="213">
        <v>663</v>
      </c>
      <c r="C665" s="2" t="s">
        <v>88</v>
      </c>
      <c r="D665" s="2" t="s">
        <v>108</v>
      </c>
    </row>
    <row r="666" spans="2:4" x14ac:dyDescent="0.4">
      <c r="B666" s="218">
        <v>664</v>
      </c>
      <c r="C666" s="2" t="s">
        <v>88</v>
      </c>
      <c r="D666" s="2" t="s">
        <v>108</v>
      </c>
    </row>
    <row r="667" spans="2:4" x14ac:dyDescent="0.4">
      <c r="B667" s="218">
        <v>665</v>
      </c>
      <c r="C667" s="2" t="s">
        <v>92</v>
      </c>
      <c r="D667" s="2" t="s">
        <v>116</v>
      </c>
    </row>
    <row r="668" spans="2:4" x14ac:dyDescent="0.4">
      <c r="B668" s="218">
        <v>666</v>
      </c>
      <c r="C668" s="2" t="s">
        <v>95</v>
      </c>
      <c r="D668" s="2" t="s">
        <v>112</v>
      </c>
    </row>
    <row r="669" spans="2:4" x14ac:dyDescent="0.4">
      <c r="B669" s="218">
        <v>667</v>
      </c>
      <c r="C669" s="2" t="s">
        <v>88</v>
      </c>
      <c r="D669" s="2" t="s">
        <v>108</v>
      </c>
    </row>
    <row r="670" spans="2:4" x14ac:dyDescent="0.4">
      <c r="B670" s="218">
        <v>668</v>
      </c>
      <c r="C670" s="2" t="s">
        <v>88</v>
      </c>
      <c r="D670" s="2" t="s">
        <v>105</v>
      </c>
    </row>
    <row r="671" spans="2:4" x14ac:dyDescent="0.4">
      <c r="B671" s="219">
        <v>669</v>
      </c>
      <c r="C671" s="70" t="s">
        <v>163</v>
      </c>
      <c r="D671" s="70" t="s">
        <v>163</v>
      </c>
    </row>
    <row r="672" spans="2:4" x14ac:dyDescent="0.4">
      <c r="B672" s="218">
        <v>670</v>
      </c>
      <c r="C672" s="2" t="s">
        <v>91</v>
      </c>
      <c r="D672" s="3" t="s">
        <v>107</v>
      </c>
    </row>
    <row r="673" spans="2:4" x14ac:dyDescent="0.4">
      <c r="B673" s="219">
        <v>671</v>
      </c>
      <c r="C673" s="70" t="s">
        <v>163</v>
      </c>
      <c r="D673" s="70" t="s">
        <v>163</v>
      </c>
    </row>
    <row r="674" spans="2:4" x14ac:dyDescent="0.4">
      <c r="B674" s="219">
        <v>672</v>
      </c>
      <c r="C674" s="70" t="s">
        <v>163</v>
      </c>
      <c r="D674" s="70" t="s">
        <v>163</v>
      </c>
    </row>
    <row r="675" spans="2:4" x14ac:dyDescent="0.4">
      <c r="B675" s="218">
        <v>673</v>
      </c>
      <c r="C675" s="82" t="s">
        <v>90</v>
      </c>
      <c r="D675" s="82" t="s">
        <v>106</v>
      </c>
    </row>
    <row r="676" spans="2:4" x14ac:dyDescent="0.4">
      <c r="B676" s="218">
        <v>674</v>
      </c>
      <c r="C676" s="82" t="s">
        <v>96</v>
      </c>
      <c r="D676" s="82" t="s">
        <v>115</v>
      </c>
    </row>
    <row r="677" spans="2:4" x14ac:dyDescent="0.4">
      <c r="B677" s="218">
        <v>675</v>
      </c>
      <c r="C677" s="82" t="s">
        <v>94</v>
      </c>
      <c r="D677" s="82" t="s">
        <v>124</v>
      </c>
    </row>
    <row r="678" spans="2:4" x14ac:dyDescent="0.4">
      <c r="B678" s="218">
        <v>676</v>
      </c>
      <c r="C678" s="82" t="s">
        <v>95</v>
      </c>
      <c r="D678" s="82" t="s">
        <v>112</v>
      </c>
    </row>
    <row r="679" spans="2:4" x14ac:dyDescent="0.4">
      <c r="B679" s="218">
        <v>677</v>
      </c>
      <c r="C679" s="2" t="s">
        <v>91</v>
      </c>
      <c r="D679" s="3" t="s">
        <v>107</v>
      </c>
    </row>
    <row r="680" spans="2:4" x14ac:dyDescent="0.4">
      <c r="B680" s="218">
        <v>678</v>
      </c>
      <c r="C680" s="82" t="s">
        <v>94</v>
      </c>
      <c r="D680" s="82" t="s">
        <v>122</v>
      </c>
    </row>
    <row r="681" spans="2:4" x14ac:dyDescent="0.4">
      <c r="B681" s="218">
        <v>679</v>
      </c>
      <c r="C681" s="82" t="s">
        <v>88</v>
      </c>
      <c r="D681" s="82" t="s">
        <v>108</v>
      </c>
    </row>
    <row r="682" spans="2:4" x14ac:dyDescent="0.4">
      <c r="B682" s="219">
        <v>680</v>
      </c>
      <c r="C682" s="70" t="s">
        <v>163</v>
      </c>
      <c r="D682" s="70" t="s">
        <v>163</v>
      </c>
    </row>
    <row r="683" spans="2:4" x14ac:dyDescent="0.4">
      <c r="B683" s="212">
        <v>681</v>
      </c>
      <c r="C683" s="82" t="s">
        <v>94</v>
      </c>
      <c r="D683" s="82" t="s">
        <v>111</v>
      </c>
    </row>
    <row r="684" spans="2:4" x14ac:dyDescent="0.4">
      <c r="B684" s="216">
        <v>682</v>
      </c>
      <c r="C684" s="70" t="s">
        <v>163</v>
      </c>
      <c r="D684" s="70" t="s">
        <v>163</v>
      </c>
    </row>
    <row r="685" spans="2:4" x14ac:dyDescent="0.4">
      <c r="B685" s="216">
        <v>683</v>
      </c>
      <c r="C685" s="70" t="s">
        <v>163</v>
      </c>
      <c r="D685" s="70" t="s">
        <v>163</v>
      </c>
    </row>
    <row r="686" spans="2:4" x14ac:dyDescent="0.4">
      <c r="B686" s="216">
        <v>684</v>
      </c>
      <c r="C686" s="70" t="s">
        <v>163</v>
      </c>
      <c r="D686" s="70" t="s">
        <v>163</v>
      </c>
    </row>
    <row r="687" spans="2:4" x14ac:dyDescent="0.4">
      <c r="B687" s="216">
        <v>685</v>
      </c>
      <c r="C687" s="70" t="s">
        <v>163</v>
      </c>
      <c r="D687" s="70" t="s">
        <v>163</v>
      </c>
    </row>
    <row r="688" spans="2:4" x14ac:dyDescent="0.4">
      <c r="B688" s="212">
        <v>686</v>
      </c>
      <c r="C688" s="82" t="s">
        <v>94</v>
      </c>
      <c r="D688" s="82" t="s">
        <v>122</v>
      </c>
    </row>
    <row r="689" spans="2:4" x14ac:dyDescent="0.4">
      <c r="B689" s="212">
        <v>687</v>
      </c>
      <c r="C689" s="82" t="s">
        <v>88</v>
      </c>
      <c r="D689" s="82" t="s">
        <v>108</v>
      </c>
    </row>
    <row r="690" spans="2:4" x14ac:dyDescent="0.4">
      <c r="B690" s="212">
        <v>688</v>
      </c>
      <c r="C690" s="82" t="s">
        <v>88</v>
      </c>
      <c r="D690" s="82" t="s">
        <v>105</v>
      </c>
    </row>
    <row r="691" spans="2:4" x14ac:dyDescent="0.4">
      <c r="B691" s="212">
        <v>689</v>
      </c>
      <c r="C691" s="82" t="s">
        <v>94</v>
      </c>
      <c r="D691" s="82" t="s">
        <v>122</v>
      </c>
    </row>
    <row r="692" spans="2:4" ht="21.6" x14ac:dyDescent="0.4">
      <c r="B692" s="212">
        <v>690</v>
      </c>
      <c r="C692" s="79" t="s">
        <v>123</v>
      </c>
      <c r="D692" s="79" t="s">
        <v>522</v>
      </c>
    </row>
    <row r="693" spans="2:4" x14ac:dyDescent="0.4">
      <c r="B693" s="212">
        <v>691</v>
      </c>
      <c r="C693" s="82" t="s">
        <v>94</v>
      </c>
      <c r="D693" s="82" t="s">
        <v>122</v>
      </c>
    </row>
    <row r="694" spans="2:4" x14ac:dyDescent="0.4">
      <c r="B694" s="212">
        <v>692</v>
      </c>
      <c r="C694" s="82" t="s">
        <v>94</v>
      </c>
      <c r="D694" s="82" t="s">
        <v>122</v>
      </c>
    </row>
    <row r="695" spans="2:4" x14ac:dyDescent="0.4">
      <c r="B695" s="216">
        <v>693</v>
      </c>
      <c r="C695" s="70" t="s">
        <v>163</v>
      </c>
      <c r="D695" s="70" t="s">
        <v>163</v>
      </c>
    </row>
    <row r="696" spans="2:4" x14ac:dyDescent="0.4">
      <c r="B696" s="216">
        <v>694</v>
      </c>
      <c r="C696" s="70" t="s">
        <v>163</v>
      </c>
      <c r="D696" s="70" t="s">
        <v>163</v>
      </c>
    </row>
    <row r="697" spans="2:4" x14ac:dyDescent="0.4">
      <c r="B697" s="212">
        <v>695</v>
      </c>
      <c r="C697" s="82" t="s">
        <v>94</v>
      </c>
      <c r="D697" s="82" t="s">
        <v>111</v>
      </c>
    </row>
    <row r="698" spans="2:4" x14ac:dyDescent="0.4">
      <c r="B698" s="212">
        <v>696</v>
      </c>
      <c r="C698" s="82" t="s">
        <v>91</v>
      </c>
      <c r="D698" s="82" t="s">
        <v>107</v>
      </c>
    </row>
    <row r="699" spans="2:4" x14ac:dyDescent="0.4">
      <c r="B699" s="216">
        <v>697</v>
      </c>
      <c r="C699" s="70" t="s">
        <v>163</v>
      </c>
      <c r="D699" s="70" t="s">
        <v>163</v>
      </c>
    </row>
    <row r="700" spans="2:4" x14ac:dyDescent="0.4">
      <c r="B700" s="212">
        <v>698</v>
      </c>
      <c r="C700" s="82" t="s">
        <v>94</v>
      </c>
      <c r="D700" s="82" t="s">
        <v>122</v>
      </c>
    </row>
    <row r="701" spans="2:4" x14ac:dyDescent="0.4">
      <c r="B701" s="216">
        <v>699</v>
      </c>
      <c r="C701" s="70" t="s">
        <v>163</v>
      </c>
      <c r="D701" s="70" t="s">
        <v>163</v>
      </c>
    </row>
    <row r="702" spans="2:4" x14ac:dyDescent="0.4">
      <c r="B702" s="212">
        <v>700</v>
      </c>
      <c r="C702" s="82" t="s">
        <v>95</v>
      </c>
      <c r="D702" s="82" t="s">
        <v>112</v>
      </c>
    </row>
    <row r="703" spans="2:4" x14ac:dyDescent="0.4">
      <c r="B703" s="212">
        <v>701</v>
      </c>
      <c r="C703" s="82" t="s">
        <v>91</v>
      </c>
      <c r="D703" s="82" t="s">
        <v>180</v>
      </c>
    </row>
    <row r="704" spans="2:4" x14ac:dyDescent="0.4">
      <c r="B704" s="212">
        <v>702</v>
      </c>
      <c r="C704" s="82" t="s">
        <v>97</v>
      </c>
      <c r="D704" s="82" t="s">
        <v>118</v>
      </c>
    </row>
    <row r="705" spans="2:4" x14ac:dyDescent="0.4">
      <c r="B705" s="212">
        <v>703</v>
      </c>
      <c r="C705" s="82" t="s">
        <v>94</v>
      </c>
      <c r="D705" s="82" t="s">
        <v>122</v>
      </c>
    </row>
    <row r="706" spans="2:4" x14ac:dyDescent="0.4">
      <c r="B706" s="212">
        <v>704</v>
      </c>
      <c r="C706" s="82" t="s">
        <v>94</v>
      </c>
      <c r="D706" s="82" t="s">
        <v>122</v>
      </c>
    </row>
    <row r="707" spans="2:4" x14ac:dyDescent="0.4">
      <c r="B707" s="212">
        <v>705</v>
      </c>
      <c r="C707" s="82" t="s">
        <v>92</v>
      </c>
      <c r="D707" s="82" t="s">
        <v>109</v>
      </c>
    </row>
    <row r="708" spans="2:4" x14ac:dyDescent="0.4">
      <c r="B708" s="212">
        <v>706</v>
      </c>
      <c r="C708" s="82" t="s">
        <v>88</v>
      </c>
      <c r="D708" s="82" t="s">
        <v>108</v>
      </c>
    </row>
    <row r="709" spans="2:4" x14ac:dyDescent="0.4">
      <c r="B709" s="212">
        <v>707</v>
      </c>
      <c r="C709" s="82" t="s">
        <v>94</v>
      </c>
      <c r="D709" s="82" t="s">
        <v>124</v>
      </c>
    </row>
    <row r="710" spans="2:4" x14ac:dyDescent="0.4">
      <c r="B710" s="212">
        <v>708</v>
      </c>
      <c r="C710" s="2" t="s">
        <v>91</v>
      </c>
      <c r="D710" s="82" t="s">
        <v>107</v>
      </c>
    </row>
    <row r="711" spans="2:4" x14ac:dyDescent="0.4">
      <c r="B711" s="211">
        <v>709</v>
      </c>
      <c r="C711" s="2" t="s">
        <v>91</v>
      </c>
      <c r="D711" s="2" t="s">
        <v>180</v>
      </c>
    </row>
    <row r="712" spans="2:4" x14ac:dyDescent="0.4">
      <c r="B712" s="211">
        <v>710</v>
      </c>
      <c r="C712" s="2" t="s">
        <v>92</v>
      </c>
      <c r="D712" s="2" t="s">
        <v>116</v>
      </c>
    </row>
    <row r="713" spans="2:4" x14ac:dyDescent="0.4">
      <c r="B713" s="211">
        <v>711</v>
      </c>
      <c r="C713" s="82" t="s">
        <v>94</v>
      </c>
      <c r="D713" s="2" t="s">
        <v>122</v>
      </c>
    </row>
    <row r="714" spans="2:4" x14ac:dyDescent="0.4">
      <c r="B714" s="211">
        <v>712</v>
      </c>
      <c r="C714" s="2" t="s">
        <v>95</v>
      </c>
      <c r="D714" s="2" t="s">
        <v>112</v>
      </c>
    </row>
    <row r="715" spans="2:4" x14ac:dyDescent="0.4">
      <c r="B715" s="211">
        <v>713</v>
      </c>
      <c r="C715" s="82" t="s">
        <v>94</v>
      </c>
      <c r="D715" s="82" t="s">
        <v>111</v>
      </c>
    </row>
    <row r="716" spans="2:4" x14ac:dyDescent="0.4">
      <c r="B716" s="211">
        <v>714</v>
      </c>
      <c r="C716" s="2" t="s">
        <v>91</v>
      </c>
      <c r="D716" s="2" t="s">
        <v>107</v>
      </c>
    </row>
    <row r="717" spans="2:4" x14ac:dyDescent="0.4">
      <c r="B717" s="218">
        <v>715</v>
      </c>
      <c r="C717" s="82" t="s">
        <v>94</v>
      </c>
      <c r="D717" s="82" t="s">
        <v>124</v>
      </c>
    </row>
    <row r="718" spans="2:4" x14ac:dyDescent="0.4">
      <c r="B718" s="219">
        <v>716</v>
      </c>
      <c r="C718" s="70" t="s">
        <v>163</v>
      </c>
      <c r="D718" s="70" t="s">
        <v>163</v>
      </c>
    </row>
    <row r="719" spans="2:4" x14ac:dyDescent="0.4">
      <c r="B719" s="218">
        <v>717</v>
      </c>
      <c r="C719" s="82" t="s">
        <v>92</v>
      </c>
      <c r="D719" s="82" t="s">
        <v>109</v>
      </c>
    </row>
    <row r="720" spans="2:4" x14ac:dyDescent="0.4">
      <c r="B720" s="218">
        <v>718</v>
      </c>
      <c r="C720" s="82" t="s">
        <v>92</v>
      </c>
      <c r="D720" s="82" t="s">
        <v>116</v>
      </c>
    </row>
    <row r="721" spans="2:4" x14ac:dyDescent="0.4">
      <c r="B721" s="218">
        <v>719</v>
      </c>
      <c r="C721" s="82" t="s">
        <v>95</v>
      </c>
      <c r="D721" s="82" t="s">
        <v>112</v>
      </c>
    </row>
    <row r="722" spans="2:4" x14ac:dyDescent="0.4">
      <c r="B722" s="218">
        <v>720</v>
      </c>
      <c r="C722" s="82" t="s">
        <v>94</v>
      </c>
      <c r="D722" s="82" t="s">
        <v>122</v>
      </c>
    </row>
    <row r="723" spans="2:4" x14ac:dyDescent="0.4">
      <c r="B723" s="218">
        <v>721</v>
      </c>
      <c r="C723" s="82" t="s">
        <v>94</v>
      </c>
      <c r="D723" s="82" t="s">
        <v>111</v>
      </c>
    </row>
    <row r="724" spans="2:4" x14ac:dyDescent="0.4">
      <c r="B724" s="218">
        <v>722</v>
      </c>
      <c r="C724" s="342" t="s">
        <v>91</v>
      </c>
      <c r="D724" s="262" t="s">
        <v>107</v>
      </c>
    </row>
    <row r="725" spans="2:4" x14ac:dyDescent="0.4">
      <c r="B725" s="219">
        <v>723</v>
      </c>
      <c r="C725" s="70" t="s">
        <v>163</v>
      </c>
      <c r="D725" s="70" t="s">
        <v>163</v>
      </c>
    </row>
    <row r="726" spans="2:4" x14ac:dyDescent="0.4">
      <c r="B726" s="218">
        <v>724</v>
      </c>
      <c r="C726" s="82" t="s">
        <v>88</v>
      </c>
      <c r="D726" s="82" t="s">
        <v>108</v>
      </c>
    </row>
    <row r="727" spans="2:4" x14ac:dyDescent="0.4">
      <c r="B727" s="219">
        <v>725</v>
      </c>
      <c r="C727" s="70" t="s">
        <v>163</v>
      </c>
      <c r="D727" s="70" t="s">
        <v>163</v>
      </c>
    </row>
    <row r="728" spans="2:4" x14ac:dyDescent="0.4">
      <c r="B728" s="219">
        <v>726</v>
      </c>
      <c r="C728" s="70" t="s">
        <v>163</v>
      </c>
      <c r="D728" s="70" t="s">
        <v>163</v>
      </c>
    </row>
    <row r="729" spans="2:4" x14ac:dyDescent="0.4">
      <c r="B729" s="218">
        <v>727</v>
      </c>
      <c r="C729" s="82" t="s">
        <v>92</v>
      </c>
      <c r="D729" s="82" t="s">
        <v>109</v>
      </c>
    </row>
    <row r="730" spans="2:4" x14ac:dyDescent="0.4">
      <c r="B730" s="218">
        <v>728</v>
      </c>
      <c r="C730" s="82" t="s">
        <v>88</v>
      </c>
      <c r="D730" s="82" t="s">
        <v>108</v>
      </c>
    </row>
    <row r="731" spans="2:4" x14ac:dyDescent="0.4">
      <c r="B731" s="218">
        <v>729</v>
      </c>
      <c r="C731" s="82" t="s">
        <v>94</v>
      </c>
      <c r="D731" s="82" t="s">
        <v>124</v>
      </c>
    </row>
    <row r="732" spans="2:4" x14ac:dyDescent="0.4">
      <c r="B732" s="218">
        <v>730</v>
      </c>
      <c r="C732" s="82" t="s">
        <v>94</v>
      </c>
      <c r="D732" s="82" t="s">
        <v>111</v>
      </c>
    </row>
    <row r="733" spans="2:4" x14ac:dyDescent="0.4">
      <c r="B733" s="218">
        <v>731</v>
      </c>
      <c r="C733" s="82" t="s">
        <v>95</v>
      </c>
      <c r="D733" s="82" t="s">
        <v>112</v>
      </c>
    </row>
    <row r="734" spans="2:4" x14ac:dyDescent="0.4">
      <c r="B734" s="218">
        <v>732</v>
      </c>
      <c r="C734" s="82" t="s">
        <v>90</v>
      </c>
      <c r="D734" s="82" t="s">
        <v>106</v>
      </c>
    </row>
    <row r="735" spans="2:4" x14ac:dyDescent="0.4">
      <c r="B735" s="218">
        <v>733</v>
      </c>
      <c r="C735" s="82" t="s">
        <v>94</v>
      </c>
      <c r="D735" s="82" t="s">
        <v>122</v>
      </c>
    </row>
    <row r="736" spans="2:4" x14ac:dyDescent="0.4">
      <c r="B736" s="218">
        <v>734</v>
      </c>
      <c r="C736" s="82" t="s">
        <v>88</v>
      </c>
      <c r="D736" s="82" t="s">
        <v>108</v>
      </c>
    </row>
    <row r="737" spans="2:4" x14ac:dyDescent="0.4">
      <c r="B737" s="218">
        <v>735</v>
      </c>
      <c r="C737" s="82" t="s">
        <v>92</v>
      </c>
      <c r="D737" s="82" t="s">
        <v>109</v>
      </c>
    </row>
    <row r="738" spans="2:4" x14ac:dyDescent="0.4">
      <c r="B738" s="218">
        <v>736</v>
      </c>
      <c r="C738" s="82" t="s">
        <v>92</v>
      </c>
      <c r="D738" s="82" t="s">
        <v>109</v>
      </c>
    </row>
    <row r="739" spans="2:4" x14ac:dyDescent="0.4">
      <c r="B739" s="219">
        <v>737</v>
      </c>
      <c r="C739" s="70" t="s">
        <v>163</v>
      </c>
      <c r="D739" s="70" t="s">
        <v>163</v>
      </c>
    </row>
    <row r="740" spans="2:4" x14ac:dyDescent="0.4">
      <c r="B740" s="218">
        <v>738</v>
      </c>
      <c r="C740" s="82" t="s">
        <v>92</v>
      </c>
      <c r="D740" s="82" t="s">
        <v>116</v>
      </c>
    </row>
    <row r="741" spans="2:4" x14ac:dyDescent="0.4">
      <c r="B741" s="218">
        <v>739</v>
      </c>
      <c r="C741" s="82" t="s">
        <v>94</v>
      </c>
      <c r="D741" s="82" t="s">
        <v>111</v>
      </c>
    </row>
    <row r="742" spans="2:4" x14ac:dyDescent="0.4">
      <c r="B742" s="219">
        <v>740</v>
      </c>
      <c r="C742" s="70" t="s">
        <v>163</v>
      </c>
      <c r="D742" s="70" t="s">
        <v>163</v>
      </c>
    </row>
    <row r="743" spans="2:4" x14ac:dyDescent="0.4">
      <c r="B743" s="218">
        <v>741</v>
      </c>
      <c r="C743" s="82" t="s">
        <v>90</v>
      </c>
      <c r="D743" s="82" t="s">
        <v>106</v>
      </c>
    </row>
    <row r="744" spans="2:4" x14ac:dyDescent="0.4">
      <c r="B744" s="219">
        <v>742</v>
      </c>
      <c r="C744" s="69" t="s">
        <v>90</v>
      </c>
      <c r="D744" s="69" t="s">
        <v>106</v>
      </c>
    </row>
    <row r="745" spans="2:4" x14ac:dyDescent="0.4">
      <c r="B745" s="218">
        <v>743</v>
      </c>
      <c r="C745" s="82" t="s">
        <v>88</v>
      </c>
      <c r="D745" s="82" t="s">
        <v>108</v>
      </c>
    </row>
    <row r="746" spans="2:4" x14ac:dyDescent="0.4">
      <c r="B746" s="218">
        <v>744</v>
      </c>
      <c r="C746" s="82" t="s">
        <v>94</v>
      </c>
      <c r="D746" s="82" t="s">
        <v>111</v>
      </c>
    </row>
    <row r="747" spans="2:4" x14ac:dyDescent="0.4">
      <c r="B747" s="218">
        <v>745</v>
      </c>
      <c r="C747" s="82" t="s">
        <v>95</v>
      </c>
      <c r="D747" s="82" t="s">
        <v>112</v>
      </c>
    </row>
    <row r="748" spans="2:4" x14ac:dyDescent="0.4">
      <c r="B748" s="218">
        <v>746</v>
      </c>
      <c r="C748" s="82" t="s">
        <v>92</v>
      </c>
      <c r="D748" s="82" t="s">
        <v>109</v>
      </c>
    </row>
    <row r="749" spans="2:4" x14ac:dyDescent="0.4">
      <c r="B749" s="218">
        <v>747</v>
      </c>
      <c r="C749" s="82" t="s">
        <v>91</v>
      </c>
      <c r="D749" s="82" t="s">
        <v>107</v>
      </c>
    </row>
    <row r="750" spans="2:4" x14ac:dyDescent="0.4">
      <c r="B750" s="219">
        <v>748</v>
      </c>
      <c r="C750" s="70" t="s">
        <v>163</v>
      </c>
      <c r="D750" s="70" t="s">
        <v>163</v>
      </c>
    </row>
    <row r="751" spans="2:4" x14ac:dyDescent="0.4">
      <c r="B751" s="219">
        <v>749</v>
      </c>
      <c r="C751" s="70" t="s">
        <v>163</v>
      </c>
      <c r="D751" s="70" t="s">
        <v>163</v>
      </c>
    </row>
    <row r="752" spans="2:4" x14ac:dyDescent="0.4">
      <c r="B752" s="218">
        <v>750</v>
      </c>
      <c r="C752" s="2" t="s">
        <v>95</v>
      </c>
      <c r="D752" s="2" t="s">
        <v>112</v>
      </c>
    </row>
    <row r="753" spans="2:4" ht="21.6" x14ac:dyDescent="0.4">
      <c r="B753" s="218">
        <v>751</v>
      </c>
      <c r="C753" s="3" t="s">
        <v>562</v>
      </c>
      <c r="D753" s="3" t="s">
        <v>563</v>
      </c>
    </row>
    <row r="754" spans="2:4" x14ac:dyDescent="0.4">
      <c r="B754" s="219">
        <v>752</v>
      </c>
      <c r="C754" s="70" t="s">
        <v>163</v>
      </c>
      <c r="D754" s="70" t="s">
        <v>163</v>
      </c>
    </row>
    <row r="755" spans="2:4" x14ac:dyDescent="0.4">
      <c r="B755" s="218">
        <v>753</v>
      </c>
      <c r="C755" s="2" t="s">
        <v>94</v>
      </c>
      <c r="D755" s="2" t="s">
        <v>111</v>
      </c>
    </row>
    <row r="756" spans="2:4" x14ac:dyDescent="0.4">
      <c r="B756" s="218">
        <v>754</v>
      </c>
      <c r="C756" s="2" t="s">
        <v>94</v>
      </c>
      <c r="D756" s="2" t="s">
        <v>122</v>
      </c>
    </row>
    <row r="757" spans="2:4" x14ac:dyDescent="0.4">
      <c r="B757" s="218">
        <v>755</v>
      </c>
      <c r="C757" s="2" t="s">
        <v>94</v>
      </c>
      <c r="D757" s="2" t="s">
        <v>122</v>
      </c>
    </row>
    <row r="758" spans="2:4" x14ac:dyDescent="0.4">
      <c r="B758" s="218">
        <v>756</v>
      </c>
      <c r="C758" s="2" t="s">
        <v>95</v>
      </c>
      <c r="D758" s="2" t="s">
        <v>112</v>
      </c>
    </row>
    <row r="759" spans="2:4" x14ac:dyDescent="0.4">
      <c r="B759" s="218">
        <v>757</v>
      </c>
      <c r="C759" s="2" t="s">
        <v>94</v>
      </c>
      <c r="D759" s="2" t="s">
        <v>122</v>
      </c>
    </row>
    <row r="760" spans="2:4" ht="21.6" x14ac:dyDescent="0.4">
      <c r="B760" s="218">
        <v>758</v>
      </c>
      <c r="C760" s="79" t="s">
        <v>564</v>
      </c>
      <c r="D760" s="79" t="s">
        <v>565</v>
      </c>
    </row>
    <row r="761" spans="2:4" x14ac:dyDescent="0.4">
      <c r="B761" s="218">
        <v>759</v>
      </c>
      <c r="C761" s="82" t="s">
        <v>94</v>
      </c>
      <c r="D761" s="82" t="s">
        <v>122</v>
      </c>
    </row>
    <row r="762" spans="2:4" x14ac:dyDescent="0.4">
      <c r="B762" s="218">
        <v>760</v>
      </c>
      <c r="C762" s="82" t="s">
        <v>88</v>
      </c>
      <c r="D762" s="82" t="s">
        <v>117</v>
      </c>
    </row>
    <row r="763" spans="2:4" x14ac:dyDescent="0.4">
      <c r="B763" s="218">
        <v>761</v>
      </c>
      <c r="C763" s="82" t="s">
        <v>91</v>
      </c>
      <c r="D763" s="82" t="s">
        <v>107</v>
      </c>
    </row>
    <row r="764" spans="2:4" x14ac:dyDescent="0.4">
      <c r="B764" s="218">
        <v>762</v>
      </c>
      <c r="C764" s="82" t="s">
        <v>95</v>
      </c>
      <c r="D764" s="82" t="s">
        <v>120</v>
      </c>
    </row>
    <row r="765" spans="2:4" x14ac:dyDescent="0.4">
      <c r="B765" s="219">
        <v>763</v>
      </c>
      <c r="C765" s="70" t="s">
        <v>163</v>
      </c>
      <c r="D765" s="70" t="s">
        <v>163</v>
      </c>
    </row>
    <row r="766" spans="2:4" x14ac:dyDescent="0.4">
      <c r="B766" s="218">
        <v>764</v>
      </c>
      <c r="C766" s="82" t="s">
        <v>88</v>
      </c>
      <c r="D766" s="82" t="s">
        <v>108</v>
      </c>
    </row>
    <row r="767" spans="2:4" x14ac:dyDescent="0.4">
      <c r="B767" s="218">
        <v>765</v>
      </c>
      <c r="C767" s="82" t="s">
        <v>94</v>
      </c>
      <c r="D767" s="82" t="s">
        <v>122</v>
      </c>
    </row>
    <row r="768" spans="2:4" x14ac:dyDescent="0.4">
      <c r="B768" s="218">
        <v>766</v>
      </c>
      <c r="C768" s="82" t="s">
        <v>94</v>
      </c>
      <c r="D768" s="82" t="s">
        <v>111</v>
      </c>
    </row>
    <row r="769" spans="2:4" x14ac:dyDescent="0.4">
      <c r="B769" s="218">
        <v>767</v>
      </c>
      <c r="C769" s="82" t="s">
        <v>92</v>
      </c>
      <c r="D769" s="82" t="s">
        <v>116</v>
      </c>
    </row>
    <row r="770" spans="2:4" x14ac:dyDescent="0.4">
      <c r="B770" s="218">
        <v>768</v>
      </c>
      <c r="C770" s="82" t="s">
        <v>88</v>
      </c>
      <c r="D770" s="82" t="s">
        <v>108</v>
      </c>
    </row>
    <row r="771" spans="2:4" x14ac:dyDescent="0.4">
      <c r="B771" s="218">
        <v>769</v>
      </c>
      <c r="C771" s="82" t="s">
        <v>88</v>
      </c>
      <c r="D771" s="82" t="s">
        <v>117</v>
      </c>
    </row>
    <row r="772" spans="2:4" x14ac:dyDescent="0.4">
      <c r="B772" s="218">
        <v>770</v>
      </c>
      <c r="C772" s="82" t="s">
        <v>94</v>
      </c>
      <c r="D772" s="82" t="s">
        <v>111</v>
      </c>
    </row>
    <row r="773" spans="2:4" x14ac:dyDescent="0.4">
      <c r="B773" s="218">
        <v>771</v>
      </c>
      <c r="C773" s="82" t="s">
        <v>95</v>
      </c>
      <c r="D773" s="82" t="s">
        <v>120</v>
      </c>
    </row>
    <row r="774" spans="2:4" x14ac:dyDescent="0.4">
      <c r="B774" s="218">
        <v>772</v>
      </c>
      <c r="C774" s="82" t="s">
        <v>92</v>
      </c>
      <c r="D774" s="82" t="s">
        <v>109</v>
      </c>
    </row>
    <row r="775" spans="2:4" x14ac:dyDescent="0.4">
      <c r="B775" s="218">
        <v>773</v>
      </c>
      <c r="C775" s="82" t="s">
        <v>88</v>
      </c>
      <c r="D775" s="82" t="s">
        <v>108</v>
      </c>
    </row>
    <row r="776" spans="2:4" x14ac:dyDescent="0.4">
      <c r="B776" s="219">
        <v>774</v>
      </c>
      <c r="C776" s="70" t="s">
        <v>163</v>
      </c>
      <c r="D776" s="70" t="s">
        <v>163</v>
      </c>
    </row>
    <row r="777" spans="2:4" x14ac:dyDescent="0.4">
      <c r="B777" s="218">
        <v>775</v>
      </c>
      <c r="C777" s="2" t="s">
        <v>92</v>
      </c>
      <c r="D777" s="2" t="s">
        <v>116</v>
      </c>
    </row>
    <row r="778" spans="2:4" x14ac:dyDescent="0.4">
      <c r="B778" s="218">
        <v>776</v>
      </c>
      <c r="C778" s="2" t="s">
        <v>92</v>
      </c>
      <c r="D778" s="2" t="s">
        <v>109</v>
      </c>
    </row>
    <row r="779" spans="2:4" x14ac:dyDescent="0.4">
      <c r="B779" s="218">
        <v>777</v>
      </c>
      <c r="C779" s="2" t="s">
        <v>94</v>
      </c>
      <c r="D779" s="2" t="s">
        <v>122</v>
      </c>
    </row>
    <row r="780" spans="2:4" x14ac:dyDescent="0.4">
      <c r="B780" s="218">
        <v>778</v>
      </c>
      <c r="C780" s="2" t="s">
        <v>88</v>
      </c>
      <c r="D780" s="2" t="s">
        <v>108</v>
      </c>
    </row>
    <row r="781" spans="2:4" x14ac:dyDescent="0.4">
      <c r="B781" s="218">
        <v>779</v>
      </c>
      <c r="C781" s="2" t="s">
        <v>94</v>
      </c>
      <c r="D781" s="2" t="s">
        <v>111</v>
      </c>
    </row>
    <row r="782" spans="2:4" x14ac:dyDescent="0.4">
      <c r="B782" s="218">
        <v>780</v>
      </c>
      <c r="C782" s="2" t="s">
        <v>97</v>
      </c>
      <c r="D782" s="2" t="s">
        <v>118</v>
      </c>
    </row>
    <row r="783" spans="2:4" x14ac:dyDescent="0.4">
      <c r="B783" s="218">
        <v>781</v>
      </c>
      <c r="C783" s="2" t="s">
        <v>94</v>
      </c>
      <c r="D783" s="2" t="s">
        <v>111</v>
      </c>
    </row>
    <row r="784" spans="2:4" x14ac:dyDescent="0.4">
      <c r="B784" s="218">
        <v>782</v>
      </c>
      <c r="C784" s="2" t="s">
        <v>92</v>
      </c>
      <c r="D784" s="2" t="s">
        <v>109</v>
      </c>
    </row>
    <row r="785" spans="2:4" x14ac:dyDescent="0.4">
      <c r="B785" s="218">
        <v>783</v>
      </c>
      <c r="C785" s="2" t="s">
        <v>88</v>
      </c>
      <c r="D785" s="2" t="s">
        <v>108</v>
      </c>
    </row>
    <row r="786" spans="2:4" x14ac:dyDescent="0.4">
      <c r="B786" s="218">
        <v>784</v>
      </c>
      <c r="C786" s="2" t="s">
        <v>94</v>
      </c>
      <c r="D786" s="2" t="s">
        <v>124</v>
      </c>
    </row>
    <row r="787" spans="2:4" x14ac:dyDescent="0.4">
      <c r="B787" s="218">
        <v>785</v>
      </c>
      <c r="C787" s="2" t="s">
        <v>88</v>
      </c>
      <c r="D787" s="2" t="s">
        <v>108</v>
      </c>
    </row>
    <row r="788" spans="2:4" x14ac:dyDescent="0.4">
      <c r="B788" s="218">
        <v>786</v>
      </c>
      <c r="C788" s="2" t="s">
        <v>95</v>
      </c>
      <c r="D788" s="2" t="s">
        <v>120</v>
      </c>
    </row>
    <row r="789" spans="2:4" x14ac:dyDescent="0.4">
      <c r="B789" s="218">
        <v>787</v>
      </c>
      <c r="C789" s="2" t="s">
        <v>92</v>
      </c>
      <c r="D789" s="2" t="s">
        <v>109</v>
      </c>
    </row>
    <row r="790" spans="2:4" x14ac:dyDescent="0.4">
      <c r="B790" s="218">
        <v>788</v>
      </c>
      <c r="C790" s="82" t="s">
        <v>88</v>
      </c>
      <c r="D790" s="82" t="s">
        <v>117</v>
      </c>
    </row>
    <row r="791" spans="2:4" x14ac:dyDescent="0.4">
      <c r="B791" s="218">
        <v>789</v>
      </c>
      <c r="C791" s="2" t="s">
        <v>92</v>
      </c>
      <c r="D791" s="2" t="s">
        <v>109</v>
      </c>
    </row>
    <row r="792" spans="2:4" x14ac:dyDescent="0.4">
      <c r="B792" s="218">
        <v>790</v>
      </c>
      <c r="C792" s="2" t="s">
        <v>92</v>
      </c>
      <c r="D792" s="2" t="s">
        <v>109</v>
      </c>
    </row>
    <row r="793" spans="2:4" x14ac:dyDescent="0.4">
      <c r="B793" s="218">
        <v>791</v>
      </c>
      <c r="C793" s="2" t="s">
        <v>94</v>
      </c>
      <c r="D793" s="2" t="s">
        <v>111</v>
      </c>
    </row>
    <row r="794" spans="2:4" x14ac:dyDescent="0.4">
      <c r="B794" s="218">
        <v>792</v>
      </c>
      <c r="C794" s="2" t="s">
        <v>94</v>
      </c>
      <c r="D794" s="2" t="s">
        <v>122</v>
      </c>
    </row>
    <row r="795" spans="2:4" x14ac:dyDescent="0.4">
      <c r="B795" s="218">
        <v>793</v>
      </c>
      <c r="C795" s="2" t="s">
        <v>94</v>
      </c>
      <c r="D795" s="2" t="s">
        <v>111</v>
      </c>
    </row>
    <row r="796" spans="2:4" x14ac:dyDescent="0.4">
      <c r="B796" s="218">
        <v>794</v>
      </c>
      <c r="C796" s="2" t="s">
        <v>95</v>
      </c>
      <c r="D796" s="2" t="s">
        <v>120</v>
      </c>
    </row>
    <row r="797" spans="2:4" x14ac:dyDescent="0.4">
      <c r="B797" s="218">
        <v>795</v>
      </c>
      <c r="C797" s="2" t="s">
        <v>90</v>
      </c>
      <c r="D797" s="2" t="s">
        <v>106</v>
      </c>
    </row>
    <row r="798" spans="2:4" x14ac:dyDescent="0.4">
      <c r="B798" s="218">
        <v>796</v>
      </c>
      <c r="C798" s="2" t="s">
        <v>95</v>
      </c>
      <c r="D798" s="2" t="s">
        <v>112</v>
      </c>
    </row>
    <row r="799" spans="2:4" x14ac:dyDescent="0.4">
      <c r="B799" s="218">
        <v>797</v>
      </c>
      <c r="C799" s="2" t="s">
        <v>94</v>
      </c>
      <c r="D799" s="2" t="s">
        <v>122</v>
      </c>
    </row>
    <row r="800" spans="2:4" x14ac:dyDescent="0.4">
      <c r="B800" s="218">
        <v>798</v>
      </c>
      <c r="C800" s="2" t="s">
        <v>91</v>
      </c>
      <c r="D800" s="2" t="s">
        <v>107</v>
      </c>
    </row>
    <row r="801" spans="2:4" x14ac:dyDescent="0.4">
      <c r="B801" s="218">
        <v>799</v>
      </c>
      <c r="C801" s="2" t="s">
        <v>88</v>
      </c>
      <c r="D801" s="2" t="s">
        <v>108</v>
      </c>
    </row>
    <row r="802" spans="2:4" x14ac:dyDescent="0.4">
      <c r="B802" s="218">
        <v>800</v>
      </c>
      <c r="C802" s="2" t="s">
        <v>91</v>
      </c>
      <c r="D802" s="2" t="s">
        <v>107</v>
      </c>
    </row>
    <row r="803" spans="2:4" x14ac:dyDescent="0.4">
      <c r="B803" s="218">
        <v>801</v>
      </c>
      <c r="C803" s="2" t="s">
        <v>90</v>
      </c>
      <c r="D803" s="2" t="s">
        <v>106</v>
      </c>
    </row>
    <row r="804" spans="2:4" x14ac:dyDescent="0.4">
      <c r="B804" s="218">
        <v>802</v>
      </c>
      <c r="C804" s="2" t="s">
        <v>95</v>
      </c>
      <c r="D804" s="82" t="s">
        <v>120</v>
      </c>
    </row>
    <row r="805" spans="2:4" x14ac:dyDescent="0.4">
      <c r="B805" s="218">
        <v>803</v>
      </c>
      <c r="C805" s="82" t="s">
        <v>92</v>
      </c>
      <c r="D805" s="82" t="s">
        <v>109</v>
      </c>
    </row>
    <row r="806" spans="2:4" x14ac:dyDescent="0.4">
      <c r="B806" s="218">
        <v>804</v>
      </c>
      <c r="C806" s="82" t="s">
        <v>88</v>
      </c>
      <c r="D806" s="82" t="s">
        <v>108</v>
      </c>
    </row>
    <row r="807" spans="2:4" x14ac:dyDescent="0.4">
      <c r="B807" s="218">
        <v>805</v>
      </c>
      <c r="C807" s="82" t="s">
        <v>94</v>
      </c>
      <c r="D807" s="82" t="s">
        <v>111</v>
      </c>
    </row>
    <row r="808" spans="2:4" x14ac:dyDescent="0.4">
      <c r="B808" s="218">
        <v>806</v>
      </c>
      <c r="C808" s="82" t="s">
        <v>5</v>
      </c>
      <c r="D808" s="82" t="s">
        <v>5</v>
      </c>
    </row>
    <row r="809" spans="2:4" x14ac:dyDescent="0.4">
      <c r="B809" s="219">
        <v>807</v>
      </c>
      <c r="C809" s="70" t="s">
        <v>163</v>
      </c>
      <c r="D809" s="70" t="s">
        <v>163</v>
      </c>
    </row>
    <row r="810" spans="2:4" x14ac:dyDescent="0.4">
      <c r="B810" s="218">
        <v>808</v>
      </c>
      <c r="C810" s="2" t="s">
        <v>94</v>
      </c>
      <c r="D810" s="82" t="s">
        <v>111</v>
      </c>
    </row>
    <row r="811" spans="2:4" x14ac:dyDescent="0.4">
      <c r="B811" s="218">
        <v>809</v>
      </c>
      <c r="C811" s="82" t="s">
        <v>88</v>
      </c>
      <c r="D811" s="82" t="s">
        <v>117</v>
      </c>
    </row>
    <row r="812" spans="2:4" x14ac:dyDescent="0.4">
      <c r="B812" s="218">
        <v>810</v>
      </c>
      <c r="C812" s="2" t="s">
        <v>94</v>
      </c>
      <c r="D812" s="82" t="s">
        <v>122</v>
      </c>
    </row>
    <row r="813" spans="2:4" x14ac:dyDescent="0.4">
      <c r="B813" s="218">
        <v>811</v>
      </c>
      <c r="C813" s="2" t="s">
        <v>94</v>
      </c>
      <c r="D813" s="82" t="s">
        <v>111</v>
      </c>
    </row>
    <row r="814" spans="2:4" x14ac:dyDescent="0.4">
      <c r="B814" s="219">
        <v>812</v>
      </c>
      <c r="C814" s="70" t="s">
        <v>163</v>
      </c>
      <c r="D814" s="70" t="s">
        <v>163</v>
      </c>
    </row>
    <row r="815" spans="2:4" x14ac:dyDescent="0.4">
      <c r="B815" s="218">
        <v>813</v>
      </c>
      <c r="C815" s="2" t="s">
        <v>92</v>
      </c>
      <c r="D815" s="82" t="s">
        <v>116</v>
      </c>
    </row>
    <row r="816" spans="2:4" x14ac:dyDescent="0.4">
      <c r="B816" s="218">
        <v>814</v>
      </c>
      <c r="C816" s="82" t="s">
        <v>91</v>
      </c>
      <c r="D816" s="82" t="s">
        <v>107</v>
      </c>
    </row>
    <row r="817" spans="2:4" x14ac:dyDescent="0.4">
      <c r="B817" s="218">
        <v>815</v>
      </c>
      <c r="C817" s="2" t="s">
        <v>94</v>
      </c>
      <c r="D817" s="2" t="s">
        <v>122</v>
      </c>
    </row>
    <row r="818" spans="2:4" x14ac:dyDescent="0.4">
      <c r="B818" s="218">
        <v>816</v>
      </c>
      <c r="C818" s="2" t="s">
        <v>92</v>
      </c>
      <c r="D818" s="2" t="s">
        <v>109</v>
      </c>
    </row>
    <row r="819" spans="2:4" x14ac:dyDescent="0.4">
      <c r="B819" s="218">
        <v>817</v>
      </c>
      <c r="C819" s="2" t="s">
        <v>92</v>
      </c>
      <c r="D819" s="2" t="s">
        <v>116</v>
      </c>
    </row>
    <row r="820" spans="2:4" x14ac:dyDescent="0.4">
      <c r="B820" s="218">
        <v>818</v>
      </c>
      <c r="C820" s="2" t="s">
        <v>95</v>
      </c>
      <c r="D820" s="2" t="s">
        <v>120</v>
      </c>
    </row>
    <row r="821" spans="2:4" x14ac:dyDescent="0.4">
      <c r="B821" s="218">
        <v>819</v>
      </c>
      <c r="C821" s="2" t="s">
        <v>88</v>
      </c>
      <c r="D821" s="2" t="s">
        <v>105</v>
      </c>
    </row>
    <row r="822" spans="2:4" x14ac:dyDescent="0.4">
      <c r="B822" s="218">
        <v>820</v>
      </c>
      <c r="C822" s="2" t="s">
        <v>95</v>
      </c>
      <c r="D822" s="2" t="s">
        <v>120</v>
      </c>
    </row>
    <row r="823" spans="2:4" x14ac:dyDescent="0.4">
      <c r="B823" s="218">
        <v>821</v>
      </c>
      <c r="C823" s="2" t="s">
        <v>94</v>
      </c>
      <c r="D823" s="2" t="s">
        <v>122</v>
      </c>
    </row>
    <row r="824" spans="2:4" x14ac:dyDescent="0.4">
      <c r="B824" s="218">
        <v>822</v>
      </c>
      <c r="C824" s="82" t="s">
        <v>94</v>
      </c>
      <c r="D824" s="82" t="s">
        <v>122</v>
      </c>
    </row>
    <row r="825" spans="2:4" x14ac:dyDescent="0.4">
      <c r="B825" s="218">
        <v>823</v>
      </c>
      <c r="C825" s="82" t="s">
        <v>94</v>
      </c>
      <c r="D825" s="82" t="s">
        <v>111</v>
      </c>
    </row>
    <row r="826" spans="2:4" x14ac:dyDescent="0.4">
      <c r="B826" s="218">
        <v>824</v>
      </c>
      <c r="C826" s="82" t="s">
        <v>97</v>
      </c>
      <c r="D826" s="82" t="s">
        <v>118</v>
      </c>
    </row>
    <row r="827" spans="2:4" x14ac:dyDescent="0.4">
      <c r="B827" s="218">
        <v>825</v>
      </c>
      <c r="C827" s="82" t="s">
        <v>95</v>
      </c>
      <c r="D827" s="82" t="s">
        <v>120</v>
      </c>
    </row>
    <row r="828" spans="2:4" x14ac:dyDescent="0.4">
      <c r="B828" s="218">
        <v>826</v>
      </c>
      <c r="C828" s="82" t="s">
        <v>94</v>
      </c>
      <c r="D828" s="82" t="s">
        <v>111</v>
      </c>
    </row>
    <row r="829" spans="2:4" x14ac:dyDescent="0.4">
      <c r="B829" s="219">
        <v>827</v>
      </c>
      <c r="C829" s="70" t="s">
        <v>163</v>
      </c>
      <c r="D829" s="70" t="s">
        <v>163</v>
      </c>
    </row>
    <row r="830" spans="2:4" x14ac:dyDescent="0.4">
      <c r="B830" s="218">
        <v>828</v>
      </c>
      <c r="C830" s="2" t="s">
        <v>94</v>
      </c>
      <c r="D830" s="2" t="s">
        <v>122</v>
      </c>
    </row>
    <row r="831" spans="2:4" x14ac:dyDescent="0.4">
      <c r="B831" s="218">
        <v>829</v>
      </c>
      <c r="C831" s="82" t="s">
        <v>90</v>
      </c>
      <c r="D831" s="82" t="s">
        <v>106</v>
      </c>
    </row>
    <row r="832" spans="2:4" x14ac:dyDescent="0.4">
      <c r="B832" s="218">
        <v>830</v>
      </c>
      <c r="C832" s="82" t="s">
        <v>92</v>
      </c>
      <c r="D832" s="82" t="s">
        <v>109</v>
      </c>
    </row>
    <row r="833" spans="2:4" x14ac:dyDescent="0.4">
      <c r="B833" s="218">
        <v>831</v>
      </c>
      <c r="C833" s="82" t="s">
        <v>95</v>
      </c>
      <c r="D833" s="82" t="s">
        <v>120</v>
      </c>
    </row>
    <row r="834" spans="2:4" x14ac:dyDescent="0.4">
      <c r="B834" s="218">
        <v>832</v>
      </c>
      <c r="C834" s="82" t="s">
        <v>92</v>
      </c>
      <c r="D834" s="82" t="s">
        <v>109</v>
      </c>
    </row>
    <row r="835" spans="2:4" x14ac:dyDescent="0.4">
      <c r="B835" s="218">
        <v>833</v>
      </c>
      <c r="C835" s="82" t="s">
        <v>94</v>
      </c>
      <c r="D835" s="82" t="s">
        <v>111</v>
      </c>
    </row>
    <row r="836" spans="2:4" x14ac:dyDescent="0.4">
      <c r="B836" s="218">
        <v>834</v>
      </c>
      <c r="C836" s="82" t="s">
        <v>95</v>
      </c>
      <c r="D836" s="82" t="s">
        <v>120</v>
      </c>
    </row>
    <row r="837" spans="2:4" x14ac:dyDescent="0.4">
      <c r="B837" s="218">
        <v>835</v>
      </c>
      <c r="C837" s="82" t="s">
        <v>95</v>
      </c>
      <c r="D837" s="82" t="s">
        <v>112</v>
      </c>
    </row>
    <row r="838" spans="2:4" x14ac:dyDescent="0.4">
      <c r="B838" s="218">
        <v>836</v>
      </c>
      <c r="C838" s="82" t="s">
        <v>88</v>
      </c>
      <c r="D838" s="82" t="s">
        <v>108</v>
      </c>
    </row>
    <row r="839" spans="2:4" x14ac:dyDescent="0.4">
      <c r="B839" s="218">
        <v>837</v>
      </c>
      <c r="C839" s="338" t="s">
        <v>95</v>
      </c>
      <c r="D839" s="261" t="s">
        <v>112</v>
      </c>
    </row>
    <row r="840" spans="2:4" x14ac:dyDescent="0.4">
      <c r="B840" s="218">
        <v>838</v>
      </c>
      <c r="C840" s="261" t="s">
        <v>90</v>
      </c>
      <c r="D840" s="261" t="s">
        <v>106</v>
      </c>
    </row>
    <row r="841" spans="2:4" x14ac:dyDescent="0.4">
      <c r="B841" s="218">
        <v>839</v>
      </c>
      <c r="C841" s="2" t="s">
        <v>92</v>
      </c>
      <c r="D841" s="2" t="s">
        <v>116</v>
      </c>
    </row>
    <row r="842" spans="2:4" x14ac:dyDescent="0.4">
      <c r="B842" s="218">
        <v>840</v>
      </c>
      <c r="C842" s="338" t="s">
        <v>92</v>
      </c>
      <c r="D842" s="261" t="s">
        <v>109</v>
      </c>
    </row>
    <row r="843" spans="2:4" x14ac:dyDescent="0.4">
      <c r="B843" s="218">
        <v>841</v>
      </c>
      <c r="C843" s="338" t="s">
        <v>94</v>
      </c>
      <c r="D843" s="261" t="s">
        <v>111</v>
      </c>
    </row>
    <row r="844" spans="2:4" x14ac:dyDescent="0.4">
      <c r="B844" s="218">
        <v>842</v>
      </c>
      <c r="C844" s="338" t="s">
        <v>94</v>
      </c>
      <c r="D844" s="261" t="s">
        <v>111</v>
      </c>
    </row>
    <row r="845" spans="2:4" x14ac:dyDescent="0.4">
      <c r="B845" s="218">
        <v>843</v>
      </c>
      <c r="C845" s="338" t="s">
        <v>91</v>
      </c>
      <c r="D845" s="261" t="s">
        <v>107</v>
      </c>
    </row>
    <row r="846" spans="2:4" x14ac:dyDescent="0.4">
      <c r="B846" s="218">
        <v>844</v>
      </c>
      <c r="C846" s="338" t="s">
        <v>94</v>
      </c>
      <c r="D846" s="338" t="s">
        <v>111</v>
      </c>
    </row>
    <row r="847" spans="2:4" x14ac:dyDescent="0.4">
      <c r="B847" s="218">
        <v>845</v>
      </c>
      <c r="C847" s="261" t="s">
        <v>88</v>
      </c>
      <c r="D847" s="338" t="s">
        <v>108</v>
      </c>
    </row>
    <row r="848" spans="2:4" x14ac:dyDescent="0.4">
      <c r="B848" s="218">
        <v>846</v>
      </c>
      <c r="C848" s="261" t="s">
        <v>88</v>
      </c>
      <c r="D848" s="338" t="s">
        <v>108</v>
      </c>
    </row>
    <row r="849" spans="2:4" x14ac:dyDescent="0.4">
      <c r="B849" s="218">
        <v>847</v>
      </c>
      <c r="C849" s="338" t="s">
        <v>91</v>
      </c>
      <c r="D849" s="338" t="s">
        <v>107</v>
      </c>
    </row>
    <row r="850" spans="2:4" x14ac:dyDescent="0.4">
      <c r="B850" s="218">
        <v>848</v>
      </c>
      <c r="C850" s="338" t="s">
        <v>91</v>
      </c>
      <c r="D850" s="338" t="s">
        <v>107</v>
      </c>
    </row>
    <row r="851" spans="2:4" x14ac:dyDescent="0.4">
      <c r="B851" s="218">
        <v>849</v>
      </c>
      <c r="C851" s="338" t="s">
        <v>91</v>
      </c>
      <c r="D851" s="338" t="s">
        <v>107</v>
      </c>
    </row>
    <row r="852" spans="2:4" x14ac:dyDescent="0.4">
      <c r="B852" s="218">
        <v>850</v>
      </c>
      <c r="C852" s="338" t="s">
        <v>92</v>
      </c>
      <c r="D852" s="338" t="s">
        <v>109</v>
      </c>
    </row>
    <row r="853" spans="2:4" x14ac:dyDescent="0.4">
      <c r="B853" s="218">
        <v>851</v>
      </c>
      <c r="C853" s="338" t="s">
        <v>92</v>
      </c>
      <c r="D853" s="338" t="s">
        <v>109</v>
      </c>
    </row>
    <row r="854" spans="2:4" x14ac:dyDescent="0.4">
      <c r="B854" s="218">
        <v>852</v>
      </c>
      <c r="C854" s="338" t="s">
        <v>94</v>
      </c>
      <c r="D854" s="338" t="s">
        <v>111</v>
      </c>
    </row>
    <row r="855" spans="2:4" x14ac:dyDescent="0.4">
      <c r="B855" s="218">
        <v>853</v>
      </c>
      <c r="C855" s="82" t="s">
        <v>97</v>
      </c>
      <c r="D855" s="82" t="s">
        <v>118</v>
      </c>
    </row>
    <row r="856" spans="2:4" x14ac:dyDescent="0.4">
      <c r="B856" s="213">
        <v>854</v>
      </c>
      <c r="C856" s="2" t="s">
        <v>88</v>
      </c>
      <c r="D856" s="2" t="s">
        <v>108</v>
      </c>
    </row>
    <row r="857" spans="2:4" x14ac:dyDescent="0.4">
      <c r="B857" s="213">
        <v>855</v>
      </c>
      <c r="C857" s="261" t="s">
        <v>97</v>
      </c>
      <c r="D857" s="261" t="s">
        <v>118</v>
      </c>
    </row>
    <row r="858" spans="2:4" x14ac:dyDescent="0.4">
      <c r="B858" s="213">
        <v>856</v>
      </c>
      <c r="C858" s="2" t="s">
        <v>88</v>
      </c>
      <c r="D858" s="2" t="s">
        <v>108</v>
      </c>
    </row>
    <row r="859" spans="2:4" x14ac:dyDescent="0.4">
      <c r="B859" s="213">
        <v>857</v>
      </c>
      <c r="C859" s="338" t="s">
        <v>92</v>
      </c>
      <c r="D859" s="261" t="s">
        <v>109</v>
      </c>
    </row>
    <row r="860" spans="2:4" x14ac:dyDescent="0.4">
      <c r="B860" s="213">
        <v>858</v>
      </c>
      <c r="C860" s="338" t="s">
        <v>94</v>
      </c>
      <c r="D860" s="261" t="s">
        <v>111</v>
      </c>
    </row>
    <row r="861" spans="2:4" x14ac:dyDescent="0.4">
      <c r="B861" s="213">
        <v>859</v>
      </c>
      <c r="C861" s="261" t="s">
        <v>90</v>
      </c>
      <c r="D861" s="261" t="s">
        <v>106</v>
      </c>
    </row>
    <row r="862" spans="2:4" x14ac:dyDescent="0.4">
      <c r="B862" s="213">
        <v>860</v>
      </c>
      <c r="C862" s="261" t="s">
        <v>88</v>
      </c>
      <c r="D862" s="261" t="s">
        <v>105</v>
      </c>
    </row>
    <row r="863" spans="2:4" x14ac:dyDescent="0.4">
      <c r="B863" s="213">
        <v>861</v>
      </c>
      <c r="C863" s="338" t="s">
        <v>95</v>
      </c>
      <c r="D863" s="261" t="s">
        <v>112</v>
      </c>
    </row>
    <row r="864" spans="2:4" x14ac:dyDescent="0.4">
      <c r="B864" s="213">
        <v>862</v>
      </c>
      <c r="C864" s="261" t="s">
        <v>91</v>
      </c>
      <c r="D864" s="261" t="s">
        <v>107</v>
      </c>
    </row>
    <row r="865" spans="2:4" x14ac:dyDescent="0.4">
      <c r="B865" s="213">
        <v>863</v>
      </c>
      <c r="C865" s="338" t="s">
        <v>92</v>
      </c>
      <c r="D865" s="261" t="s">
        <v>116</v>
      </c>
    </row>
    <row r="866" spans="2:4" x14ac:dyDescent="0.4">
      <c r="B866" s="213">
        <v>864</v>
      </c>
      <c r="C866" s="261" t="s">
        <v>95</v>
      </c>
      <c r="D866" s="261" t="s">
        <v>120</v>
      </c>
    </row>
    <row r="867" spans="2:4" x14ac:dyDescent="0.4">
      <c r="B867" s="218">
        <v>865</v>
      </c>
      <c r="C867" s="338" t="s">
        <v>94</v>
      </c>
      <c r="D867" s="338" t="s">
        <v>111</v>
      </c>
    </row>
    <row r="868" spans="2:4" x14ac:dyDescent="0.4">
      <c r="B868" s="218">
        <v>866</v>
      </c>
      <c r="C868" s="338" t="s">
        <v>94</v>
      </c>
      <c r="D868" s="338" t="s">
        <v>122</v>
      </c>
    </row>
    <row r="869" spans="2:4" x14ac:dyDescent="0.4">
      <c r="B869" s="218">
        <v>867</v>
      </c>
      <c r="C869" s="338" t="s">
        <v>94</v>
      </c>
      <c r="D869" s="338" t="s">
        <v>111</v>
      </c>
    </row>
    <row r="870" spans="2:4" x14ac:dyDescent="0.4">
      <c r="B870" s="218">
        <v>868</v>
      </c>
      <c r="C870" s="338" t="s">
        <v>92</v>
      </c>
      <c r="D870" s="338" t="s">
        <v>109</v>
      </c>
    </row>
    <row r="871" spans="2:4" x14ac:dyDescent="0.4">
      <c r="B871" s="218">
        <v>869</v>
      </c>
      <c r="C871" s="82" t="s">
        <v>88</v>
      </c>
      <c r="D871" s="82" t="s">
        <v>108</v>
      </c>
    </row>
    <row r="872" spans="2:4" x14ac:dyDescent="0.4">
      <c r="B872" s="218">
        <v>870</v>
      </c>
      <c r="C872" s="338" t="s">
        <v>94</v>
      </c>
      <c r="D872" s="338" t="s">
        <v>122</v>
      </c>
    </row>
    <row r="873" spans="2:4" x14ac:dyDescent="0.4">
      <c r="B873" s="218">
        <v>871</v>
      </c>
      <c r="C873" s="56"/>
      <c r="D873" s="56"/>
    </row>
    <row r="874" spans="2:4" x14ac:dyDescent="0.4">
      <c r="B874" s="218">
        <v>872</v>
      </c>
      <c r="C874" s="56"/>
      <c r="D874" s="56"/>
    </row>
    <row r="875" spans="2:4" x14ac:dyDescent="0.4">
      <c r="B875" s="218">
        <v>873</v>
      </c>
      <c r="C875" s="56"/>
      <c r="D875" s="56"/>
    </row>
    <row r="876" spans="2:4" x14ac:dyDescent="0.4">
      <c r="B876" s="218">
        <v>874</v>
      </c>
      <c r="C876" s="56"/>
      <c r="D876" s="56"/>
    </row>
    <row r="877" spans="2:4" x14ac:dyDescent="0.4">
      <c r="B877" s="218">
        <v>875</v>
      </c>
      <c r="C877" s="56"/>
      <c r="D877" s="56"/>
    </row>
    <row r="878" spans="2:4" x14ac:dyDescent="0.4">
      <c r="B878" s="218">
        <v>876</v>
      </c>
      <c r="C878" s="56"/>
      <c r="D878" s="56"/>
    </row>
    <row r="879" spans="2:4" x14ac:dyDescent="0.4">
      <c r="B879" s="218">
        <v>877</v>
      </c>
      <c r="C879" s="82"/>
      <c r="D879" s="82"/>
    </row>
    <row r="880" spans="2:4" x14ac:dyDescent="0.4">
      <c r="B880" s="218">
        <v>878</v>
      </c>
      <c r="C880" s="1"/>
      <c r="D880" s="1"/>
    </row>
    <row r="881" spans="2:4" x14ac:dyDescent="0.4">
      <c r="B881" s="218">
        <v>879</v>
      </c>
      <c r="C881" s="1"/>
      <c r="D881" s="1"/>
    </row>
    <row r="882" spans="2:4" x14ac:dyDescent="0.4">
      <c r="B882" s="218">
        <v>880</v>
      </c>
      <c r="C882" s="1"/>
      <c r="D882" s="1"/>
    </row>
    <row r="883" spans="2:4" x14ac:dyDescent="0.4">
      <c r="B883" s="218">
        <v>881</v>
      </c>
      <c r="C883" s="1"/>
      <c r="D883" s="1"/>
    </row>
    <row r="884" spans="2:4" x14ac:dyDescent="0.4">
      <c r="B884" s="218">
        <v>882</v>
      </c>
      <c r="C884" s="1"/>
      <c r="D884" s="1"/>
    </row>
    <row r="885" spans="2:4" x14ac:dyDescent="0.4">
      <c r="B885" s="218">
        <v>883</v>
      </c>
      <c r="C885" s="1"/>
      <c r="D885" s="1"/>
    </row>
    <row r="886" spans="2:4" x14ac:dyDescent="0.4">
      <c r="B886" s="218">
        <v>884</v>
      </c>
      <c r="C886" s="1"/>
      <c r="D886" s="1"/>
    </row>
    <row r="887" spans="2:4" x14ac:dyDescent="0.4">
      <c r="B887" s="218">
        <v>885</v>
      </c>
      <c r="C887" s="1"/>
      <c r="D887" s="1"/>
    </row>
    <row r="888" spans="2:4" x14ac:dyDescent="0.4">
      <c r="B888" s="218">
        <v>886</v>
      </c>
      <c r="C888" s="1"/>
      <c r="D888" s="1"/>
    </row>
    <row r="889" spans="2:4" x14ac:dyDescent="0.4">
      <c r="B889" s="218">
        <v>887</v>
      </c>
      <c r="C889" s="1"/>
      <c r="D889" s="1"/>
    </row>
    <row r="890" spans="2:4" x14ac:dyDescent="0.4">
      <c r="B890" s="218">
        <v>888</v>
      </c>
      <c r="C890" s="1"/>
      <c r="D890" s="1"/>
    </row>
  </sheetData>
  <autoFilter ref="G2:I373"/>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75"/>
  <sheetViews>
    <sheetView topLeftCell="H49" zoomScale="115" zoomScaleNormal="115" workbookViewId="0">
      <selection activeCell="R19" sqref="R19"/>
    </sheetView>
  </sheetViews>
  <sheetFormatPr defaultRowHeight="17.399999999999999" x14ac:dyDescent="0.4"/>
  <cols>
    <col min="2" max="2" width="29.8984375" hidden="1" customWidth="1"/>
    <col min="3" max="3" width="17.8984375" bestFit="1" customWidth="1"/>
    <col min="4" max="4" width="11.5" customWidth="1"/>
    <col min="5" max="5" width="9.09765625" customWidth="1"/>
    <col min="6" max="6" width="13.5" customWidth="1"/>
    <col min="7" max="7" width="13.5" bestFit="1" customWidth="1"/>
    <col min="8" max="8" width="4.69921875" customWidth="1"/>
    <col min="9" max="9" width="13.5" bestFit="1" customWidth="1"/>
    <col min="10" max="10" width="13.5" hidden="1" customWidth="1"/>
    <col min="11" max="12" width="9" hidden="1" customWidth="1"/>
    <col min="13" max="13" width="13.5" bestFit="1" customWidth="1"/>
    <col min="14" max="14" width="13.5" customWidth="1"/>
    <col min="18" max="18" width="13.3984375" customWidth="1"/>
    <col min="19" max="19" width="13.8984375" bestFit="1" customWidth="1"/>
    <col min="20" max="24" width="7.5" customWidth="1"/>
    <col min="25" max="25" width="7.3984375" customWidth="1"/>
  </cols>
  <sheetData>
    <row r="2" spans="2:23" hidden="1" x14ac:dyDescent="0.4">
      <c r="D2" t="s">
        <v>30</v>
      </c>
      <c r="G2" t="s">
        <v>31</v>
      </c>
      <c r="I2" t="s">
        <v>32</v>
      </c>
      <c r="K2" t="s">
        <v>33</v>
      </c>
      <c r="L2" t="s">
        <v>368</v>
      </c>
    </row>
    <row r="3" spans="2:23" x14ac:dyDescent="0.4">
      <c r="D3" s="220" t="s">
        <v>380</v>
      </c>
      <c r="E3" s="314"/>
      <c r="F3" s="314"/>
      <c r="G3" s="220" t="s">
        <v>381</v>
      </c>
      <c r="H3" s="314"/>
      <c r="I3" s="220" t="s">
        <v>382</v>
      </c>
      <c r="J3" s="313"/>
      <c r="K3" s="220" t="s">
        <v>33</v>
      </c>
      <c r="L3" s="220" t="s">
        <v>368</v>
      </c>
      <c r="M3" s="238" t="s">
        <v>419</v>
      </c>
      <c r="N3" s="314"/>
      <c r="O3" s="224" t="s">
        <v>387</v>
      </c>
      <c r="S3" s="380"/>
      <c r="T3" s="380"/>
      <c r="U3" s="380"/>
      <c r="V3" s="380"/>
      <c r="W3" s="380"/>
    </row>
    <row r="4" spans="2:23" x14ac:dyDescent="0.4">
      <c r="B4" t="s">
        <v>412</v>
      </c>
      <c r="C4" t="s">
        <v>384</v>
      </c>
      <c r="D4" s="224">
        <f>COUNTIFS('2023년 신조차 고장관리 세부현황'!$DG:$DG,D$2,'2023년 신조차 고장관리 세부현황'!$AQ:$AQ,'초동조사 현황'!$B4)</f>
        <v>0</v>
      </c>
      <c r="E4" s="314"/>
      <c r="F4" s="314"/>
      <c r="G4" s="224">
        <f>COUNTIFS('2023년 신조차 고장관리 세부현황'!$DG:$DG,G$2,'2023년 신조차 고장관리 세부현황'!$AQ:$AQ,'초동조사 현황'!$B4)</f>
        <v>0</v>
      </c>
      <c r="H4" s="314"/>
      <c r="I4" s="224">
        <f>COUNTIFS('2023년 신조차 고장관리 세부현황'!$DG:$DG,I$2,'2023년 신조차 고장관리 세부현황'!$AQ:$AQ,'초동조사 현황'!$B4)</f>
        <v>0</v>
      </c>
      <c r="J4" s="313"/>
      <c r="K4" s="224">
        <f>COUNTIFS('2023년 신조차 고장관리 세부현황'!$DG:$DG,K$2,'2023년 신조차 고장관리 세부현황'!$AQ:$AQ,'초동조사 현황'!$B4)</f>
        <v>0</v>
      </c>
      <c r="L4" s="224">
        <f>COUNTIFS('2023년 신조차 고장관리 세부현황'!$DG:$DG,L$2,'2023년 신조차 고장관리 세부현황'!$AQ:$AQ,'초동조사 현황'!$B4)</f>
        <v>0</v>
      </c>
      <c r="M4" s="238">
        <f>K4+L4</f>
        <v>0</v>
      </c>
      <c r="N4" s="314"/>
      <c r="O4">
        <f>D4+G4+I4+M4</f>
        <v>0</v>
      </c>
    </row>
    <row r="5" spans="2:23" x14ac:dyDescent="0.4">
      <c r="B5" t="s">
        <v>413</v>
      </c>
      <c r="C5" t="s">
        <v>385</v>
      </c>
      <c r="D5" s="224">
        <f>COUNTIFS('2023년 신조차 고장관리 세부현황'!$DG:$DG,D$2,'2023년 신조차 고장관리 세부현황'!$AQ:$AQ,'초동조사 현황'!$B5)</f>
        <v>0</v>
      </c>
      <c r="E5" s="314"/>
      <c r="F5" s="314"/>
      <c r="G5" s="224">
        <f>COUNTIFS('2023년 신조차 고장관리 세부현황'!$DG:$DG,G$2,'2023년 신조차 고장관리 세부현황'!$AQ:$AQ,'초동조사 현황'!$B5)</f>
        <v>0</v>
      </c>
      <c r="H5" s="314"/>
      <c r="I5" s="224">
        <f>COUNTIFS('2023년 신조차 고장관리 세부현황'!$DG:$DG,I$2,'2023년 신조차 고장관리 세부현황'!$AQ:$AQ,'초동조사 현황'!$B5)</f>
        <v>0</v>
      </c>
      <c r="J5" s="313"/>
      <c r="K5" s="224">
        <f>COUNTIFS('2023년 신조차 고장관리 세부현황'!$DG:$DG,K$2,'2023년 신조차 고장관리 세부현황'!$AQ:$AQ,'초동조사 현황'!$B5)</f>
        <v>0</v>
      </c>
      <c r="L5" s="224">
        <f>COUNTIFS('2023년 신조차 고장관리 세부현황'!$DG:$DG,L$2,'2023년 신조차 고장관리 세부현황'!$AQ:$AQ,'초동조사 현황'!$B5)</f>
        <v>0</v>
      </c>
      <c r="M5" s="238">
        <f t="shared" ref="M5:M7" si="0">K5+L5</f>
        <v>0</v>
      </c>
      <c r="N5" s="314"/>
      <c r="O5">
        <f>D5+G5+I5+M5</f>
        <v>0</v>
      </c>
    </row>
    <row r="6" spans="2:23" x14ac:dyDescent="0.4">
      <c r="B6" s="225" t="s">
        <v>414</v>
      </c>
      <c r="C6" s="225" t="s">
        <v>383</v>
      </c>
      <c r="D6" s="224">
        <f>COUNTIFS('2023년 신조차 고장관리 세부현황'!$DG:$DG,D$2,'2023년 신조차 고장관리 세부현황'!$AQ:$AQ,'초동조사 현황'!$B6)</f>
        <v>0</v>
      </c>
      <c r="E6" s="314"/>
      <c r="F6" s="314"/>
      <c r="G6" s="224">
        <f>COUNTIFS('2023년 신조차 고장관리 세부현황'!$DG:$DG,G$2,'2023년 신조차 고장관리 세부현황'!$AQ:$AQ,'초동조사 현황'!$B6)</f>
        <v>0</v>
      </c>
      <c r="H6" s="314"/>
      <c r="I6" s="224">
        <f>COUNTIFS('2023년 신조차 고장관리 세부현황'!$DG:$DG,I$2,'2023년 신조차 고장관리 세부현황'!$AQ:$AQ,'초동조사 현황'!$B6)</f>
        <v>0</v>
      </c>
      <c r="J6" s="313"/>
      <c r="K6" s="224">
        <f>COUNTIFS('2023년 신조차 고장관리 세부현황'!$DG:$DG,K$2,'2023년 신조차 고장관리 세부현황'!$AQ:$AQ,'초동조사 현황'!$B6)</f>
        <v>0</v>
      </c>
      <c r="L6" s="224">
        <f>COUNTIFS('2023년 신조차 고장관리 세부현황'!$DG:$DG,L$2,'2023년 신조차 고장관리 세부현황'!$AQ:$AQ,'초동조사 현황'!$B6)</f>
        <v>0</v>
      </c>
      <c r="M6" s="238">
        <f t="shared" si="0"/>
        <v>0</v>
      </c>
      <c r="N6" s="314"/>
      <c r="O6">
        <f>D6+G6+I6+M6</f>
        <v>0</v>
      </c>
    </row>
    <row r="7" spans="2:23" x14ac:dyDescent="0.4">
      <c r="B7" t="s">
        <v>173</v>
      </c>
      <c r="C7" t="s">
        <v>386</v>
      </c>
      <c r="D7" s="224">
        <f>COUNTIFS('2023년 신조차 고장관리 세부현황'!$DG:$DG,D$2,'2023년 신조차 고장관리 세부현황'!$AQ:$AQ,'초동조사 현황'!$B7)</f>
        <v>9</v>
      </c>
      <c r="E7" s="314"/>
      <c r="F7" s="314"/>
      <c r="G7" s="224">
        <f>COUNTIFS('2023년 신조차 고장관리 세부현황'!$DG:$DG,G$2,'2023년 신조차 고장관리 세부현황'!$AQ:$AQ,'초동조사 현황'!$B7)</f>
        <v>7</v>
      </c>
      <c r="H7" s="314"/>
      <c r="I7" s="224">
        <f>COUNTIFS('2023년 신조차 고장관리 세부현황'!$DG:$DG,I$2,'2023년 신조차 고장관리 세부현황'!$AQ:$AQ,'초동조사 현황'!$B7)</f>
        <v>0</v>
      </c>
      <c r="J7" s="313"/>
      <c r="K7" s="224">
        <f>COUNTIFS('2023년 신조차 고장관리 세부현황'!$DG:$DG,K$2,'2023년 신조차 고장관리 세부현황'!$AQ:$AQ,'초동조사 현황'!$B7)</f>
        <v>0</v>
      </c>
      <c r="L7" s="224">
        <f>COUNTIFS('2023년 신조차 고장관리 세부현황'!$DG:$DG,L$2,'2023년 신조차 고장관리 세부현황'!$AQ:$AQ,'초동조사 현황'!$B7)</f>
        <v>0</v>
      </c>
      <c r="M7" s="238">
        <f t="shared" si="0"/>
        <v>0</v>
      </c>
      <c r="N7" s="314"/>
      <c r="O7">
        <f>D7+G7+I7+M7</f>
        <v>16</v>
      </c>
    </row>
    <row r="9" spans="2:23" x14ac:dyDescent="0.4">
      <c r="C9" s="446" t="s">
        <v>541</v>
      </c>
      <c r="D9" s="449" t="s">
        <v>546</v>
      </c>
      <c r="E9" s="448" t="s">
        <v>163</v>
      </c>
      <c r="F9" s="450" t="s">
        <v>545</v>
      </c>
      <c r="G9" s="451"/>
      <c r="H9" s="451"/>
      <c r="I9" s="452"/>
    </row>
    <row r="10" spans="2:23" x14ac:dyDescent="0.4">
      <c r="C10" s="446"/>
      <c r="D10" s="448"/>
      <c r="E10" s="448"/>
      <c r="F10" s="328"/>
      <c r="G10" s="448" t="s">
        <v>543</v>
      </c>
      <c r="H10" s="448"/>
      <c r="I10" s="325" t="s">
        <v>542</v>
      </c>
      <c r="J10" s="313" t="s">
        <v>531</v>
      </c>
      <c r="K10" s="256"/>
      <c r="L10" s="256"/>
      <c r="M10" s="317"/>
      <c r="N10" s="314"/>
      <c r="O10" s="256"/>
    </row>
    <row r="11" spans="2:23" x14ac:dyDescent="0.4">
      <c r="C11" s="319" t="s">
        <v>437</v>
      </c>
      <c r="D11" s="85">
        <f>COUNTIFS('2023년 신조차 고장관리 세부현황'!$DE$8:$DE$8814,"구로")</f>
        <v>17</v>
      </c>
      <c r="E11" s="85">
        <f>COUNTIFS('2023년 신조차 고장관리 세부현황'!$DE$8:$DE$8814,"구로",'2023년 신조차 고장관리 세부현황'!$AE$8:$AE$8814,"삭제")</f>
        <v>0</v>
      </c>
      <c r="F11" s="172">
        <f>D11-E11</f>
        <v>17</v>
      </c>
      <c r="G11" s="85">
        <f>COUNTIFS('2023년 신조차 고장관리 세부현황'!$DE$8:$DE$8814,"구로",'2023년 신조차 고장관리 세부현황'!$AS$8:$AS$8814,"O")</f>
        <v>9</v>
      </c>
      <c r="H11" s="326">
        <f>G11/F11</f>
        <v>0.52941176470588236</v>
      </c>
      <c r="I11" s="318">
        <f>F11-G11</f>
        <v>8</v>
      </c>
      <c r="J11" s="313">
        <f>COUNTIFS('2023년 신조차 고장관리 세부현황'!$DE$8:$DE$44,"구로",'2023년 신조차 고장관리 세부현황'!$AS$8:$AS$44,"-",'2023년 신조차 고장관리 세부현황'!$V$8:$V$44,"완료")</f>
        <v>0</v>
      </c>
      <c r="K11" s="313"/>
      <c r="L11" s="313"/>
      <c r="M11" s="313"/>
      <c r="N11" s="314"/>
      <c r="O11" s="259"/>
    </row>
    <row r="12" spans="2:23" x14ac:dyDescent="0.4">
      <c r="C12" s="319" t="s">
        <v>439</v>
      </c>
      <c r="D12" s="85">
        <f>COUNTIFS('2023년 신조차 고장관리 세부현황'!$DE$8:$DE$8814,"이문")</f>
        <v>14</v>
      </c>
      <c r="E12" s="85">
        <f>COUNTIFS('2023년 신조차 고장관리 세부현황'!$DE$8:$DE$8814,"이문",'2023년 신조차 고장관리 세부현황'!$AE$8:$AE$8814,"삭제")</f>
        <v>0</v>
      </c>
      <c r="F12" s="172">
        <f t="shared" ref="F12:F17" si="1">D12-E12</f>
        <v>14</v>
      </c>
      <c r="G12" s="85">
        <f>COUNTIFS('2023년 신조차 고장관리 세부현황'!$DE$8:$DE$8814,"이문",'2023년 신조차 고장관리 세부현황'!$AS$8:$AS$8814,"O")</f>
        <v>9</v>
      </c>
      <c r="H12" s="326">
        <f t="shared" ref="H12:H18" si="2">G12/F12</f>
        <v>0.6428571428571429</v>
      </c>
      <c r="I12" s="318">
        <f t="shared" ref="I12:I16" si="3">F12-G12</f>
        <v>5</v>
      </c>
      <c r="J12" s="313">
        <f>COUNTIFS('2023년 신조차 고장관리 세부현황'!$DE$8:$DE$44,"이문",'2023년 신조차 고장관리 세부현황'!$AS$8:$AS$44,"-",'2023년 신조차 고장관리 세부현황'!$V$8:$V$44,"완료")</f>
        <v>0</v>
      </c>
      <c r="K12" s="313"/>
      <c r="L12" s="313"/>
      <c r="M12" s="313"/>
      <c r="N12" s="314"/>
      <c r="O12" s="259"/>
    </row>
    <row r="13" spans="2:23" x14ac:dyDescent="0.4">
      <c r="C13" s="319" t="s">
        <v>438</v>
      </c>
      <c r="D13" s="85">
        <f>COUNTIFS('2023년 신조차 고장관리 세부현황'!$DE$8:$DE$8814,"시흥")</f>
        <v>2</v>
      </c>
      <c r="E13" s="85">
        <f>COUNTIFS('2023년 신조차 고장관리 세부현황'!$DE$8:$DE$8814,"시흥",'2023년 신조차 고장관리 세부현황'!$AE$8:$AE$8814,"삭제")</f>
        <v>0</v>
      </c>
      <c r="F13" s="172">
        <f t="shared" si="1"/>
        <v>2</v>
      </c>
      <c r="G13" s="85">
        <f>COUNTIFS('2023년 신조차 고장관리 세부현황'!$DE$8:$DE$8814,"시흥",'2023년 신조차 고장관리 세부현황'!$AS$8:$AS$8814,"O")</f>
        <v>2</v>
      </c>
      <c r="H13" s="326">
        <f t="shared" si="2"/>
        <v>1</v>
      </c>
      <c r="I13" s="318">
        <f t="shared" si="3"/>
        <v>0</v>
      </c>
      <c r="J13" s="313">
        <f>COUNTIFS('2023년 신조차 고장관리 세부현황'!$DE$8:$DE$44,"시흥",'2023년 신조차 고장관리 세부현황'!$AS$8:$AS$44,"-",'2023년 신조차 고장관리 세부현황'!$V$8:$V$44,"완료")</f>
        <v>0</v>
      </c>
      <c r="K13" s="313"/>
      <c r="L13" s="313"/>
      <c r="M13" s="313"/>
      <c r="N13" s="314"/>
      <c r="O13" s="259"/>
    </row>
    <row r="14" spans="2:23" x14ac:dyDescent="0.4">
      <c r="C14" s="319" t="s">
        <v>440</v>
      </c>
      <c r="D14" s="85">
        <f>COUNTIFS('2023년 신조차 고장관리 세부현황'!$DE$8:$DE$8814,"분당")</f>
        <v>6</v>
      </c>
      <c r="E14" s="85">
        <f>COUNTIFS('2023년 신조차 고장관리 세부현황'!$DE$8:$DE$8814,"분당",'2023년 신조차 고장관리 세부현황'!$AE$8:$AE$8814,"삭제")</f>
        <v>0</v>
      </c>
      <c r="F14" s="172">
        <f t="shared" si="1"/>
        <v>6</v>
      </c>
      <c r="G14" s="85">
        <f>COUNTIFS('2023년 신조차 고장관리 세부현황'!$DE$8:$DE$8814,"분당",'2023년 신조차 고장관리 세부현황'!$AS$8:$AS$8814,"O")</f>
        <v>6</v>
      </c>
      <c r="H14" s="326">
        <f t="shared" si="2"/>
        <v>1</v>
      </c>
      <c r="I14" s="318">
        <f t="shared" si="3"/>
        <v>0</v>
      </c>
      <c r="J14" s="313">
        <f>COUNTIFS('2023년 신조차 고장관리 세부현황'!$DE$8:$DE$44,"분당",'2023년 신조차 고장관리 세부현황'!$AS$8:$AS$44,"-",'2023년 신조차 고장관리 세부현황'!$V$8:$V$44,"완료")</f>
        <v>0</v>
      </c>
      <c r="K14" s="313"/>
      <c r="L14" s="313"/>
      <c r="M14" s="313"/>
      <c r="N14" s="314"/>
      <c r="O14" s="259"/>
    </row>
    <row r="15" spans="2:23" x14ac:dyDescent="0.4">
      <c r="C15" s="319" t="s">
        <v>441</v>
      </c>
      <c r="D15" s="85">
        <f>COUNTIFS('2023년 신조차 고장관리 세부현황'!$DE$8:$DE$8814,"울산")</f>
        <v>0</v>
      </c>
      <c r="E15" s="85">
        <f>COUNTIFS('2023년 신조차 고장관리 세부현황'!$DE$8:$DE$8814,"울산",'2023년 신조차 고장관리 세부현황'!$AE$8:$AE$8814,"삭제")</f>
        <v>0</v>
      </c>
      <c r="F15" s="172">
        <f t="shared" si="1"/>
        <v>0</v>
      </c>
      <c r="G15" s="85">
        <f>COUNTIFS('2023년 신조차 고장관리 세부현황'!$DE$8:$DE$8814,"울산",'2023년 신조차 고장관리 세부현황'!$AS$8:$AS$8814,"O")</f>
        <v>0</v>
      </c>
      <c r="H15" s="326" t="e">
        <f t="shared" si="2"/>
        <v>#DIV/0!</v>
      </c>
      <c r="I15" s="318">
        <f t="shared" si="3"/>
        <v>0</v>
      </c>
      <c r="J15" s="313">
        <f>COUNTIFS('2023년 신조차 고장관리 세부현황'!$DE$8:$DE$44,"울산",'2023년 신조차 고장관리 세부현황'!$AS$8:$AS$44,"-",'2023년 신조차 고장관리 세부현황'!$V$8:$V$44,"완료")</f>
        <v>0</v>
      </c>
      <c r="K15" s="313"/>
      <c r="L15" s="313"/>
      <c r="M15" s="313"/>
      <c r="N15" s="314"/>
      <c r="O15" s="259"/>
    </row>
    <row r="16" spans="2:23" x14ac:dyDescent="0.4">
      <c r="C16" s="319" t="s">
        <v>442</v>
      </c>
      <c r="D16" s="327">
        <f>COUNTIFS('2023년 신조차 고장관리 세부현황'!$DE$8:$DE$8814,"0")</f>
        <v>0</v>
      </c>
      <c r="E16" s="85">
        <f>COUNTIFS('2023년 신조차 고장관리 세부현황'!$DE$8:$DE$8814,"0",'2023년 신조차 고장관리 세부현황'!$AE$8:$AE$8814,"삭제")</f>
        <v>0</v>
      </c>
      <c r="F16" s="172">
        <f t="shared" si="1"/>
        <v>0</v>
      </c>
      <c r="G16" s="85">
        <f>COUNTIFS('2023년 신조차 고장관리 세부현황'!$DE$8:$DE$8814,"0",'2023년 신조차 고장관리 세부현황'!$AS$8:$AS$8814,"O")</f>
        <v>0</v>
      </c>
      <c r="H16" s="326"/>
      <c r="I16" s="318">
        <f t="shared" si="3"/>
        <v>0</v>
      </c>
      <c r="J16" s="313">
        <f>COUNTIFS('2023년 신조차 고장관리 세부현황'!$DE$8:$DE$44,"0",'2023년 신조차 고장관리 세부현황'!$AS$8:$AS$44,"-",'2023년 신조차 고장관리 세부현황'!$V$8:$V$44,"완료")</f>
        <v>0</v>
      </c>
      <c r="K16" s="313"/>
      <c r="L16" s="313"/>
      <c r="M16" s="313"/>
      <c r="N16" s="314"/>
      <c r="O16" s="259"/>
    </row>
    <row r="17" spans="3:25" ht="18" thickBot="1" x14ac:dyDescent="0.45">
      <c r="C17" s="320" t="s">
        <v>532</v>
      </c>
      <c r="D17" s="321">
        <v>2</v>
      </c>
      <c r="E17" s="321">
        <v>2</v>
      </c>
      <c r="F17" s="329">
        <f t="shared" si="1"/>
        <v>0</v>
      </c>
      <c r="G17" s="447"/>
      <c r="H17" s="397"/>
      <c r="I17" s="397"/>
      <c r="J17" s="313"/>
      <c r="K17" s="313"/>
      <c r="L17" s="313"/>
      <c r="M17" s="314"/>
      <c r="N17" s="314"/>
    </row>
    <row r="18" spans="3:25" ht="18" thickTop="1" x14ac:dyDescent="0.4">
      <c r="C18" s="322" t="s">
        <v>544</v>
      </c>
      <c r="D18" s="323">
        <f>SUM(D11:D17)</f>
        <v>41</v>
      </c>
      <c r="E18" s="323">
        <f>SUM(E11:E17)</f>
        <v>2</v>
      </c>
      <c r="F18" s="330">
        <f>SUM(F11:F17)</f>
        <v>39</v>
      </c>
      <c r="G18" s="323">
        <f>SUM(G11:G17)</f>
        <v>26</v>
      </c>
      <c r="H18" s="331">
        <f t="shared" si="2"/>
        <v>0.66666666666666663</v>
      </c>
      <c r="I18" s="324">
        <f>SUM(I11:I17)</f>
        <v>13</v>
      </c>
      <c r="M18" s="314"/>
      <c r="N18" s="314"/>
      <c r="O18" s="259"/>
    </row>
    <row r="19" spans="3:25" x14ac:dyDescent="0.4">
      <c r="R19" s="315" t="s">
        <v>549</v>
      </c>
      <c r="S19" s="336"/>
      <c r="T19" s="336" t="s">
        <v>534</v>
      </c>
      <c r="U19" s="336"/>
      <c r="V19" s="336"/>
      <c r="W19" s="336"/>
      <c r="X19" s="336"/>
      <c r="Y19" s="336"/>
    </row>
    <row r="20" spans="3:25" x14ac:dyDescent="0.4">
      <c r="R20" s="315" t="s">
        <v>548</v>
      </c>
      <c r="S20" s="364" t="s">
        <v>533</v>
      </c>
      <c r="T20" s="364" t="s">
        <v>538</v>
      </c>
      <c r="U20" s="364" t="s">
        <v>539</v>
      </c>
      <c r="V20" s="364" t="s">
        <v>535</v>
      </c>
      <c r="W20" s="364" t="s">
        <v>536</v>
      </c>
      <c r="X20" s="364" t="s">
        <v>537</v>
      </c>
      <c r="Y20" s="364" t="s">
        <v>540</v>
      </c>
    </row>
    <row r="21" spans="3:25" ht="12.75" customHeight="1" x14ac:dyDescent="0.4">
      <c r="R21" s="361" t="s">
        <v>528</v>
      </c>
      <c r="T21" s="332">
        <v>124</v>
      </c>
      <c r="U21" s="332">
        <v>22</v>
      </c>
      <c r="V21" s="332">
        <v>31</v>
      </c>
      <c r="W21" s="332">
        <v>4</v>
      </c>
      <c r="X21" s="332">
        <v>116</v>
      </c>
      <c r="Y21" s="332">
        <v>297</v>
      </c>
    </row>
    <row r="22" spans="3:25" ht="12.75" customHeight="1" x14ac:dyDescent="0.4">
      <c r="R22" s="361"/>
      <c r="S22" s="85">
        <v>31204</v>
      </c>
      <c r="T22" s="332">
        <v>5</v>
      </c>
      <c r="U22" s="332"/>
      <c r="V22" s="332"/>
      <c r="W22" s="332"/>
      <c r="X22" s="332"/>
      <c r="Y22" s="332">
        <v>5</v>
      </c>
    </row>
    <row r="23" spans="3:25" ht="12.75" customHeight="1" x14ac:dyDescent="0.4">
      <c r="R23" s="361"/>
      <c r="S23" s="85">
        <v>31205</v>
      </c>
      <c r="T23" s="332">
        <v>4</v>
      </c>
      <c r="U23" s="332"/>
      <c r="V23" s="332"/>
      <c r="W23" s="332"/>
      <c r="X23" s="332"/>
      <c r="Y23" s="332">
        <v>4</v>
      </c>
    </row>
    <row r="24" spans="3:25" ht="12.75" customHeight="1" x14ac:dyDescent="0.4">
      <c r="R24" s="361"/>
      <c r="S24" s="85">
        <v>31206</v>
      </c>
      <c r="T24" s="332">
        <v>4</v>
      </c>
      <c r="U24" s="332"/>
      <c r="V24" s="332"/>
      <c r="W24" s="332"/>
      <c r="X24" s="332"/>
      <c r="Y24" s="332">
        <v>4</v>
      </c>
    </row>
    <row r="25" spans="3:25" ht="12.75" customHeight="1" x14ac:dyDescent="0.4">
      <c r="R25" s="361"/>
      <c r="S25" s="85">
        <v>31207</v>
      </c>
      <c r="T25" s="332">
        <v>2</v>
      </c>
      <c r="U25" s="332"/>
      <c r="V25" s="332"/>
      <c r="W25" s="332"/>
      <c r="X25" s="332"/>
      <c r="Y25" s="332">
        <v>2</v>
      </c>
    </row>
    <row r="26" spans="3:25" ht="12.75" customHeight="1" x14ac:dyDescent="0.4">
      <c r="R26" s="361"/>
      <c r="S26" s="85">
        <v>31208</v>
      </c>
      <c r="T26" s="332">
        <v>7</v>
      </c>
      <c r="U26" s="332"/>
      <c r="V26" s="332"/>
      <c r="W26" s="332"/>
      <c r="X26" s="332"/>
      <c r="Y26" s="332">
        <v>7</v>
      </c>
    </row>
    <row r="27" spans="3:25" ht="12.75" customHeight="1" x14ac:dyDescent="0.4">
      <c r="R27" s="361"/>
      <c r="S27" s="85">
        <v>31209</v>
      </c>
      <c r="T27" s="332">
        <v>1</v>
      </c>
      <c r="U27" s="332"/>
      <c r="V27" s="332"/>
      <c r="W27" s="332"/>
      <c r="X27" s="332"/>
      <c r="Y27" s="332">
        <v>1</v>
      </c>
    </row>
    <row r="28" spans="3:25" ht="12.75" customHeight="1" x14ac:dyDescent="0.4">
      <c r="R28" s="361"/>
      <c r="S28" s="365">
        <v>31210</v>
      </c>
      <c r="T28" s="332">
        <v>2</v>
      </c>
      <c r="U28" s="332"/>
      <c r="V28" s="332"/>
      <c r="W28" s="332"/>
      <c r="X28" s="332"/>
      <c r="Y28" s="332">
        <v>2</v>
      </c>
    </row>
    <row r="29" spans="3:25" ht="12.75" customHeight="1" x14ac:dyDescent="0.4">
      <c r="R29" s="361"/>
      <c r="S29" s="85">
        <v>31211</v>
      </c>
      <c r="T29" s="332">
        <v>2</v>
      </c>
      <c r="U29" s="332"/>
      <c r="V29" s="332"/>
      <c r="W29" s="332"/>
      <c r="X29" s="332"/>
      <c r="Y29" s="332">
        <v>2</v>
      </c>
    </row>
    <row r="30" spans="3:25" ht="12.75" customHeight="1" x14ac:dyDescent="0.4">
      <c r="R30" s="361"/>
      <c r="S30" s="85">
        <v>31212</v>
      </c>
      <c r="T30" s="332">
        <v>12</v>
      </c>
      <c r="U30" s="332"/>
      <c r="V30" s="332"/>
      <c r="W30" s="332"/>
      <c r="X30" s="332"/>
      <c r="Y30" s="332">
        <v>12</v>
      </c>
    </row>
    <row r="31" spans="3:25" ht="12.75" customHeight="1" x14ac:dyDescent="0.4">
      <c r="R31" s="361"/>
      <c r="S31" s="85">
        <v>31213</v>
      </c>
      <c r="T31" s="332">
        <v>6</v>
      </c>
      <c r="U31" s="332"/>
      <c r="V31" s="332"/>
      <c r="W31" s="332"/>
      <c r="X31" s="332"/>
      <c r="Y31" s="332">
        <v>6</v>
      </c>
    </row>
    <row r="32" spans="3:25" ht="12.75" customHeight="1" x14ac:dyDescent="0.4">
      <c r="R32" s="361"/>
      <c r="S32" s="85">
        <v>31214</v>
      </c>
      <c r="T32" s="332"/>
      <c r="U32" s="332"/>
      <c r="V32" s="332"/>
      <c r="W32" s="332"/>
      <c r="X32" s="332">
        <v>6</v>
      </c>
      <c r="Y32" s="332">
        <v>6</v>
      </c>
    </row>
    <row r="33" spans="18:25" ht="12.75" customHeight="1" x14ac:dyDescent="0.4">
      <c r="R33" s="361"/>
      <c r="S33" s="85">
        <v>31215</v>
      </c>
      <c r="T33" s="332"/>
      <c r="U33" s="332"/>
      <c r="V33" s="332"/>
      <c r="W33" s="332"/>
      <c r="X33" s="332">
        <v>15</v>
      </c>
      <c r="Y33" s="332">
        <v>15</v>
      </c>
    </row>
    <row r="34" spans="18:25" ht="12.75" customHeight="1" x14ac:dyDescent="0.4">
      <c r="R34" s="361"/>
      <c r="S34" s="318">
        <v>31908</v>
      </c>
      <c r="T34" s="332"/>
      <c r="U34" s="332"/>
      <c r="V34" s="332">
        <v>1</v>
      </c>
      <c r="W34" s="332"/>
      <c r="X34" s="332"/>
      <c r="Y34" s="332">
        <v>1</v>
      </c>
    </row>
    <row r="35" spans="18:25" ht="12.75" customHeight="1" x14ac:dyDescent="0.4">
      <c r="R35" s="361"/>
      <c r="S35" s="318">
        <v>31909</v>
      </c>
      <c r="T35" s="332"/>
      <c r="U35" s="332"/>
      <c r="V35" s="332">
        <v>1</v>
      </c>
      <c r="W35" s="332"/>
      <c r="X35" s="332"/>
      <c r="Y35" s="332">
        <v>1</v>
      </c>
    </row>
    <row r="36" spans="18:25" ht="12.75" customHeight="1" x14ac:dyDescent="0.4">
      <c r="R36" s="361"/>
      <c r="S36" s="85">
        <v>34131</v>
      </c>
      <c r="T36" s="332"/>
      <c r="U36" s="332"/>
      <c r="V36" s="332"/>
      <c r="W36" s="332"/>
      <c r="X36" s="332">
        <v>10</v>
      </c>
      <c r="Y36" s="332">
        <v>10</v>
      </c>
    </row>
    <row r="37" spans="18:25" ht="12.75" customHeight="1" x14ac:dyDescent="0.4">
      <c r="R37" s="361"/>
      <c r="S37" s="85">
        <v>34132</v>
      </c>
      <c r="T37" s="332">
        <v>16</v>
      </c>
      <c r="U37" s="332"/>
      <c r="V37" s="332"/>
      <c r="W37" s="332"/>
      <c r="X37" s="332"/>
      <c r="Y37" s="332">
        <v>16</v>
      </c>
    </row>
    <row r="38" spans="18:25" ht="12.75" customHeight="1" x14ac:dyDescent="0.4">
      <c r="R38" s="361"/>
      <c r="S38" s="85">
        <v>34133</v>
      </c>
      <c r="T38" s="332">
        <v>13</v>
      </c>
      <c r="U38" s="332"/>
      <c r="V38" s="332"/>
      <c r="W38" s="332"/>
      <c r="X38" s="332"/>
      <c r="Y38" s="332">
        <v>13</v>
      </c>
    </row>
    <row r="39" spans="18:25" ht="12.75" customHeight="1" x14ac:dyDescent="0.4">
      <c r="R39" s="361"/>
      <c r="S39" s="85">
        <v>34134</v>
      </c>
      <c r="T39" s="332">
        <v>18</v>
      </c>
      <c r="U39" s="332"/>
      <c r="V39" s="332"/>
      <c r="W39" s="332"/>
      <c r="X39" s="332"/>
      <c r="Y39" s="332">
        <v>18</v>
      </c>
    </row>
    <row r="40" spans="18:25" ht="12.75" customHeight="1" x14ac:dyDescent="0.4">
      <c r="R40" s="361"/>
      <c r="S40" s="85">
        <v>34135</v>
      </c>
      <c r="T40" s="332"/>
      <c r="U40" s="332"/>
      <c r="V40" s="332">
        <v>4</v>
      </c>
      <c r="W40" s="332"/>
      <c r="X40" s="332"/>
      <c r="Y40" s="332">
        <v>4</v>
      </c>
    </row>
    <row r="41" spans="18:25" ht="12.75" customHeight="1" x14ac:dyDescent="0.4">
      <c r="R41" s="361"/>
      <c r="S41" s="85">
        <v>34136</v>
      </c>
      <c r="T41" s="332">
        <v>4</v>
      </c>
      <c r="U41" s="332"/>
      <c r="V41" s="332"/>
      <c r="W41" s="332"/>
      <c r="X41" s="332"/>
      <c r="Y41" s="332">
        <v>4</v>
      </c>
    </row>
    <row r="42" spans="18:25" ht="12.75" customHeight="1" x14ac:dyDescent="0.4">
      <c r="R42" s="361"/>
      <c r="S42" s="85">
        <v>34137</v>
      </c>
      <c r="T42" s="332"/>
      <c r="U42" s="332"/>
      <c r="V42" s="332">
        <v>4</v>
      </c>
      <c r="W42" s="332"/>
      <c r="X42" s="332"/>
      <c r="Y42" s="332">
        <v>4</v>
      </c>
    </row>
    <row r="43" spans="18:25" ht="12.75" customHeight="1" x14ac:dyDescent="0.4">
      <c r="R43" s="361"/>
      <c r="S43" s="85">
        <v>34139</v>
      </c>
      <c r="T43" s="332"/>
      <c r="U43" s="332"/>
      <c r="V43" s="332">
        <v>4</v>
      </c>
      <c r="W43" s="332"/>
      <c r="X43" s="332"/>
      <c r="Y43" s="332">
        <v>4</v>
      </c>
    </row>
    <row r="44" spans="18:25" ht="12.75" customHeight="1" x14ac:dyDescent="0.4">
      <c r="R44" s="361"/>
      <c r="S44" s="318">
        <v>34140</v>
      </c>
      <c r="T44" s="332"/>
      <c r="U44" s="332"/>
      <c r="V44" s="332">
        <v>1</v>
      </c>
      <c r="W44" s="332"/>
      <c r="X44" s="332"/>
      <c r="Y44" s="332">
        <v>1</v>
      </c>
    </row>
    <row r="45" spans="18:25" ht="12.75" customHeight="1" x14ac:dyDescent="0.4">
      <c r="R45" s="361"/>
      <c r="S45" s="318">
        <v>34141</v>
      </c>
      <c r="T45" s="332"/>
      <c r="U45" s="332"/>
      <c r="V45" s="332"/>
      <c r="W45" s="332"/>
      <c r="X45" s="332">
        <v>11</v>
      </c>
      <c r="Y45" s="332">
        <v>11</v>
      </c>
    </row>
    <row r="46" spans="18:25" ht="12.75" customHeight="1" x14ac:dyDescent="0.4">
      <c r="R46" s="361"/>
      <c r="S46" s="85">
        <v>34142</v>
      </c>
      <c r="T46" s="332"/>
      <c r="U46" s="332"/>
      <c r="V46" s="332">
        <v>2</v>
      </c>
      <c r="W46" s="332"/>
      <c r="X46" s="332"/>
      <c r="Y46" s="332">
        <v>2</v>
      </c>
    </row>
    <row r="47" spans="18:25" ht="12.75" customHeight="1" x14ac:dyDescent="0.4">
      <c r="R47" s="361"/>
      <c r="S47" s="85">
        <v>34143</v>
      </c>
      <c r="T47" s="332"/>
      <c r="U47" s="332"/>
      <c r="V47" s="332">
        <v>5</v>
      </c>
      <c r="W47" s="332"/>
      <c r="X47" s="332"/>
      <c r="Y47" s="332">
        <v>5</v>
      </c>
    </row>
    <row r="48" spans="18:25" ht="12.75" customHeight="1" x14ac:dyDescent="0.4">
      <c r="R48" s="361"/>
      <c r="S48" s="85">
        <v>34144</v>
      </c>
      <c r="T48" s="332">
        <v>13</v>
      </c>
      <c r="U48" s="332"/>
      <c r="V48" s="332"/>
      <c r="W48" s="332"/>
      <c r="X48" s="332"/>
      <c r="Y48" s="332">
        <v>13</v>
      </c>
    </row>
    <row r="49" spans="18:25" ht="12.75" customHeight="1" x14ac:dyDescent="0.4">
      <c r="R49" s="361"/>
      <c r="S49" s="85">
        <v>34145</v>
      </c>
      <c r="T49" s="332"/>
      <c r="U49" s="332"/>
      <c r="V49" s="332"/>
      <c r="W49" s="332"/>
      <c r="X49" s="332">
        <v>13</v>
      </c>
      <c r="Y49" s="332">
        <v>13</v>
      </c>
    </row>
    <row r="50" spans="18:25" ht="12.75" customHeight="1" x14ac:dyDescent="0.4">
      <c r="R50" s="361"/>
      <c r="S50" s="85">
        <v>34146</v>
      </c>
      <c r="T50" s="332"/>
      <c r="U50" s="332"/>
      <c r="V50" s="332">
        <v>3</v>
      </c>
      <c r="W50" s="332"/>
      <c r="X50" s="332"/>
      <c r="Y50" s="332">
        <v>3</v>
      </c>
    </row>
    <row r="51" spans="18:25" ht="12.75" customHeight="1" x14ac:dyDescent="0.4">
      <c r="R51" s="361"/>
      <c r="S51" s="85">
        <v>34147</v>
      </c>
      <c r="T51" s="332"/>
      <c r="U51" s="332"/>
      <c r="V51" s="332">
        <v>6</v>
      </c>
      <c r="W51" s="332"/>
      <c r="X51" s="332"/>
      <c r="Y51" s="332">
        <v>6</v>
      </c>
    </row>
    <row r="52" spans="18:25" ht="12.75" customHeight="1" x14ac:dyDescent="0.4">
      <c r="R52" s="361"/>
      <c r="S52" s="85">
        <v>34148</v>
      </c>
      <c r="T52" s="332"/>
      <c r="U52" s="332"/>
      <c r="V52" s="332"/>
      <c r="W52" s="332"/>
      <c r="X52" s="332">
        <v>20</v>
      </c>
      <c r="Y52" s="332">
        <v>20</v>
      </c>
    </row>
    <row r="53" spans="18:25" ht="12.75" customHeight="1" x14ac:dyDescent="0.4">
      <c r="R53" s="361"/>
      <c r="S53" s="85">
        <v>34149</v>
      </c>
      <c r="T53" s="332"/>
      <c r="U53" s="332"/>
      <c r="V53" s="332"/>
      <c r="W53" s="332"/>
      <c r="X53" s="332">
        <v>11</v>
      </c>
      <c r="Y53" s="332">
        <v>11</v>
      </c>
    </row>
    <row r="54" spans="18:25" ht="12.75" customHeight="1" x14ac:dyDescent="0.4">
      <c r="R54" s="361"/>
      <c r="S54" s="85">
        <v>34150</v>
      </c>
      <c r="T54" s="332"/>
      <c r="U54" s="332"/>
      <c r="V54" s="332"/>
      <c r="W54" s="332"/>
      <c r="X54" s="332">
        <v>8</v>
      </c>
      <c r="Y54" s="332">
        <v>8</v>
      </c>
    </row>
    <row r="55" spans="18:25" ht="12.75" customHeight="1" x14ac:dyDescent="0.4">
      <c r="R55" s="361"/>
      <c r="S55" s="85">
        <v>34151</v>
      </c>
      <c r="T55" s="332"/>
      <c r="U55" s="332"/>
      <c r="V55" s="332"/>
      <c r="W55" s="332"/>
      <c r="X55" s="332">
        <v>14</v>
      </c>
      <c r="Y55" s="332">
        <v>14</v>
      </c>
    </row>
    <row r="56" spans="18:25" ht="12.75" customHeight="1" x14ac:dyDescent="0.4">
      <c r="R56" s="361"/>
      <c r="S56" s="85">
        <v>34152</v>
      </c>
      <c r="T56" s="332"/>
      <c r="U56" s="332"/>
      <c r="V56" s="332"/>
      <c r="W56" s="332"/>
      <c r="X56" s="332">
        <v>8</v>
      </c>
      <c r="Y56" s="332">
        <v>8</v>
      </c>
    </row>
    <row r="57" spans="18:25" ht="12.75" customHeight="1" x14ac:dyDescent="0.4">
      <c r="R57" s="361"/>
      <c r="S57" s="318">
        <v>35144</v>
      </c>
      <c r="T57" s="332"/>
      <c r="U57" s="332">
        <v>1</v>
      </c>
      <c r="V57" s="332"/>
      <c r="W57" s="332"/>
      <c r="X57" s="332"/>
      <c r="Y57" s="332">
        <v>1</v>
      </c>
    </row>
    <row r="58" spans="18:25" x14ac:dyDescent="0.4">
      <c r="R58" s="361"/>
      <c r="S58" s="85">
        <v>35145</v>
      </c>
      <c r="T58" s="332"/>
      <c r="U58" s="332">
        <v>3</v>
      </c>
      <c r="V58" s="332"/>
      <c r="W58" s="332"/>
      <c r="X58" s="332"/>
      <c r="Y58" s="332">
        <v>3</v>
      </c>
    </row>
    <row r="59" spans="18:25" x14ac:dyDescent="0.4">
      <c r="R59" s="361"/>
      <c r="S59" s="318">
        <v>35146</v>
      </c>
      <c r="T59" s="332"/>
      <c r="U59" s="332">
        <v>1</v>
      </c>
      <c r="V59" s="332"/>
      <c r="W59" s="332"/>
      <c r="X59" s="332"/>
      <c r="Y59" s="332">
        <v>1</v>
      </c>
    </row>
    <row r="60" spans="18:25" x14ac:dyDescent="0.4">
      <c r="R60" s="361"/>
      <c r="S60" s="85">
        <v>35147</v>
      </c>
      <c r="T60" s="332"/>
      <c r="U60" s="332">
        <v>1</v>
      </c>
      <c r="V60" s="332"/>
      <c r="W60" s="332"/>
      <c r="X60" s="332"/>
      <c r="Y60" s="332">
        <v>1</v>
      </c>
    </row>
    <row r="61" spans="18:25" x14ac:dyDescent="0.4">
      <c r="R61" s="361"/>
      <c r="S61" s="85">
        <v>35149</v>
      </c>
      <c r="T61" s="332"/>
      <c r="U61" s="332">
        <v>2</v>
      </c>
      <c r="V61" s="332"/>
      <c r="W61" s="332"/>
      <c r="X61" s="332"/>
      <c r="Y61" s="332">
        <v>2</v>
      </c>
    </row>
    <row r="62" spans="18:25" x14ac:dyDescent="0.4">
      <c r="R62" s="361"/>
      <c r="S62" s="85">
        <v>35150</v>
      </c>
      <c r="T62" s="332"/>
      <c r="U62" s="332">
        <v>2</v>
      </c>
      <c r="V62" s="332"/>
      <c r="W62" s="332"/>
      <c r="X62" s="332"/>
      <c r="Y62" s="332">
        <v>2</v>
      </c>
    </row>
    <row r="63" spans="18:25" x14ac:dyDescent="0.4">
      <c r="R63" s="361"/>
      <c r="S63" s="318">
        <v>35152</v>
      </c>
      <c r="T63" s="332"/>
      <c r="U63" s="332">
        <v>3</v>
      </c>
      <c r="V63" s="332"/>
      <c r="W63" s="332"/>
      <c r="X63" s="332"/>
      <c r="Y63" s="332">
        <v>3</v>
      </c>
    </row>
    <row r="64" spans="18:25" x14ac:dyDescent="0.4">
      <c r="R64" s="361"/>
      <c r="S64" s="85">
        <v>35155</v>
      </c>
      <c r="T64" s="332"/>
      <c r="U64" s="332">
        <v>2</v>
      </c>
      <c r="V64" s="332"/>
      <c r="W64" s="332"/>
      <c r="X64" s="332"/>
      <c r="Y64" s="332">
        <v>2</v>
      </c>
    </row>
    <row r="65" spans="18:25" x14ac:dyDescent="0.4">
      <c r="R65" s="361"/>
      <c r="S65" s="85">
        <v>35156</v>
      </c>
      <c r="T65" s="332"/>
      <c r="U65" s="332">
        <v>2</v>
      </c>
      <c r="V65" s="332"/>
      <c r="W65" s="332"/>
      <c r="X65" s="332"/>
      <c r="Y65" s="332">
        <v>2</v>
      </c>
    </row>
    <row r="66" spans="18:25" x14ac:dyDescent="0.4">
      <c r="R66" s="361"/>
      <c r="S66" s="363">
        <v>35157</v>
      </c>
      <c r="T66" s="332"/>
      <c r="U66" s="332">
        <v>2</v>
      </c>
      <c r="V66" s="332"/>
      <c r="W66" s="332"/>
      <c r="X66" s="332"/>
      <c r="Y66" s="332">
        <v>2</v>
      </c>
    </row>
    <row r="67" spans="18:25" x14ac:dyDescent="0.4">
      <c r="R67" s="361"/>
      <c r="S67" s="59">
        <v>35158</v>
      </c>
      <c r="T67" s="332"/>
      <c r="U67" s="332">
        <v>1</v>
      </c>
      <c r="V67" s="332"/>
      <c r="W67" s="332"/>
      <c r="X67" s="332"/>
      <c r="Y67" s="332">
        <v>1</v>
      </c>
    </row>
    <row r="68" spans="18:25" x14ac:dyDescent="0.4">
      <c r="R68" s="361"/>
      <c r="S68" s="85">
        <v>38112</v>
      </c>
      <c r="T68" s="332"/>
      <c r="U68" s="332"/>
      <c r="V68" s="332"/>
      <c r="W68" s="332">
        <v>2</v>
      </c>
      <c r="X68" s="332"/>
      <c r="Y68" s="332">
        <v>2</v>
      </c>
    </row>
    <row r="69" spans="18:25" x14ac:dyDescent="0.4">
      <c r="R69" s="361"/>
      <c r="S69" s="85">
        <v>38114</v>
      </c>
      <c r="T69" s="332"/>
      <c r="U69" s="332"/>
      <c r="V69" s="332"/>
      <c r="W69" s="332">
        <v>1</v>
      </c>
      <c r="X69" s="332"/>
      <c r="Y69" s="332">
        <v>1</v>
      </c>
    </row>
    <row r="70" spans="18:25" x14ac:dyDescent="0.4">
      <c r="R70" s="361"/>
      <c r="S70" s="318">
        <v>38117</v>
      </c>
      <c r="T70" s="332"/>
      <c r="U70" s="332"/>
      <c r="V70" s="332"/>
      <c r="W70" s="332">
        <v>1</v>
      </c>
      <c r="X70" s="332"/>
      <c r="Y70" s="332">
        <v>1</v>
      </c>
    </row>
    <row r="71" spans="18:25" x14ac:dyDescent="0.4">
      <c r="R71" s="361"/>
      <c r="S71" s="318">
        <v>34154</v>
      </c>
      <c r="T71" s="332">
        <v>8</v>
      </c>
      <c r="U71" s="332"/>
      <c r="V71" s="332"/>
      <c r="W71" s="332"/>
      <c r="X71" s="332"/>
      <c r="Y71" s="332">
        <v>8</v>
      </c>
    </row>
    <row r="72" spans="18:25" x14ac:dyDescent="0.4">
      <c r="R72" s="361"/>
      <c r="S72" s="318">
        <v>34153</v>
      </c>
      <c r="T72" s="332">
        <v>1</v>
      </c>
      <c r="U72" s="332"/>
      <c r="V72" s="332"/>
      <c r="W72" s="332"/>
      <c r="X72" s="332"/>
      <c r="Y72" s="332">
        <v>1</v>
      </c>
    </row>
    <row r="73" spans="18:25" x14ac:dyDescent="0.4">
      <c r="R73" s="361"/>
      <c r="S73" s="363">
        <v>34155</v>
      </c>
      <c r="T73" s="332">
        <v>6</v>
      </c>
      <c r="U73" s="332"/>
      <c r="V73" s="332"/>
      <c r="W73" s="332"/>
      <c r="X73" s="332"/>
      <c r="Y73" s="332">
        <v>6</v>
      </c>
    </row>
    <row r="74" spans="18:25" x14ac:dyDescent="0.4">
      <c r="R74" s="85"/>
      <c r="S74">
        <v>35160</v>
      </c>
      <c r="T74" s="332"/>
      <c r="U74" s="332">
        <v>2</v>
      </c>
      <c r="V74" s="332"/>
      <c r="W74" s="332"/>
      <c r="X74" s="332"/>
      <c r="Y74" s="332">
        <v>2</v>
      </c>
    </row>
    <row r="75" spans="18:25" x14ac:dyDescent="0.4">
      <c r="R75" s="362" t="s">
        <v>540</v>
      </c>
      <c r="S75" s="364"/>
      <c r="T75" s="333">
        <v>124</v>
      </c>
      <c r="U75" s="333">
        <v>22</v>
      </c>
      <c r="V75" s="333">
        <v>31</v>
      </c>
      <c r="W75" s="333">
        <v>4</v>
      </c>
      <c r="X75" s="333">
        <v>116</v>
      </c>
      <c r="Y75" s="333">
        <v>297</v>
      </c>
    </row>
  </sheetData>
  <mergeCells count="7">
    <mergeCell ref="C9:C10"/>
    <mergeCell ref="G17:I17"/>
    <mergeCell ref="S3:W3"/>
    <mergeCell ref="G10:H10"/>
    <mergeCell ref="D9:D10"/>
    <mergeCell ref="E9:E10"/>
    <mergeCell ref="F9:I9"/>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13</vt:i4>
      </vt:variant>
      <vt:variant>
        <vt:lpstr>이름이 지정된 범위</vt:lpstr>
      </vt:variant>
      <vt:variant>
        <vt:i4>3</vt:i4>
      </vt:variant>
    </vt:vector>
  </HeadingPairs>
  <TitlesOfParts>
    <vt:vector size="16" baseType="lpstr">
      <vt:lpstr>처리 현황</vt:lpstr>
      <vt:lpstr>트랜드 분석_15일</vt:lpstr>
      <vt:lpstr>Sheet1</vt:lpstr>
      <vt:lpstr>트랜드RAW</vt:lpstr>
      <vt:lpstr>Sheet3</vt:lpstr>
      <vt:lpstr>2023년 신조차 고장관리 세부현황</vt:lpstr>
      <vt:lpstr>연구소팀PIVOT</vt:lpstr>
      <vt:lpstr>연구소담당자RAW</vt:lpstr>
      <vt:lpstr>초동조사 현황</vt:lpstr>
      <vt:lpstr>초동조사RAW</vt:lpstr>
      <vt:lpstr>필드오픈이슈 연계현황_1</vt:lpstr>
      <vt:lpstr>필드오픈이슈 연계현황_2</vt:lpstr>
      <vt:lpstr>프로젝트 담당자</vt:lpstr>
      <vt:lpstr>'2023년 신조차 고장관리 세부현황'!Print_Area</vt:lpstr>
      <vt:lpstr>'필드오픈이슈 연계현황_2'!Print_Area</vt:lpstr>
      <vt:lpstr>'2023년 신조차 고장관리 세부현황'!Print_Titles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rotem</dc:creator>
  <cp:lastModifiedBy>rotem</cp:lastModifiedBy>
  <cp:lastPrinted>2023-06-02T11:53:13Z</cp:lastPrinted>
  <dcterms:created xsi:type="dcterms:W3CDTF">2022-11-30T23:38:33Z</dcterms:created>
  <dcterms:modified xsi:type="dcterms:W3CDTF">2023-10-13T01:40:46Z</dcterms:modified>
</cp:coreProperties>
</file>